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nti\JuanCarlos\CL\Declaracion\"/>
    </mc:Choice>
  </mc:AlternateContent>
  <xr:revisionPtr revIDLastSave="0" documentId="8_{B0D3D80A-79A0-4728-97E2-3CE6FAF3D34A}" xr6:coauthVersionLast="47" xr6:coauthVersionMax="47" xr10:uidLastSave="{00000000-0000-0000-0000-000000000000}"/>
  <bookViews>
    <workbookView xWindow="-28908" yWindow="-5796" windowWidth="29016" windowHeight="15816" tabRatio="903" activeTab="2" xr2:uid="{00000000-000D-0000-FFFF-FFFF00000000}"/>
  </bookViews>
  <sheets>
    <sheet name="Datos" sheetId="1" r:id="rId1"/>
    <sheet name="ISR del Ejercicio" sheetId="25" r:id="rId2"/>
    <sheet name="1 ISR Acum y No Acum" sheetId="31" r:id="rId3"/>
    <sheet name="2 ISR 10% BMV" sheetId="24" r:id="rId4"/>
    <sheet name="3 ISR - REFIPRES" sheetId="26" r:id="rId5"/>
    <sheet name="4 ISR 10% Adicional Div" sheetId="28" r:id="rId6"/>
    <sheet name="Cálculo ISR - Por Capítulo" sheetId="2" r:id="rId7"/>
    <sheet name="Capítulo I - Salarios" sheetId="3" r:id="rId8"/>
    <sheet name="Capítulo II - Actividad Empresa" sheetId="4" r:id="rId9"/>
    <sheet name="Capítulo III - Arrendamiento" sheetId="5" r:id="rId10"/>
    <sheet name="Capítulo IV - Sección I" sheetId="6" r:id="rId11"/>
    <sheet name="Capítulo IV - Sección II BMV" sheetId="7" r:id="rId12"/>
    <sheet name="Capítulo VI - Intereses" sheetId="8" r:id="rId13"/>
    <sheet name="Capítulo VIII - Dividendos Nac" sheetId="9" r:id="rId14"/>
    <sheet name="Capítulo IX - Dividendos " sheetId="12" r:id="rId15"/>
    <sheet name="Capìtulo IX - PE - Otros" sheetId="21" r:id="rId16"/>
    <sheet name="Capítulo IX - OFD" sheetId="20" r:id="rId17"/>
    <sheet name="Capitulo IX - Regalias" sheetId="22" r:id="rId18"/>
    <sheet name="Deducciones Personales" sheetId="13" r:id="rId19"/>
    <sheet name="Datos Informativos" sheetId="19" r:id="rId20"/>
    <sheet name="SAF &amp; Perdidas &amp; Acred" sheetId="32" r:id="rId21"/>
    <sheet name="Tarifa" sheetId="27" r:id="rId22"/>
    <sheet name="Equivalencias" sheetId="15" r:id="rId23"/>
    <sheet name="TC" sheetId="17" r:id="rId24"/>
    <sheet name="INPC" sheetId="16" r:id="rId25"/>
    <sheet name="Recargos" sheetId="29" r:id="rId26"/>
    <sheet name="Normatividad" sheetId="30" r:id="rId27"/>
  </sheets>
  <externalReferences>
    <externalReference r:id="rId28"/>
    <externalReference r:id="rId29"/>
  </externalReferences>
  <definedNames>
    <definedName name="__123Graph_A" hidden="1">[1]DEPN!#REF!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F" hidden="1">[1]DEPN!#REF!</definedName>
    <definedName name="BG_Del" hidden="1">15</definedName>
    <definedName name="BG_Ins" hidden="1">4</definedName>
    <definedName name="BG_Mod" hidden="1">6</definedName>
    <definedName name="PC" hidden="1">{#N/A,#N/A,FALSE,"Aging Summary";#N/A,#N/A,FALSE,"Ratio Analysis";#N/A,#N/A,FALSE,"Test 120 Day Accts";#N/A,#N/A,FALSE,"Tickmarks"}</definedName>
    <definedName name="PE" hidden="1">{#N/A,#N/A,FALSE,"Aging Summary";#N/A,#N/A,FALSE,"Ratio Analysis";#N/A,#N/A,FALSE,"Test 120 Day Accts";#N/A,#N/A,FALSE,"Tickmarks"}</definedName>
    <definedName name="_xlnm.Print_Area" localSheetId="2">'1 ISR Acum y No Acum'!$B$2:$G$57</definedName>
    <definedName name="_xlnm.Print_Area" localSheetId="3">'2 ISR 10% BMV'!$B$2:$Q$18</definedName>
    <definedName name="_xlnm.Print_Area" localSheetId="4">'3 ISR - REFIPRES'!$B$3:$N$14</definedName>
    <definedName name="_xlnm.Print_Area" localSheetId="5">'4 ISR 10% Adicional Div'!$B$3:$Q$24</definedName>
    <definedName name="_xlnm.Print_Area" localSheetId="6">'Cálculo ISR - Por Capítulo'!$B$2:$S$119</definedName>
    <definedName name="_xlnm.Print_Area" localSheetId="7">'Capítulo I - Salarios'!$B$3:$K$23</definedName>
    <definedName name="_xlnm.Print_Area" localSheetId="8">'Capítulo II - Actividad Empresa'!$B$2:$N$23,'Capítulo II - Actividad Empresa'!$P$5:$V$26,'Capítulo II - Actividad Empresa'!$C$28:$N$78,'Capítulo II - Actividad Empresa'!$C$81:$N$134</definedName>
    <definedName name="_xlnm.Print_Area" localSheetId="9">'Capítulo III - Arrendamiento'!$B$2:$K$45,'Capítulo III - Arrendamiento'!$B$49:$I$122,'Capítulo III - Arrendamiento'!$B$127:$I$199,'Capítulo III - Arrendamiento'!$B$205:$I$260,'Capítulo III - Arrendamiento'!$L$49:$O$69</definedName>
    <definedName name="_xlnm.Print_Area" localSheetId="10">'Capítulo IV - Sección I'!$B$3:$O$43,'Capítulo IV - Sección I'!$B$47:$P$92</definedName>
    <definedName name="_xlnm.Print_Area" localSheetId="11">'Capítulo IV - Sección II BMV'!$B$3:$H$56</definedName>
    <definedName name="_xlnm.Print_Area" localSheetId="14">'Capítulo IX - Dividendos '!$B$2:$H$32</definedName>
    <definedName name="_xlnm.Print_Area" localSheetId="16">'Capítulo IX - OFD'!$B$2:$H$27</definedName>
    <definedName name="_xlnm.Print_Area" localSheetId="15">'Capìtulo IX - PE - Otros'!$B$2:$E$12,'Capìtulo IX - PE - Otros'!$B$17:$E$27,'Capìtulo IX - PE - Otros'!$B$32:$D$42,'Capìtulo IX - PE - Otros'!$B$47:$E$57</definedName>
    <definedName name="_xlnm.Print_Area" localSheetId="17">'Capitulo IX - Regalias'!$B$3:$J$20,'Capitulo IX - Regalias'!$M$6:$V$80</definedName>
    <definedName name="_xlnm.Print_Area" localSheetId="12">'Capítulo VI - Intereses'!$B$2:$M$43</definedName>
    <definedName name="_xlnm.Print_Area" localSheetId="13">'Capítulo VIII - Dividendos Nac'!$B$2:$I$31</definedName>
    <definedName name="_xlnm.Print_Area" localSheetId="0">Datos!$B$4:$G$10</definedName>
    <definedName name="_xlnm.Print_Area" localSheetId="19">'Datos Informativos'!$B$7:$E$25,'Datos Informativos'!$B$29:$J$64</definedName>
    <definedName name="_xlnm.Print_Area" localSheetId="18">'Deducciones Personales'!$B$2:$I$37,'Deducciones Personales'!$B$41:$I$94</definedName>
    <definedName name="_xlnm.Print_Area" localSheetId="1">'ISR del Ejercicio'!$B$2:$E$18</definedName>
    <definedName name="_xlnm.Print_Area" localSheetId="20">'SAF &amp; Perdidas &amp; Acred'!$B$3:$V$40,'SAF &amp; Perdidas &amp; Acred'!$B$53:$P$83,'SAF &amp; Perdidas &amp; Acred'!$B$101:$P$125,'SAF &amp; Perdidas &amp; Acred'!$B$140:$P$205</definedName>
    <definedName name="_xlnm.Print_Titles" localSheetId="8">'Capítulo II - Actividad Empresa'!$2:$4</definedName>
    <definedName name="_xlnm.Print_Titles" localSheetId="14">'Capítulo IX - Dividendos '!$2:$4</definedName>
    <definedName name="_xlnm.Print_Titles" localSheetId="17">'Capitulo IX - Regalias'!$3:$5</definedName>
    <definedName name="_xlnm.Print_Titles" localSheetId="18">'Deducciones Personales'!$2:$3</definedName>
    <definedName name="TextRefCopyRangeCount" hidden="1">1</definedName>
    <definedName name="wrn.Aging._.and._.Trend._.Analysis." hidden="1">{#N/A,#N/A,FALSE,"Aging Summary";#N/A,#N/A,FALSE,"Ratio Analysis";#N/A,#N/A,FALSE,"Test 120 Day Accts";#N/A,#N/A,FALSE,"Tickmarks"}</definedName>
    <definedName name="XREF_COLUMN_2" hidden="1">[2]Anexo_31!#REF!</definedName>
    <definedName name="XREF_COLUMN_3" hidden="1">[2]IngISR!#REF!</definedName>
    <definedName name="XRefColumnsCount" hidden="1">11</definedName>
    <definedName name="XRefCopyRangeCount" hidden="1">56</definedName>
    <definedName name="XRefPasteRangeCount" hidden="1">2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29" l="1"/>
  <c r="AA23" i="29"/>
  <c r="Y23" i="29"/>
  <c r="Y22" i="29"/>
  <c r="W23" i="29"/>
  <c r="W22" i="29"/>
  <c r="W21" i="29"/>
  <c r="U23" i="29"/>
  <c r="U22" i="29"/>
  <c r="U21" i="29"/>
  <c r="U20" i="29"/>
  <c r="S23" i="29"/>
  <c r="S22" i="29"/>
  <c r="S21" i="29"/>
  <c r="S20" i="29"/>
  <c r="S19" i="29"/>
  <c r="Q23" i="29"/>
  <c r="Q22" i="29"/>
  <c r="Q21" i="29"/>
  <c r="Q20" i="29"/>
  <c r="Q19" i="29"/>
  <c r="Q18" i="29"/>
  <c r="O18" i="28"/>
  <c r="M18" i="28"/>
  <c r="K18" i="28"/>
  <c r="G18" i="28"/>
  <c r="K146" i="32"/>
  <c r="K145" i="32"/>
  <c r="J153" i="32"/>
  <c r="J152" i="32"/>
  <c r="J151" i="32"/>
  <c r="J150" i="32"/>
  <c r="J149" i="32"/>
  <c r="J148" i="32"/>
  <c r="J147" i="32"/>
  <c r="J146" i="32"/>
  <c r="J145" i="32"/>
  <c r="I145" i="32"/>
  <c r="H146" i="32"/>
  <c r="H145" i="32"/>
  <c r="G153" i="32"/>
  <c r="H153" i="32" s="1"/>
  <c r="K153" i="32" s="1"/>
  <c r="G152" i="32"/>
  <c r="H152" i="32" s="1"/>
  <c r="K152" i="32" s="1"/>
  <c r="G151" i="32"/>
  <c r="H151" i="32" s="1"/>
  <c r="K151" i="32" s="1"/>
  <c r="G150" i="32"/>
  <c r="H150" i="32" s="1"/>
  <c r="K150" i="32" s="1"/>
  <c r="G149" i="32"/>
  <c r="H149" i="32" s="1"/>
  <c r="K149" i="32" s="1"/>
  <c r="G148" i="32"/>
  <c r="H148" i="32" s="1"/>
  <c r="K148" i="32" s="1"/>
  <c r="G147" i="32"/>
  <c r="H147" i="32" s="1"/>
  <c r="K147" i="32" s="1"/>
  <c r="G146" i="32"/>
  <c r="L145" i="32"/>
  <c r="AB23" i="15"/>
  <c r="AA23" i="15"/>
  <c r="Z23" i="15"/>
  <c r="Y23" i="15"/>
  <c r="X23" i="15"/>
  <c r="W23" i="15"/>
  <c r="V23" i="15"/>
  <c r="U23" i="15"/>
  <c r="T23" i="15"/>
  <c r="S23" i="15"/>
  <c r="R23" i="15"/>
  <c r="Q23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C23" i="15"/>
  <c r="C21" i="15"/>
  <c r="L146" i="32" l="1"/>
  <c r="N146" i="32" s="1"/>
  <c r="L147" i="32" s="1"/>
  <c r="N147" i="32" s="1"/>
  <c r="L148" i="32" s="1"/>
  <c r="N148" i="32" s="1"/>
  <c r="L149" i="32" s="1"/>
  <c r="N149" i="32" s="1"/>
  <c r="L150" i="32" s="1"/>
  <c r="N150" i="32" s="1"/>
  <c r="L151" i="32" s="1"/>
  <c r="N151" i="32" s="1"/>
  <c r="L152" i="32" s="1"/>
  <c r="N152" i="32" s="1"/>
  <c r="L153" i="32" s="1"/>
  <c r="N153" i="32" s="1"/>
  <c r="P153" i="32" s="1"/>
  <c r="I76" i="32"/>
  <c r="G42" i="21"/>
  <c r="I91" i="6"/>
  <c r="O84" i="6"/>
  <c r="O85" i="6"/>
  <c r="O86" i="6"/>
  <c r="O87" i="6"/>
  <c r="O88" i="6"/>
  <c r="O89" i="6"/>
  <c r="O90" i="6"/>
  <c r="L84" i="6"/>
  <c r="L85" i="6"/>
  <c r="L86" i="6"/>
  <c r="L87" i="6"/>
  <c r="L88" i="6"/>
  <c r="L89" i="6"/>
  <c r="L90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G84" i="6"/>
  <c r="G85" i="6"/>
  <c r="G86" i="6"/>
  <c r="G87" i="6"/>
  <c r="G88" i="6"/>
  <c r="G89" i="6"/>
  <c r="G90" i="6"/>
  <c r="I65" i="32"/>
  <c r="I71" i="32"/>
  <c r="I80" i="32"/>
  <c r="I58" i="32"/>
  <c r="H80" i="32"/>
  <c r="E29" i="9"/>
  <c r="E28" i="9"/>
  <c r="E27" i="9"/>
  <c r="E26" i="9"/>
  <c r="E25" i="9"/>
  <c r="E24" i="9"/>
  <c r="E23" i="9"/>
  <c r="E22" i="9"/>
  <c r="E21" i="9"/>
  <c r="E20" i="9"/>
  <c r="E19" i="9"/>
  <c r="E18" i="9"/>
  <c r="E7" i="9"/>
  <c r="E8" i="9"/>
  <c r="E9" i="9"/>
  <c r="E10" i="9"/>
  <c r="E11" i="9"/>
  <c r="I7" i="9"/>
  <c r="I8" i="9"/>
  <c r="I9" i="9"/>
  <c r="I10" i="9"/>
  <c r="I11" i="9"/>
  <c r="D30" i="5"/>
  <c r="H30" i="5"/>
  <c r="H29" i="5"/>
  <c r="H27" i="5"/>
  <c r="J259" i="5"/>
  <c r="J241" i="5"/>
  <c r="J223" i="5"/>
  <c r="J199" i="5"/>
  <c r="J181" i="5"/>
  <c r="J163" i="5"/>
  <c r="J145" i="5"/>
  <c r="J122" i="5"/>
  <c r="J104" i="5"/>
  <c r="J85" i="5"/>
  <c r="J67" i="5"/>
  <c r="H25" i="5"/>
  <c r="E30" i="5" l="1"/>
  <c r="G10" i="31" l="1"/>
  <c r="J162" i="32" l="1"/>
  <c r="K186" i="32" l="1"/>
  <c r="K185" i="32"/>
  <c r="K184" i="32"/>
  <c r="L186" i="32"/>
  <c r="L185" i="32"/>
  <c r="L184" i="32"/>
  <c r="J163" i="32"/>
  <c r="J161" i="32"/>
  <c r="J160" i="32"/>
  <c r="J159" i="32"/>
  <c r="J158" i="32"/>
  <c r="K157" i="32"/>
  <c r="L157" i="32" s="1"/>
  <c r="N157" i="32" s="1"/>
  <c r="J157" i="32"/>
  <c r="I156" i="32"/>
  <c r="G158" i="32" s="1"/>
  <c r="H158" i="32" s="1"/>
  <c r="K158" i="32" s="1"/>
  <c r="H156" i="32"/>
  <c r="P38" i="32"/>
  <c r="O38" i="32"/>
  <c r="K38" i="32"/>
  <c r="P37" i="32"/>
  <c r="O37" i="32"/>
  <c r="L38" i="32" s="1"/>
  <c r="K37" i="32"/>
  <c r="P36" i="32"/>
  <c r="Q36" i="32" s="1"/>
  <c r="S36" i="32" s="1"/>
  <c r="G37" i="32" s="1"/>
  <c r="O36" i="32"/>
  <c r="L37" i="32" s="1"/>
  <c r="J36" i="32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L158" i="32" l="1"/>
  <c r="N158" i="32" s="1"/>
  <c r="G163" i="32"/>
  <c r="H163" i="32" s="1"/>
  <c r="K163" i="32" s="1"/>
  <c r="G162" i="32"/>
  <c r="H162" i="32" s="1"/>
  <c r="K162" i="32" s="1"/>
  <c r="L162" i="32" s="1"/>
  <c r="G160" i="32"/>
  <c r="H160" i="32" s="1"/>
  <c r="K160" i="32" s="1"/>
  <c r="L160" i="32" s="1"/>
  <c r="G161" i="32"/>
  <c r="H161" i="32" s="1"/>
  <c r="K161" i="32" s="1"/>
  <c r="L161" i="32" s="1"/>
  <c r="J156" i="32"/>
  <c r="K156" i="32" s="1"/>
  <c r="L156" i="32" s="1"/>
  <c r="G157" i="32"/>
  <c r="H157" i="32" s="1"/>
  <c r="G159" i="32"/>
  <c r="H159" i="32" s="1"/>
  <c r="K159" i="32" s="1"/>
  <c r="Q37" i="32"/>
  <c r="S37" i="32" s="1"/>
  <c r="G38" i="32" s="1"/>
  <c r="Q38" i="32" s="1"/>
  <c r="S38" i="32" s="1"/>
  <c r="V38" i="32" s="1"/>
  <c r="V37" i="32" s="1"/>
  <c r="V36" i="32" s="1"/>
  <c r="L159" i="32" l="1"/>
  <c r="N159" i="32" s="1"/>
  <c r="N160" i="32" l="1"/>
  <c r="N161" i="32" s="1"/>
  <c r="N162" i="32" s="1"/>
  <c r="L163" i="32"/>
  <c r="N163" i="32" s="1"/>
  <c r="P163" i="32" s="1"/>
  <c r="E14" i="26"/>
  <c r="N68" i="5"/>
  <c r="M68" i="5"/>
  <c r="K9" i="32" l="1"/>
  <c r="J202" i="32" l="1"/>
  <c r="I201" i="32"/>
  <c r="G202" i="32" s="1"/>
  <c r="H202" i="32" s="1"/>
  <c r="H201" i="32"/>
  <c r="J198" i="32"/>
  <c r="L197" i="32"/>
  <c r="N197" i="32" s="1"/>
  <c r="K197" i="32"/>
  <c r="J197" i="32"/>
  <c r="I196" i="32"/>
  <c r="G197" i="32" s="1"/>
  <c r="H197" i="32" s="1"/>
  <c r="H196" i="32"/>
  <c r="J193" i="32"/>
  <c r="L192" i="32"/>
  <c r="N192" i="32" s="1"/>
  <c r="K192" i="32"/>
  <c r="J192" i="32"/>
  <c r="L191" i="32"/>
  <c r="N191" i="32" s="1"/>
  <c r="K191" i="32"/>
  <c r="J191" i="32"/>
  <c r="I190" i="32"/>
  <c r="G192" i="32" s="1"/>
  <c r="H192" i="32" s="1"/>
  <c r="H190" i="32"/>
  <c r="J187" i="32"/>
  <c r="N186" i="32"/>
  <c r="J186" i="32"/>
  <c r="N185" i="32"/>
  <c r="J185" i="32"/>
  <c r="N184" i="32"/>
  <c r="J184" i="32"/>
  <c r="I183" i="32"/>
  <c r="J183" i="32" s="1"/>
  <c r="H183" i="32"/>
  <c r="J180" i="32"/>
  <c r="L179" i="32"/>
  <c r="N179" i="32" s="1"/>
  <c r="K179" i="32"/>
  <c r="J179" i="32"/>
  <c r="L178" i="32"/>
  <c r="N178" i="32" s="1"/>
  <c r="K178" i="32"/>
  <c r="J178" i="32"/>
  <c r="L177" i="32"/>
  <c r="N177" i="32" s="1"/>
  <c r="K177" i="32"/>
  <c r="J177" i="32"/>
  <c r="L176" i="32"/>
  <c r="N176" i="32" s="1"/>
  <c r="K176" i="32"/>
  <c r="J176" i="32"/>
  <c r="I175" i="32"/>
  <c r="G179" i="32" s="1"/>
  <c r="H179" i="32" s="1"/>
  <c r="H175" i="32"/>
  <c r="J172" i="32"/>
  <c r="L171" i="32"/>
  <c r="N171" i="32" s="1"/>
  <c r="K171" i="32"/>
  <c r="J171" i="32"/>
  <c r="L170" i="32"/>
  <c r="N170" i="32" s="1"/>
  <c r="K170" i="32"/>
  <c r="J170" i="32"/>
  <c r="L169" i="32"/>
  <c r="N169" i="32" s="1"/>
  <c r="K169" i="32"/>
  <c r="J169" i="32"/>
  <c r="L168" i="32"/>
  <c r="N168" i="32" s="1"/>
  <c r="K168" i="32"/>
  <c r="J168" i="32"/>
  <c r="L167" i="32"/>
  <c r="N167" i="32" s="1"/>
  <c r="K167" i="32"/>
  <c r="J167" i="32"/>
  <c r="I166" i="32"/>
  <c r="H166" i="32"/>
  <c r="J109" i="32"/>
  <c r="J108" i="32"/>
  <c r="J107" i="32"/>
  <c r="I106" i="32"/>
  <c r="G108" i="32" s="1"/>
  <c r="H108" i="32" s="1"/>
  <c r="K108" i="32" s="1"/>
  <c r="J121" i="32"/>
  <c r="H121" i="32"/>
  <c r="K121" i="32" s="1"/>
  <c r="L121" i="32" s="1"/>
  <c r="N121" i="32" s="1"/>
  <c r="P121" i="32" s="1"/>
  <c r="J118" i="32"/>
  <c r="K117" i="32"/>
  <c r="L117" i="32" s="1"/>
  <c r="N117" i="32" s="1"/>
  <c r="J117" i="32"/>
  <c r="H117" i="32"/>
  <c r="J114" i="32"/>
  <c r="G114" i="32"/>
  <c r="H114" i="32" s="1"/>
  <c r="K113" i="32"/>
  <c r="L113" i="32" s="1"/>
  <c r="N113" i="32" s="1"/>
  <c r="J113" i="32"/>
  <c r="K112" i="32"/>
  <c r="L112" i="32" s="1"/>
  <c r="N112" i="32" s="1"/>
  <c r="G113" i="32"/>
  <c r="H113" i="32" s="1"/>
  <c r="H112" i="32"/>
  <c r="K107" i="32"/>
  <c r="L107" i="32" s="1"/>
  <c r="N107" i="32" s="1"/>
  <c r="K106" i="32"/>
  <c r="L106" i="32" s="1"/>
  <c r="N106" i="32" s="1"/>
  <c r="H106" i="32"/>
  <c r="J76" i="32"/>
  <c r="G73" i="32"/>
  <c r="H73" i="32" s="1"/>
  <c r="J65" i="32"/>
  <c r="K65" i="32" s="1"/>
  <c r="L65" i="32" s="1"/>
  <c r="N65" i="32" s="1"/>
  <c r="G62" i="32"/>
  <c r="J77" i="32"/>
  <c r="H76" i="32"/>
  <c r="J73" i="32"/>
  <c r="K72" i="32"/>
  <c r="J72" i="32"/>
  <c r="H71" i="32"/>
  <c r="J68" i="32"/>
  <c r="K67" i="32"/>
  <c r="L67" i="32" s="1"/>
  <c r="N67" i="32" s="1"/>
  <c r="J67" i="32"/>
  <c r="K66" i="32"/>
  <c r="L66" i="32" s="1"/>
  <c r="N66" i="32" s="1"/>
  <c r="J66" i="32"/>
  <c r="H65" i="32"/>
  <c r="G171" i="32" l="1"/>
  <c r="H171" i="32" s="1"/>
  <c r="G169" i="32"/>
  <c r="G168" i="32"/>
  <c r="G167" i="32"/>
  <c r="L108" i="32"/>
  <c r="N108" i="32" s="1"/>
  <c r="K76" i="32"/>
  <c r="L76" i="32" s="1"/>
  <c r="N76" i="32" s="1"/>
  <c r="K202" i="32"/>
  <c r="J201" i="32"/>
  <c r="K201" i="32" s="1"/>
  <c r="L201" i="32" s="1"/>
  <c r="L202" i="32" s="1"/>
  <c r="N202" i="32" s="1"/>
  <c r="P202" i="32" s="1"/>
  <c r="G198" i="32"/>
  <c r="H198" i="32" s="1"/>
  <c r="K198" i="32" s="1"/>
  <c r="J196" i="32"/>
  <c r="K196" i="32" s="1"/>
  <c r="L196" i="32" s="1"/>
  <c r="G177" i="32"/>
  <c r="H177" i="32" s="1"/>
  <c r="G193" i="32"/>
  <c r="H193" i="32" s="1"/>
  <c r="K193" i="32" s="1"/>
  <c r="J190" i="32"/>
  <c r="K190" i="32" s="1"/>
  <c r="L190" i="32" s="1"/>
  <c r="G191" i="32"/>
  <c r="H191" i="32" s="1"/>
  <c r="G185" i="32"/>
  <c r="H185" i="32" s="1"/>
  <c r="G187" i="32"/>
  <c r="H187" i="32" s="1"/>
  <c r="K187" i="32" s="1"/>
  <c r="K183" i="32"/>
  <c r="L183" i="32" s="1"/>
  <c r="G184" i="32"/>
  <c r="H184" i="32" s="1"/>
  <c r="G186" i="32"/>
  <c r="H186" i="32" s="1"/>
  <c r="G180" i="32"/>
  <c r="H180" i="32" s="1"/>
  <c r="K180" i="32" s="1"/>
  <c r="G176" i="32"/>
  <c r="H176" i="32" s="1"/>
  <c r="G178" i="32"/>
  <c r="H178" i="32" s="1"/>
  <c r="J175" i="32"/>
  <c r="K175" i="32" s="1"/>
  <c r="L175" i="32" s="1"/>
  <c r="H169" i="32"/>
  <c r="J166" i="32"/>
  <c r="K166" i="32" s="1"/>
  <c r="L166" i="32" s="1"/>
  <c r="G172" i="32"/>
  <c r="H172" i="32" s="1"/>
  <c r="K172" i="32" s="1"/>
  <c r="H167" i="32"/>
  <c r="G170" i="32"/>
  <c r="H170" i="32" s="1"/>
  <c r="H168" i="32"/>
  <c r="G60" i="32"/>
  <c r="G61" i="32"/>
  <c r="G118" i="32"/>
  <c r="H118" i="32" s="1"/>
  <c r="K118" i="32" s="1"/>
  <c r="L118" i="32" s="1"/>
  <c r="N118" i="32" s="1"/>
  <c r="P118" i="32" s="1"/>
  <c r="K114" i="32"/>
  <c r="L114" i="32" s="1"/>
  <c r="N114" i="32" s="1"/>
  <c r="P114" i="32" s="1"/>
  <c r="G109" i="32"/>
  <c r="H109" i="32" s="1"/>
  <c r="K109" i="32" s="1"/>
  <c r="L109" i="32" s="1"/>
  <c r="N109" i="32" s="1"/>
  <c r="P109" i="32" s="1"/>
  <c r="J112" i="32"/>
  <c r="G107" i="32"/>
  <c r="H107" i="32" s="1"/>
  <c r="J106" i="32"/>
  <c r="K73" i="32"/>
  <c r="J80" i="32"/>
  <c r="G77" i="32"/>
  <c r="H77" i="32" s="1"/>
  <c r="K77" i="32" s="1"/>
  <c r="G72" i="32"/>
  <c r="H72" i="32" s="1"/>
  <c r="J71" i="32"/>
  <c r="K71" i="32" s="1"/>
  <c r="L71" i="32" s="1"/>
  <c r="N71" i="32" s="1"/>
  <c r="L72" i="32" s="1"/>
  <c r="N72" i="32" s="1"/>
  <c r="G68" i="32"/>
  <c r="H68" i="32" s="1"/>
  <c r="K68" i="32" s="1"/>
  <c r="L68" i="32" s="1"/>
  <c r="G67" i="32"/>
  <c r="H67" i="32" s="1"/>
  <c r="G66" i="32"/>
  <c r="H66" i="32" s="1"/>
  <c r="L61" i="32"/>
  <c r="L60" i="32"/>
  <c r="K59" i="32"/>
  <c r="L59" i="32" s="1"/>
  <c r="J61" i="32"/>
  <c r="J59" i="32"/>
  <c r="J60" i="32"/>
  <c r="J62" i="32"/>
  <c r="J58" i="32"/>
  <c r="K61" i="32"/>
  <c r="K60" i="32"/>
  <c r="G59" i="32"/>
  <c r="H59" i="32" s="1"/>
  <c r="L77" i="32" l="1"/>
  <c r="N77" i="32" s="1"/>
  <c r="P77" i="32" s="1"/>
  <c r="K80" i="32"/>
  <c r="L80" i="32" s="1"/>
  <c r="N80" i="32" s="1"/>
  <c r="P80" i="32" s="1"/>
  <c r="L193" i="32"/>
  <c r="N193" i="32" s="1"/>
  <c r="P193" i="32" s="1"/>
  <c r="L73" i="32"/>
  <c r="N73" i="32" s="1"/>
  <c r="P73" i="32" s="1"/>
  <c r="L198" i="32"/>
  <c r="N198" i="32" s="1"/>
  <c r="P198" i="32" s="1"/>
  <c r="L172" i="32"/>
  <c r="N172" i="32" s="1"/>
  <c r="P172" i="32" s="1"/>
  <c r="L187" i="32"/>
  <c r="N187" i="32" s="1"/>
  <c r="P187" i="32" s="1"/>
  <c r="L180" i="32"/>
  <c r="N180" i="32" s="1"/>
  <c r="P180" i="32" s="1"/>
  <c r="P124" i="32"/>
  <c r="S56" i="2" s="1"/>
  <c r="N68" i="32"/>
  <c r="P68" i="32" s="1"/>
  <c r="H60" i="32"/>
  <c r="H61" i="32"/>
  <c r="H62" i="32"/>
  <c r="K62" i="32" s="1"/>
  <c r="P10" i="32"/>
  <c r="H58" i="32"/>
  <c r="K58" i="32" s="1"/>
  <c r="L58" i="32" s="1"/>
  <c r="P34" i="32"/>
  <c r="O34" i="32"/>
  <c r="K34" i="32"/>
  <c r="P33" i="32"/>
  <c r="O33" i="32"/>
  <c r="L34" i="32" s="1"/>
  <c r="K33" i="32"/>
  <c r="P32" i="32"/>
  <c r="Q32" i="32" s="1"/>
  <c r="S32" i="32" s="1"/>
  <c r="G33" i="32" s="1"/>
  <c r="O32" i="32"/>
  <c r="L33" i="32" s="1"/>
  <c r="J32" i="32"/>
  <c r="P30" i="32"/>
  <c r="P29" i="32"/>
  <c r="P26" i="32"/>
  <c r="P25" i="32"/>
  <c r="P22" i="32"/>
  <c r="P21" i="32"/>
  <c r="P18" i="32"/>
  <c r="P17" i="32"/>
  <c r="P14" i="32"/>
  <c r="P13" i="32"/>
  <c r="O30" i="32"/>
  <c r="O29" i="32"/>
  <c r="L30" i="32" s="1"/>
  <c r="O28" i="32"/>
  <c r="L29" i="32" s="1"/>
  <c r="O26" i="32"/>
  <c r="O25" i="32"/>
  <c r="L26" i="32" s="1"/>
  <c r="O24" i="32"/>
  <c r="O22" i="32"/>
  <c r="O21" i="32"/>
  <c r="O20" i="32"/>
  <c r="O18" i="32"/>
  <c r="O17" i="32"/>
  <c r="L18" i="32" s="1"/>
  <c r="O16" i="32"/>
  <c r="L17" i="32" s="1"/>
  <c r="O14" i="32"/>
  <c r="O13" i="32"/>
  <c r="L14" i="32" s="1"/>
  <c r="O12" i="32"/>
  <c r="L13" i="32" s="1"/>
  <c r="O10" i="32"/>
  <c r="O9" i="32"/>
  <c r="K26" i="32"/>
  <c r="K25" i="32"/>
  <c r="K30" i="32"/>
  <c r="K29" i="32"/>
  <c r="P28" i="32"/>
  <c r="Q28" i="32" s="1"/>
  <c r="S28" i="32" s="1"/>
  <c r="G29" i="32" s="1"/>
  <c r="J28" i="32"/>
  <c r="K18" i="32"/>
  <c r="K17" i="32"/>
  <c r="P16" i="32"/>
  <c r="Q16" i="32" s="1"/>
  <c r="S16" i="32" s="1"/>
  <c r="G17" i="32" s="1"/>
  <c r="J16" i="32"/>
  <c r="K14" i="32"/>
  <c r="K13" i="32"/>
  <c r="P12" i="32"/>
  <c r="Q12" i="32" s="1"/>
  <c r="S12" i="32" s="1"/>
  <c r="G13" i="32" s="1"/>
  <c r="J12" i="32"/>
  <c r="K10" i="32"/>
  <c r="J8" i="32"/>
  <c r="J24" i="32"/>
  <c r="P20" i="32"/>
  <c r="K22" i="32"/>
  <c r="K21" i="32"/>
  <c r="P9" i="32" l="1"/>
  <c r="P205" i="32"/>
  <c r="Q33" i="32"/>
  <c r="S33" i="32" s="1"/>
  <c r="G34" i="32" s="1"/>
  <c r="Q34" i="32" s="1"/>
  <c r="S34" i="32" s="1"/>
  <c r="V34" i="32" s="1"/>
  <c r="V33" i="32" s="1"/>
  <c r="V32" i="32" s="1"/>
  <c r="P24" i="32"/>
  <c r="Q24" i="32" s="1"/>
  <c r="S24" i="32" s="1"/>
  <c r="G25" i="32" s="1"/>
  <c r="L10" i="32"/>
  <c r="L25" i="32"/>
  <c r="Q29" i="32"/>
  <c r="S29" i="32" s="1"/>
  <c r="G30" i="32" s="1"/>
  <c r="Q30" i="32" s="1"/>
  <c r="S30" i="32" s="1"/>
  <c r="Q13" i="32"/>
  <c r="S13" i="32" s="1"/>
  <c r="G14" i="32" s="1"/>
  <c r="Q14" i="32" s="1"/>
  <c r="S14" i="32" s="1"/>
  <c r="V14" i="32" s="1"/>
  <c r="V13" i="32" s="1"/>
  <c r="V12" i="32" s="1"/>
  <c r="Q17" i="32"/>
  <c r="S17" i="32" s="1"/>
  <c r="G18" i="32" s="1"/>
  <c r="Q18" i="32" s="1"/>
  <c r="S18" i="32" s="1"/>
  <c r="Q25" i="32" l="1"/>
  <c r="S25" i="32" s="1"/>
  <c r="G26" i="32" s="1"/>
  <c r="Q26" i="32" s="1"/>
  <c r="S26" i="32" s="1"/>
  <c r="V26" i="32" s="1"/>
  <c r="V25" i="32" s="1"/>
  <c r="V24" i="32" s="1"/>
  <c r="V18" i="32"/>
  <c r="V17" i="32" s="1"/>
  <c r="V16" i="32" s="1"/>
  <c r="L21" i="32" l="1"/>
  <c r="L22" i="32" l="1"/>
  <c r="J20" i="32"/>
  <c r="Q20" i="32" s="1"/>
  <c r="S20" i="32" s="1"/>
  <c r="G21" i="32" s="1"/>
  <c r="Q21" i="32" s="1"/>
  <c r="S21" i="32" s="1"/>
  <c r="G22" i="32" l="1"/>
  <c r="Q22" i="32" s="1"/>
  <c r="S22" i="32" s="1"/>
  <c r="O8" i="32" l="1"/>
  <c r="V22" i="32"/>
  <c r="V21" i="32" s="1"/>
  <c r="V20" i="32" s="1"/>
  <c r="AX5" i="17"/>
  <c r="AY5" i="17" s="1"/>
  <c r="AZ5" i="17" s="1"/>
  <c r="BA5" i="17" s="1"/>
  <c r="BB5" i="17" s="1"/>
  <c r="BC5" i="17" s="1"/>
  <c r="BD5" i="17" s="1"/>
  <c r="BE5" i="17" s="1"/>
  <c r="BF5" i="17" s="1"/>
  <c r="BG5" i="17" s="1"/>
  <c r="BH5" i="17" s="1"/>
  <c r="BI5" i="17" s="1"/>
  <c r="BJ5" i="17" s="1"/>
  <c r="BD23" i="15"/>
  <c r="BC23" i="15"/>
  <c r="BB23" i="15"/>
  <c r="BA23" i="15"/>
  <c r="AZ23" i="15"/>
  <c r="AY23" i="15"/>
  <c r="AX23" i="15"/>
  <c r="AW23" i="15"/>
  <c r="AV23" i="15"/>
  <c r="AU23" i="15"/>
  <c r="BD21" i="15"/>
  <c r="BC21" i="15"/>
  <c r="BB21" i="15"/>
  <c r="BA21" i="15"/>
  <c r="AZ21" i="15"/>
  <c r="AY21" i="15"/>
  <c r="AX21" i="15"/>
  <c r="AW21" i="15"/>
  <c r="AV21" i="15"/>
  <c r="AU21" i="15"/>
  <c r="AA24" i="29"/>
  <c r="AH5" i="17" l="1"/>
  <c r="L9" i="32"/>
  <c r="P8" i="32"/>
  <c r="Q8" i="32" s="1"/>
  <c r="S8" i="32" s="1"/>
  <c r="G9" i="32" s="1"/>
  <c r="Q9" i="32" s="1"/>
  <c r="S9" i="32" s="1"/>
  <c r="G10" i="32" s="1"/>
  <c r="Q10" i="32" s="1"/>
  <c r="S10" i="32" s="1"/>
  <c r="V10" i="32" s="1"/>
  <c r="V9" i="32" s="1"/>
  <c r="V8" i="32" s="1"/>
  <c r="G44" i="31"/>
  <c r="G28" i="31"/>
  <c r="B2" i="31"/>
  <c r="B2" i="24" s="1"/>
  <c r="AI5" i="17" l="1"/>
  <c r="AJ5" i="17" s="1"/>
  <c r="AK5" i="17" s="1"/>
  <c r="AL5" i="17" s="1"/>
  <c r="AM5" i="17" s="1"/>
  <c r="AN5" i="17" s="1"/>
  <c r="AO5" i="17" s="1"/>
  <c r="AP5" i="17" s="1"/>
  <c r="AQ5" i="17" s="1"/>
  <c r="AR5" i="17" s="1"/>
  <c r="AS5" i="17" s="1"/>
  <c r="AT5" i="17" s="1"/>
  <c r="R5" i="17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C29" i="16"/>
  <c r="D29" i="16" s="1"/>
  <c r="E29" i="16" s="1"/>
  <c r="F29" i="16" s="1"/>
  <c r="G29" i="16" s="1"/>
  <c r="H29" i="16" s="1"/>
  <c r="I29" i="16" s="1"/>
  <c r="J29" i="16" s="1"/>
  <c r="K29" i="16" s="1"/>
  <c r="L29" i="16" s="1"/>
  <c r="M29" i="16" s="1"/>
  <c r="N29" i="16"/>
  <c r="C30" i="16" s="1"/>
  <c r="D30" i="16" s="1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12" i="28" l="1"/>
  <c r="M12" i="28"/>
  <c r="K12" i="28"/>
  <c r="I12" i="28"/>
  <c r="G12" i="28"/>
  <c r="K14" i="26" l="1"/>
  <c r="I14" i="26"/>
  <c r="G14" i="26"/>
  <c r="D26" i="7" l="1"/>
  <c r="M38" i="8"/>
  <c r="M25" i="8"/>
  <c r="M41" i="8" s="1"/>
  <c r="M12" i="8"/>
  <c r="G71" i="2"/>
  <c r="S71" i="2" s="1"/>
  <c r="K20" i="5"/>
  <c r="G72" i="2" s="1"/>
  <c r="S72" i="2" s="1"/>
  <c r="S82" i="2"/>
  <c r="G9" i="4"/>
  <c r="C9" i="4"/>
  <c r="C23" i="4"/>
  <c r="Q50" i="2"/>
  <c r="O50" i="2"/>
  <c r="M50" i="2"/>
  <c r="K50" i="2"/>
  <c r="I50" i="2"/>
  <c r="B41" i="21"/>
  <c r="B40" i="21"/>
  <c r="B39" i="21"/>
  <c r="B38" i="21"/>
  <c r="B37" i="21"/>
  <c r="D42" i="21"/>
  <c r="I8" i="22"/>
  <c r="G8" i="22"/>
  <c r="Q85" i="22"/>
  <c r="I56" i="13"/>
  <c r="I53" i="13"/>
  <c r="I52" i="13"/>
  <c r="I49" i="13"/>
  <c r="I48" i="13"/>
  <c r="I47" i="13"/>
  <c r="I45" i="13"/>
  <c r="I44" i="13"/>
  <c r="I43" i="13"/>
  <c r="I36" i="13"/>
  <c r="I35" i="13"/>
  <c r="I37" i="13" s="1"/>
  <c r="I30" i="13"/>
  <c r="I31" i="13" s="1"/>
  <c r="I32" i="13" s="1"/>
  <c r="I76" i="13" s="1"/>
  <c r="S60" i="2" s="1"/>
  <c r="G32" i="31" s="1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39" i="19"/>
  <c r="I39" i="19"/>
  <c r="H38" i="19"/>
  <c r="I38" i="19"/>
  <c r="H37" i="19"/>
  <c r="I37" i="19"/>
  <c r="H36" i="19"/>
  <c r="I36" i="19"/>
  <c r="H35" i="19"/>
  <c r="I35" i="19"/>
  <c r="H34" i="19"/>
  <c r="I34" i="19"/>
  <c r="H33" i="19"/>
  <c r="I33" i="19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BR23" i="15"/>
  <c r="BQ23" i="15"/>
  <c r="BP23" i="15"/>
  <c r="BO23" i="15"/>
  <c r="BL23" i="15"/>
  <c r="BR21" i="15"/>
  <c r="BQ21" i="15"/>
  <c r="BP21" i="15"/>
  <c r="BO21" i="15"/>
  <c r="BL21" i="15"/>
  <c r="L50" i="5"/>
  <c r="G41" i="5"/>
  <c r="Q99" i="2"/>
  <c r="O99" i="2"/>
  <c r="M99" i="2"/>
  <c r="K99" i="2"/>
  <c r="I99" i="2"/>
  <c r="S80" i="2"/>
  <c r="O83" i="6"/>
  <c r="O91" i="6"/>
  <c r="G31" i="2" s="1"/>
  <c r="S31" i="2" s="1"/>
  <c r="Q16" i="28"/>
  <c r="E7" i="12"/>
  <c r="P91" i="6"/>
  <c r="M91" i="6"/>
  <c r="G73" i="2" s="1"/>
  <c r="S73" i="2" s="1"/>
  <c r="K91" i="6"/>
  <c r="H91" i="6"/>
  <c r="J83" i="6"/>
  <c r="L83" i="6" s="1"/>
  <c r="G83" i="6"/>
  <c r="I83" i="6" s="1"/>
  <c r="C8" i="5"/>
  <c r="M10" i="26"/>
  <c r="M9" i="26"/>
  <c r="S83" i="2"/>
  <c r="CF23" i="15"/>
  <c r="CF21" i="15"/>
  <c r="B37" i="7"/>
  <c r="B38" i="7"/>
  <c r="B39" i="7"/>
  <c r="B40" i="7"/>
  <c r="B36" i="7"/>
  <c r="F13" i="7"/>
  <c r="F12" i="7"/>
  <c r="F11" i="7"/>
  <c r="F10" i="7"/>
  <c r="F9" i="7"/>
  <c r="E14" i="7"/>
  <c r="D14" i="7"/>
  <c r="B10" i="7"/>
  <c r="B11" i="7"/>
  <c r="B12" i="7"/>
  <c r="B13" i="7"/>
  <c r="B9" i="7"/>
  <c r="Q101" i="2"/>
  <c r="O101" i="2"/>
  <c r="M101" i="2"/>
  <c r="K101" i="2"/>
  <c r="I101" i="2"/>
  <c r="Q98" i="2"/>
  <c r="O98" i="2"/>
  <c r="M98" i="2"/>
  <c r="K98" i="2"/>
  <c r="I98" i="2"/>
  <c r="Q97" i="2"/>
  <c r="O97" i="2"/>
  <c r="M97" i="2"/>
  <c r="K97" i="2"/>
  <c r="I97" i="2"/>
  <c r="Q95" i="2"/>
  <c r="O95" i="2"/>
  <c r="M95" i="2"/>
  <c r="K95" i="2"/>
  <c r="I95" i="2"/>
  <c r="Q94" i="2"/>
  <c r="Q92" i="2"/>
  <c r="Q93" i="2"/>
  <c r="O94" i="2"/>
  <c r="M94" i="2"/>
  <c r="K94" i="2"/>
  <c r="I94" i="2"/>
  <c r="G94" i="2"/>
  <c r="O93" i="2"/>
  <c r="M93" i="2"/>
  <c r="K93" i="2"/>
  <c r="I93" i="2"/>
  <c r="O92" i="2"/>
  <c r="M92" i="2"/>
  <c r="K92" i="2"/>
  <c r="I92" i="2"/>
  <c r="M72" i="6"/>
  <c r="M74" i="6"/>
  <c r="M57" i="6"/>
  <c r="M59" i="6" s="1"/>
  <c r="G93" i="2" s="1"/>
  <c r="M41" i="6"/>
  <c r="M43" i="6" s="1"/>
  <c r="M27" i="6"/>
  <c r="M29" i="6" s="1"/>
  <c r="G92" i="2" s="1"/>
  <c r="M13" i="6"/>
  <c r="M15" i="6" s="1"/>
  <c r="N21" i="4"/>
  <c r="D167" i="4"/>
  <c r="K23" i="3"/>
  <c r="J23" i="3"/>
  <c r="H22" i="3"/>
  <c r="S84" i="2"/>
  <c r="S81" i="2"/>
  <c r="Q85" i="2"/>
  <c r="O85" i="2"/>
  <c r="M85" i="2"/>
  <c r="K85" i="2"/>
  <c r="I85" i="2"/>
  <c r="F24" i="20"/>
  <c r="F23" i="20"/>
  <c r="F22" i="20"/>
  <c r="F21" i="20"/>
  <c r="F25" i="20"/>
  <c r="F20" i="20"/>
  <c r="F11" i="20"/>
  <c r="Q49" i="2"/>
  <c r="F10" i="20"/>
  <c r="O49" i="2"/>
  <c r="F9" i="20"/>
  <c r="M49" i="2"/>
  <c r="F8" i="20"/>
  <c r="K49" i="2"/>
  <c r="F7" i="20"/>
  <c r="I49" i="2"/>
  <c r="J20" i="22"/>
  <c r="F20" i="22"/>
  <c r="B11" i="20"/>
  <c r="B10" i="20"/>
  <c r="B9" i="20"/>
  <c r="B8" i="20"/>
  <c r="B7" i="20"/>
  <c r="Q51" i="2"/>
  <c r="O51" i="2"/>
  <c r="M51" i="2"/>
  <c r="K51" i="2"/>
  <c r="I51" i="2"/>
  <c r="D27" i="21"/>
  <c r="B23" i="21"/>
  <c r="B24" i="21"/>
  <c r="B25" i="21"/>
  <c r="B26" i="21"/>
  <c r="B22" i="21"/>
  <c r="Q47" i="2"/>
  <c r="O47" i="2"/>
  <c r="M47" i="2"/>
  <c r="K47" i="2"/>
  <c r="I47" i="2"/>
  <c r="B8" i="21"/>
  <c r="B9" i="21"/>
  <c r="B10" i="21"/>
  <c r="B11" i="21"/>
  <c r="B7" i="21"/>
  <c r="B8" i="12"/>
  <c r="B9" i="12"/>
  <c r="B10" i="12"/>
  <c r="B11" i="12"/>
  <c r="B7" i="12"/>
  <c r="B9" i="9"/>
  <c r="B10" i="9"/>
  <c r="B11" i="9"/>
  <c r="B8" i="9"/>
  <c r="B7" i="9"/>
  <c r="B8" i="8"/>
  <c r="B9" i="8"/>
  <c r="B10" i="8"/>
  <c r="B11" i="8"/>
  <c r="B7" i="8"/>
  <c r="E27" i="12"/>
  <c r="E26" i="12"/>
  <c r="E25" i="12"/>
  <c r="E24" i="12"/>
  <c r="E23" i="12"/>
  <c r="E22" i="12"/>
  <c r="E21" i="12"/>
  <c r="H28" i="12"/>
  <c r="G46" i="2" s="1"/>
  <c r="Q46" i="2"/>
  <c r="O46" i="2"/>
  <c r="M46" i="2"/>
  <c r="K46" i="2"/>
  <c r="I46" i="2"/>
  <c r="F104" i="13"/>
  <c r="H55" i="13"/>
  <c r="H67" i="13"/>
  <c r="I67" i="13"/>
  <c r="H71" i="13"/>
  <c r="I71" i="13"/>
  <c r="H72" i="13"/>
  <c r="H43" i="13"/>
  <c r="H51" i="13"/>
  <c r="I51" i="13"/>
  <c r="I55" i="13"/>
  <c r="H56" i="13"/>
  <c r="H59" i="13"/>
  <c r="I59" i="13"/>
  <c r="H60" i="13"/>
  <c r="I60" i="13"/>
  <c r="H63" i="13"/>
  <c r="I63" i="13"/>
  <c r="D19" i="29"/>
  <c r="CT23" i="15"/>
  <c r="CS23" i="15"/>
  <c r="CR23" i="15"/>
  <c r="CQ23" i="15"/>
  <c r="CO23" i="15"/>
  <c r="CN23" i="15"/>
  <c r="CM23" i="15"/>
  <c r="CL23" i="15"/>
  <c r="CK23" i="15"/>
  <c r="CJ23" i="15"/>
  <c r="CI23" i="15"/>
  <c r="CE23" i="15"/>
  <c r="CD23" i="15"/>
  <c r="CB23" i="15"/>
  <c r="CA23" i="15"/>
  <c r="BZ23" i="15"/>
  <c r="BY23" i="15"/>
  <c r="BU23" i="15"/>
  <c r="CT21" i="15"/>
  <c r="CS21" i="15"/>
  <c r="CR21" i="15"/>
  <c r="CQ21" i="15"/>
  <c r="CO21" i="15"/>
  <c r="CN21" i="15"/>
  <c r="CM21" i="15"/>
  <c r="CL21" i="15"/>
  <c r="CK21" i="15"/>
  <c r="CJ21" i="15"/>
  <c r="CI21" i="15"/>
  <c r="CE21" i="15"/>
  <c r="CD21" i="15"/>
  <c r="CB21" i="15"/>
  <c r="CA21" i="15"/>
  <c r="BZ21" i="15"/>
  <c r="BY21" i="15"/>
  <c r="BU21" i="15"/>
  <c r="E11" i="12"/>
  <c r="O11" i="28" s="1"/>
  <c r="O13" i="28" s="1"/>
  <c r="O15" i="28" s="1"/>
  <c r="O17" i="28" s="1"/>
  <c r="E10" i="12"/>
  <c r="M11" i="28"/>
  <c r="M13" i="28" s="1"/>
  <c r="M15" i="28" s="1"/>
  <c r="M17" i="28" s="1"/>
  <c r="E9" i="12"/>
  <c r="K11" i="28" s="1"/>
  <c r="E8" i="12"/>
  <c r="I11" i="28" s="1"/>
  <c r="I13" i="28" s="1"/>
  <c r="I15" i="28" s="1"/>
  <c r="I17" i="28" s="1"/>
  <c r="I18" i="28" s="1"/>
  <c r="Q41" i="2"/>
  <c r="O41" i="2"/>
  <c r="M41" i="2"/>
  <c r="K41" i="2"/>
  <c r="G121" i="6"/>
  <c r="G120" i="6"/>
  <c r="G119" i="6"/>
  <c r="G118" i="6"/>
  <c r="G117" i="6"/>
  <c r="D118" i="6"/>
  <c r="D119" i="6"/>
  <c r="D120" i="6"/>
  <c r="D121" i="6"/>
  <c r="D117" i="6"/>
  <c r="C118" i="6"/>
  <c r="C119" i="6"/>
  <c r="C120" i="6"/>
  <c r="C121" i="6"/>
  <c r="C117" i="6"/>
  <c r="D116" i="6"/>
  <c r="C116" i="6"/>
  <c r="B118" i="6"/>
  <c r="B119" i="6"/>
  <c r="B120" i="6"/>
  <c r="B121" i="6"/>
  <c r="B117" i="6"/>
  <c r="G114" i="6"/>
  <c r="G113" i="6"/>
  <c r="G112" i="6"/>
  <c r="G111" i="6"/>
  <c r="G110" i="6"/>
  <c r="D114" i="6"/>
  <c r="D113" i="6"/>
  <c r="D112" i="6"/>
  <c r="D111" i="6"/>
  <c r="D110" i="6"/>
  <c r="C114" i="6"/>
  <c r="C113" i="6"/>
  <c r="C112" i="6"/>
  <c r="C111" i="6"/>
  <c r="C110" i="6"/>
  <c r="B114" i="6"/>
  <c r="B113" i="6"/>
  <c r="B112" i="6"/>
  <c r="B111" i="6"/>
  <c r="B110" i="6"/>
  <c r="D115" i="6"/>
  <c r="C115" i="6"/>
  <c r="D109" i="6"/>
  <c r="C109" i="6"/>
  <c r="O71" i="6"/>
  <c r="G30" i="2" s="1"/>
  <c r="O70" i="6"/>
  <c r="Q30" i="2" s="1"/>
  <c r="O69" i="6"/>
  <c r="O30" i="2"/>
  <c r="O68" i="6"/>
  <c r="M30" i="2" s="1"/>
  <c r="O67" i="6"/>
  <c r="K30" i="2" s="1"/>
  <c r="O66" i="6"/>
  <c r="I30" i="2" s="1"/>
  <c r="K72" i="6"/>
  <c r="K74" i="6" s="1"/>
  <c r="J115" i="6" s="1"/>
  <c r="H72" i="6"/>
  <c r="H74" i="6" s="1"/>
  <c r="H115" i="6" s="1"/>
  <c r="G66" i="6"/>
  <c r="I66" i="6" s="1"/>
  <c r="J66" i="6"/>
  <c r="L66" i="6" s="1"/>
  <c r="J67" i="6"/>
  <c r="L67" i="6" s="1"/>
  <c r="J68" i="6"/>
  <c r="L68" i="6" s="1"/>
  <c r="J69" i="6"/>
  <c r="L69" i="6" s="1"/>
  <c r="J70" i="6"/>
  <c r="L70" i="6" s="1"/>
  <c r="J71" i="6"/>
  <c r="L71" i="6" s="1"/>
  <c r="J56" i="6"/>
  <c r="K56" i="6" s="1"/>
  <c r="J55" i="6"/>
  <c r="E120" i="6" s="1"/>
  <c r="J54" i="6"/>
  <c r="E119" i="6" s="1"/>
  <c r="J53" i="6"/>
  <c r="E118" i="6" s="1"/>
  <c r="J52" i="6"/>
  <c r="J36" i="6"/>
  <c r="K36" i="6" s="1"/>
  <c r="L36" i="6" s="1"/>
  <c r="G36" i="6"/>
  <c r="I36" i="6" s="1"/>
  <c r="J12" i="6"/>
  <c r="K12" i="6" s="1"/>
  <c r="J11" i="6"/>
  <c r="K11" i="6" s="1"/>
  <c r="J10" i="6"/>
  <c r="K10" i="6" s="1"/>
  <c r="L10" i="6" s="1"/>
  <c r="J9" i="6"/>
  <c r="K9" i="6" s="1"/>
  <c r="L9" i="6" s="1"/>
  <c r="G71" i="6"/>
  <c r="I71" i="6" s="1"/>
  <c r="G70" i="6"/>
  <c r="I70" i="6" s="1"/>
  <c r="G69" i="6"/>
  <c r="I69" i="6" s="1"/>
  <c r="G68" i="6"/>
  <c r="I68" i="6" s="1"/>
  <c r="G67" i="6"/>
  <c r="I67" i="6" s="1"/>
  <c r="G56" i="6"/>
  <c r="F121" i="6" s="1"/>
  <c r="G55" i="6"/>
  <c r="I55" i="6" s="1"/>
  <c r="I120" i="6" s="1"/>
  <c r="G54" i="6"/>
  <c r="F119" i="6" s="1"/>
  <c r="G53" i="6"/>
  <c r="H53" i="6" s="1"/>
  <c r="H118" i="6" s="1"/>
  <c r="G52" i="6"/>
  <c r="F117" i="6" s="1"/>
  <c r="J40" i="6"/>
  <c r="K40" i="6" s="1"/>
  <c r="L40" i="6" s="1"/>
  <c r="G40" i="6"/>
  <c r="I40" i="6" s="1"/>
  <c r="J39" i="6"/>
  <c r="K39" i="6" s="1"/>
  <c r="L39" i="6" s="1"/>
  <c r="G39" i="6"/>
  <c r="I39" i="6" s="1"/>
  <c r="J38" i="6"/>
  <c r="K38" i="6" s="1"/>
  <c r="G38" i="6"/>
  <c r="I38" i="6" s="1"/>
  <c r="J37" i="6"/>
  <c r="K37" i="6" s="1"/>
  <c r="G37" i="6"/>
  <c r="H37" i="6" s="1"/>
  <c r="J26" i="6"/>
  <c r="G26" i="6"/>
  <c r="H26" i="6" s="1"/>
  <c r="H114" i="6" s="1"/>
  <c r="J25" i="6"/>
  <c r="E113" i="6" s="1"/>
  <c r="G25" i="6"/>
  <c r="I25" i="6" s="1"/>
  <c r="I113" i="6" s="1"/>
  <c r="J24" i="6"/>
  <c r="K24" i="6" s="1"/>
  <c r="G24" i="6"/>
  <c r="I24" i="6" s="1"/>
  <c r="I112" i="6" s="1"/>
  <c r="J23" i="6"/>
  <c r="E111" i="6" s="1"/>
  <c r="G23" i="6"/>
  <c r="H23" i="6" s="1"/>
  <c r="J22" i="6"/>
  <c r="E110" i="6" s="1"/>
  <c r="G22" i="6"/>
  <c r="H22" i="6" s="1"/>
  <c r="J8" i="6"/>
  <c r="K8" i="6" s="1"/>
  <c r="L8" i="6" s="1"/>
  <c r="G12" i="6"/>
  <c r="H12" i="6" s="1"/>
  <c r="G11" i="6"/>
  <c r="H11" i="6" s="1"/>
  <c r="G10" i="6"/>
  <c r="I10" i="6" s="1"/>
  <c r="G9" i="6"/>
  <c r="I9" i="6" s="1"/>
  <c r="G8" i="6"/>
  <c r="H8" i="6" s="1"/>
  <c r="F58" i="8"/>
  <c r="I37" i="8"/>
  <c r="I36" i="8"/>
  <c r="I35" i="8"/>
  <c r="I34" i="8"/>
  <c r="I33" i="8"/>
  <c r="I32" i="8"/>
  <c r="I31" i="8"/>
  <c r="I24" i="8"/>
  <c r="I23" i="8"/>
  <c r="I22" i="8"/>
  <c r="I21" i="8"/>
  <c r="I20" i="8"/>
  <c r="I19" i="8"/>
  <c r="I18" i="8"/>
  <c r="I11" i="8"/>
  <c r="Q36" i="2"/>
  <c r="I10" i="8"/>
  <c r="O36" i="2" s="1"/>
  <c r="I9" i="8"/>
  <c r="M36" i="2" s="1"/>
  <c r="I8" i="8"/>
  <c r="K36" i="2" s="1"/>
  <c r="I7" i="8"/>
  <c r="I36" i="2" s="1"/>
  <c r="G89" i="2"/>
  <c r="S89" i="2" s="1"/>
  <c r="B40" i="6"/>
  <c r="B39" i="6"/>
  <c r="B38" i="6"/>
  <c r="B37" i="6"/>
  <c r="B36" i="6"/>
  <c r="B67" i="6"/>
  <c r="B68" i="6"/>
  <c r="B69" i="6"/>
  <c r="B70" i="6"/>
  <c r="B66" i="6"/>
  <c r="C33" i="3"/>
  <c r="B12" i="6"/>
  <c r="B11" i="6"/>
  <c r="B10" i="6"/>
  <c r="B9" i="6"/>
  <c r="B8" i="6"/>
  <c r="C19" i="5"/>
  <c r="C18" i="5"/>
  <c r="C17" i="5"/>
  <c r="C16" i="5"/>
  <c r="C15" i="5"/>
  <c r="C14" i="5"/>
  <c r="C13" i="5"/>
  <c r="C12" i="5"/>
  <c r="C11" i="5"/>
  <c r="C10" i="5"/>
  <c r="C9" i="5"/>
  <c r="O67" i="5"/>
  <c r="O66" i="5"/>
  <c r="O65" i="5"/>
  <c r="O64" i="5"/>
  <c r="O63" i="5"/>
  <c r="O62" i="5"/>
  <c r="O61" i="5"/>
  <c r="O60" i="5"/>
  <c r="C259" i="5"/>
  <c r="H258" i="5"/>
  <c r="D258" i="5"/>
  <c r="H257" i="5"/>
  <c r="D257" i="5"/>
  <c r="G257" i="5" s="1"/>
  <c r="H256" i="5"/>
  <c r="D256" i="5"/>
  <c r="G256" i="5" s="1"/>
  <c r="H255" i="5"/>
  <c r="D255" i="5"/>
  <c r="G255" i="5" s="1"/>
  <c r="H254" i="5"/>
  <c r="D254" i="5"/>
  <c r="H253" i="5"/>
  <c r="D253" i="5"/>
  <c r="G253" i="5" s="1"/>
  <c r="H252" i="5"/>
  <c r="D252" i="5"/>
  <c r="G252" i="5" s="1"/>
  <c r="H251" i="5"/>
  <c r="D251" i="5"/>
  <c r="G251" i="5" s="1"/>
  <c r="H250" i="5"/>
  <c r="D250" i="5"/>
  <c r="G250" i="5" s="1"/>
  <c r="H249" i="5"/>
  <c r="D249" i="5"/>
  <c r="G249" i="5" s="1"/>
  <c r="H248" i="5"/>
  <c r="D248" i="5"/>
  <c r="G248" i="5" s="1"/>
  <c r="H247" i="5"/>
  <c r="D247" i="5"/>
  <c r="D259" i="5" s="1"/>
  <c r="C241" i="5"/>
  <c r="H240" i="5"/>
  <c r="D240" i="5"/>
  <c r="G240" i="5" s="1"/>
  <c r="H239" i="5"/>
  <c r="D239" i="5"/>
  <c r="G239" i="5" s="1"/>
  <c r="H238" i="5"/>
  <c r="D238" i="5"/>
  <c r="E238" i="5" s="1"/>
  <c r="H237" i="5"/>
  <c r="D237" i="5"/>
  <c r="G237" i="5" s="1"/>
  <c r="H236" i="5"/>
  <c r="D236" i="5"/>
  <c r="G236" i="5" s="1"/>
  <c r="H235" i="5"/>
  <c r="D235" i="5"/>
  <c r="E235" i="5" s="1"/>
  <c r="H234" i="5"/>
  <c r="D234" i="5"/>
  <c r="H233" i="5"/>
  <c r="D233" i="5"/>
  <c r="H232" i="5"/>
  <c r="D232" i="5"/>
  <c r="G232" i="5" s="1"/>
  <c r="H231" i="5"/>
  <c r="D231" i="5"/>
  <c r="E231" i="5" s="1"/>
  <c r="H230" i="5"/>
  <c r="D230" i="5"/>
  <c r="G230" i="5" s="1"/>
  <c r="H229" i="5"/>
  <c r="D229" i="5"/>
  <c r="C223" i="5"/>
  <c r="H222" i="5"/>
  <c r="D222" i="5"/>
  <c r="G222" i="5" s="1"/>
  <c r="H221" i="5"/>
  <c r="D221" i="5"/>
  <c r="G221" i="5" s="1"/>
  <c r="H220" i="5"/>
  <c r="D220" i="5"/>
  <c r="E220" i="5" s="1"/>
  <c r="H219" i="5"/>
  <c r="D219" i="5"/>
  <c r="G219" i="5" s="1"/>
  <c r="H218" i="5"/>
  <c r="D218" i="5"/>
  <c r="G218" i="5" s="1"/>
  <c r="H217" i="5"/>
  <c r="D217" i="5"/>
  <c r="G217" i="5" s="1"/>
  <c r="H216" i="5"/>
  <c r="D216" i="5"/>
  <c r="G216" i="5" s="1"/>
  <c r="H215" i="5"/>
  <c r="D215" i="5"/>
  <c r="G215" i="5" s="1"/>
  <c r="H214" i="5"/>
  <c r="D214" i="5"/>
  <c r="H213" i="5"/>
  <c r="D213" i="5"/>
  <c r="G213" i="5" s="1"/>
  <c r="H212" i="5"/>
  <c r="D212" i="5"/>
  <c r="G212" i="5" s="1"/>
  <c r="H211" i="5"/>
  <c r="D211" i="5"/>
  <c r="C199" i="5"/>
  <c r="H198" i="5"/>
  <c r="D198" i="5"/>
  <c r="E198" i="5" s="1"/>
  <c r="H197" i="5"/>
  <c r="D197" i="5"/>
  <c r="G197" i="5" s="1"/>
  <c r="H196" i="5"/>
  <c r="D196" i="5"/>
  <c r="G196" i="5" s="1"/>
  <c r="H195" i="5"/>
  <c r="D195" i="5"/>
  <c r="G195" i="5" s="1"/>
  <c r="H194" i="5"/>
  <c r="D194" i="5"/>
  <c r="E194" i="5" s="1"/>
  <c r="H193" i="5"/>
  <c r="D193" i="5"/>
  <c r="G193" i="5" s="1"/>
  <c r="H192" i="5"/>
  <c r="D192" i="5"/>
  <c r="H191" i="5"/>
  <c r="D191" i="5"/>
  <c r="G191" i="5" s="1"/>
  <c r="H190" i="5"/>
  <c r="D190" i="5"/>
  <c r="H189" i="5"/>
  <c r="D189" i="5"/>
  <c r="G189" i="5" s="1"/>
  <c r="H188" i="5"/>
  <c r="D188" i="5"/>
  <c r="H187" i="5"/>
  <c r="D187" i="5"/>
  <c r="E187" i="5" s="1"/>
  <c r="C181" i="5"/>
  <c r="H180" i="5"/>
  <c r="D180" i="5"/>
  <c r="E180" i="5" s="1"/>
  <c r="H179" i="5"/>
  <c r="D179" i="5"/>
  <c r="G179" i="5" s="1"/>
  <c r="H178" i="5"/>
  <c r="D178" i="5"/>
  <c r="G178" i="5" s="1"/>
  <c r="H177" i="5"/>
  <c r="D177" i="5"/>
  <c r="G177" i="5" s="1"/>
  <c r="H176" i="5"/>
  <c r="D176" i="5"/>
  <c r="H175" i="5"/>
  <c r="D175" i="5"/>
  <c r="G175" i="5" s="1"/>
  <c r="H174" i="5"/>
  <c r="D174" i="5"/>
  <c r="G174" i="5" s="1"/>
  <c r="H173" i="5"/>
  <c r="D173" i="5"/>
  <c r="G173" i="5" s="1"/>
  <c r="H172" i="5"/>
  <c r="D172" i="5"/>
  <c r="G172" i="5" s="1"/>
  <c r="H171" i="5"/>
  <c r="D171" i="5"/>
  <c r="E171" i="5" s="1"/>
  <c r="H170" i="5"/>
  <c r="D170" i="5"/>
  <c r="H169" i="5"/>
  <c r="H181" i="5" s="1"/>
  <c r="D169" i="5"/>
  <c r="G169" i="5" s="1"/>
  <c r="C163" i="5"/>
  <c r="H162" i="5"/>
  <c r="D162" i="5"/>
  <c r="G162" i="5" s="1"/>
  <c r="H161" i="5"/>
  <c r="D161" i="5"/>
  <c r="H160" i="5"/>
  <c r="D160" i="5"/>
  <c r="E160" i="5" s="1"/>
  <c r="H159" i="5"/>
  <c r="D159" i="5"/>
  <c r="E159" i="5" s="1"/>
  <c r="G159" i="5"/>
  <c r="H158" i="5"/>
  <c r="D158" i="5"/>
  <c r="G158" i="5" s="1"/>
  <c r="H157" i="5"/>
  <c r="D157" i="5"/>
  <c r="E157" i="5" s="1"/>
  <c r="H156" i="5"/>
  <c r="D156" i="5"/>
  <c r="H155" i="5"/>
  <c r="D155" i="5"/>
  <c r="E155" i="5" s="1"/>
  <c r="H154" i="5"/>
  <c r="D154" i="5"/>
  <c r="H153" i="5"/>
  <c r="D153" i="5"/>
  <c r="E153" i="5" s="1"/>
  <c r="H152" i="5"/>
  <c r="D152" i="5"/>
  <c r="H151" i="5"/>
  <c r="D151" i="5"/>
  <c r="G151" i="5" s="1"/>
  <c r="C145" i="5"/>
  <c r="H144" i="5"/>
  <c r="D144" i="5"/>
  <c r="G144" i="5" s="1"/>
  <c r="H143" i="5"/>
  <c r="D143" i="5"/>
  <c r="G143" i="5" s="1"/>
  <c r="H142" i="5"/>
  <c r="D142" i="5"/>
  <c r="E142" i="5" s="1"/>
  <c r="H141" i="5"/>
  <c r="D141" i="5"/>
  <c r="G141" i="5" s="1"/>
  <c r="H140" i="5"/>
  <c r="D140" i="5"/>
  <c r="H139" i="5"/>
  <c r="D139" i="5"/>
  <c r="G139" i="5" s="1"/>
  <c r="H138" i="5"/>
  <c r="D138" i="5"/>
  <c r="E138" i="5" s="1"/>
  <c r="G138" i="5"/>
  <c r="H137" i="5"/>
  <c r="D137" i="5"/>
  <c r="H136" i="5"/>
  <c r="D136" i="5"/>
  <c r="G136" i="5" s="1"/>
  <c r="H135" i="5"/>
  <c r="D135" i="5"/>
  <c r="G135" i="5" s="1"/>
  <c r="H134" i="5"/>
  <c r="D134" i="5"/>
  <c r="E134" i="5" s="1"/>
  <c r="H133" i="5"/>
  <c r="D133" i="5"/>
  <c r="G133" i="5" s="1"/>
  <c r="O55" i="5"/>
  <c r="K130" i="4"/>
  <c r="L129" i="4"/>
  <c r="N129" i="4"/>
  <c r="L128" i="4"/>
  <c r="N128" i="4"/>
  <c r="L127" i="4"/>
  <c r="N127" i="4"/>
  <c r="L126" i="4"/>
  <c r="L130" i="4"/>
  <c r="H20" i="4"/>
  <c r="K122" i="4"/>
  <c r="L121" i="4"/>
  <c r="N121" i="4"/>
  <c r="L120" i="4"/>
  <c r="N120" i="4"/>
  <c r="L119" i="4"/>
  <c r="N119" i="4"/>
  <c r="L118" i="4"/>
  <c r="K114" i="4"/>
  <c r="L113" i="4"/>
  <c r="N113" i="4"/>
  <c r="L112" i="4"/>
  <c r="N112" i="4"/>
  <c r="L111" i="4"/>
  <c r="N110" i="4"/>
  <c r="L110" i="4"/>
  <c r="K106" i="4"/>
  <c r="L105" i="4"/>
  <c r="N105" i="4"/>
  <c r="L104" i="4"/>
  <c r="L103" i="4"/>
  <c r="N103" i="4"/>
  <c r="N102" i="4"/>
  <c r="L102" i="4"/>
  <c r="K98" i="4"/>
  <c r="L97" i="4"/>
  <c r="N97" i="4"/>
  <c r="L96" i="4"/>
  <c r="N96" i="4"/>
  <c r="N95" i="4"/>
  <c r="L95" i="4"/>
  <c r="L94" i="4"/>
  <c r="K90" i="4"/>
  <c r="L89" i="4"/>
  <c r="N89" i="4"/>
  <c r="N88" i="4"/>
  <c r="L88" i="4"/>
  <c r="L87" i="4"/>
  <c r="N87" i="4"/>
  <c r="L86" i="4"/>
  <c r="K78" i="4"/>
  <c r="L77" i="4"/>
  <c r="N77" i="4"/>
  <c r="L76" i="4"/>
  <c r="N76" i="4"/>
  <c r="L75" i="4"/>
  <c r="N75" i="4"/>
  <c r="L74" i="4"/>
  <c r="L78" i="4"/>
  <c r="K70" i="4"/>
  <c r="L69" i="4"/>
  <c r="N69" i="4"/>
  <c r="L68" i="4"/>
  <c r="L67" i="4"/>
  <c r="N67" i="4"/>
  <c r="L66" i="4"/>
  <c r="N66" i="4"/>
  <c r="K62" i="4"/>
  <c r="L61" i="4"/>
  <c r="N61" i="4"/>
  <c r="L60" i="4"/>
  <c r="N60" i="4"/>
  <c r="N59" i="4"/>
  <c r="L59" i="4"/>
  <c r="L58" i="4"/>
  <c r="K54" i="4"/>
  <c r="L53" i="4"/>
  <c r="N53" i="4"/>
  <c r="L52" i="4"/>
  <c r="N52" i="4"/>
  <c r="L51" i="4"/>
  <c r="N51" i="4"/>
  <c r="L50" i="4"/>
  <c r="L46" i="4"/>
  <c r="K46" i="4"/>
  <c r="L45" i="4"/>
  <c r="N45" i="4"/>
  <c r="L44" i="4"/>
  <c r="N44" i="4"/>
  <c r="L43" i="4"/>
  <c r="N43" i="4"/>
  <c r="N42" i="4"/>
  <c r="L42" i="4"/>
  <c r="K38" i="4"/>
  <c r="L37" i="4"/>
  <c r="N37" i="4"/>
  <c r="L36" i="4"/>
  <c r="L35" i="4"/>
  <c r="N35" i="4"/>
  <c r="L34" i="4"/>
  <c r="N34" i="4"/>
  <c r="D130" i="4"/>
  <c r="E129" i="4"/>
  <c r="G129" i="4"/>
  <c r="E128" i="4"/>
  <c r="G128" i="4"/>
  <c r="E127" i="4"/>
  <c r="E126" i="4"/>
  <c r="D122" i="4"/>
  <c r="E121" i="4"/>
  <c r="G121" i="4"/>
  <c r="E120" i="4"/>
  <c r="G120" i="4"/>
  <c r="G119" i="4"/>
  <c r="E119" i="4"/>
  <c r="E118" i="4"/>
  <c r="D114" i="4"/>
  <c r="E113" i="4"/>
  <c r="G113" i="4"/>
  <c r="E112" i="4"/>
  <c r="G112" i="4"/>
  <c r="E111" i="4"/>
  <c r="G111" i="4"/>
  <c r="E110" i="4"/>
  <c r="E114" i="4"/>
  <c r="D106" i="4"/>
  <c r="E105" i="4"/>
  <c r="G105" i="4"/>
  <c r="G104" i="4"/>
  <c r="E104" i="4"/>
  <c r="E103" i="4"/>
  <c r="G103" i="4"/>
  <c r="E102" i="4"/>
  <c r="E106" i="4"/>
  <c r="D98" i="4"/>
  <c r="E97" i="4"/>
  <c r="G97" i="4"/>
  <c r="E96" i="4"/>
  <c r="E95" i="4"/>
  <c r="G95" i="4"/>
  <c r="E94" i="4"/>
  <c r="G94" i="4"/>
  <c r="D90" i="4"/>
  <c r="E89" i="4"/>
  <c r="G89" i="4"/>
  <c r="E88" i="4"/>
  <c r="G88" i="4"/>
  <c r="G87" i="4"/>
  <c r="E87" i="4"/>
  <c r="E86" i="4"/>
  <c r="D78" i="4"/>
  <c r="E77" i="4"/>
  <c r="G77" i="4"/>
  <c r="E76" i="4"/>
  <c r="G76" i="4"/>
  <c r="E75" i="4"/>
  <c r="G75" i="4"/>
  <c r="E74" i="4"/>
  <c r="D70" i="4"/>
  <c r="E69" i="4"/>
  <c r="G69" i="4"/>
  <c r="G68" i="4"/>
  <c r="E68" i="4"/>
  <c r="E67" i="4"/>
  <c r="G67" i="4"/>
  <c r="E66" i="4"/>
  <c r="D62" i="4"/>
  <c r="E61" i="4"/>
  <c r="G61" i="4"/>
  <c r="E60" i="4"/>
  <c r="E59" i="4"/>
  <c r="G59" i="4"/>
  <c r="E58" i="4"/>
  <c r="G58" i="4"/>
  <c r="D54" i="4"/>
  <c r="C11" i="4"/>
  <c r="E53" i="4"/>
  <c r="G53" i="4"/>
  <c r="E52" i="4"/>
  <c r="G52" i="4"/>
  <c r="G51" i="4"/>
  <c r="E51" i="4"/>
  <c r="E50" i="4"/>
  <c r="D46" i="4"/>
  <c r="E45" i="4"/>
  <c r="G45" i="4"/>
  <c r="E44" i="4"/>
  <c r="G44" i="4"/>
  <c r="E43" i="4"/>
  <c r="G43" i="4"/>
  <c r="E42" i="4"/>
  <c r="K21" i="4"/>
  <c r="M14" i="26"/>
  <c r="E11" i="25" s="1"/>
  <c r="E177" i="5"/>
  <c r="E133" i="5"/>
  <c r="E135" i="5"/>
  <c r="E175" i="5"/>
  <c r="E221" i="5"/>
  <c r="E229" i="5"/>
  <c r="E237" i="5"/>
  <c r="G142" i="5"/>
  <c r="G156" i="5"/>
  <c r="E156" i="5"/>
  <c r="G192" i="5"/>
  <c r="E192" i="5"/>
  <c r="G154" i="5"/>
  <c r="E154" i="5"/>
  <c r="E162" i="5"/>
  <c r="G198" i="5"/>
  <c r="E230" i="5"/>
  <c r="E256" i="5"/>
  <c r="G126" i="4"/>
  <c r="C13" i="25"/>
  <c r="C11" i="25"/>
  <c r="C9" i="25"/>
  <c r="Q12" i="28"/>
  <c r="Q7" i="28"/>
  <c r="B2" i="25"/>
  <c r="K7" i="26"/>
  <c r="I7" i="26"/>
  <c r="G7" i="26"/>
  <c r="E7" i="26"/>
  <c r="B3" i="26"/>
  <c r="O6" i="24"/>
  <c r="O7" i="28" s="1"/>
  <c r="M6" i="24"/>
  <c r="M7" i="28" s="1"/>
  <c r="K6" i="24"/>
  <c r="K7" i="28"/>
  <c r="I6" i="24"/>
  <c r="I7" i="28" s="1"/>
  <c r="G6" i="24"/>
  <c r="G7" i="28" s="1"/>
  <c r="E6" i="24"/>
  <c r="E7" i="28" s="1"/>
  <c r="C34" i="3"/>
  <c r="G23" i="3"/>
  <c r="C31" i="3"/>
  <c r="F23" i="3"/>
  <c r="C30" i="3"/>
  <c r="Q6" i="2"/>
  <c r="G6" i="2"/>
  <c r="O6" i="2"/>
  <c r="M6" i="2"/>
  <c r="K6" i="2"/>
  <c r="I6" i="2"/>
  <c r="K96" i="2"/>
  <c r="M96" i="2"/>
  <c r="O96" i="2"/>
  <c r="Q96" i="2"/>
  <c r="H90" i="13"/>
  <c r="H89" i="13"/>
  <c r="H88" i="13"/>
  <c r="H87" i="13"/>
  <c r="H86" i="13"/>
  <c r="H85" i="13"/>
  <c r="H84" i="13"/>
  <c r="H83" i="13"/>
  <c r="F29" i="9"/>
  <c r="F28" i="9"/>
  <c r="F27" i="9"/>
  <c r="F26" i="9"/>
  <c r="F25" i="9"/>
  <c r="F24" i="9"/>
  <c r="F23" i="9"/>
  <c r="F22" i="9"/>
  <c r="F21" i="9"/>
  <c r="F20" i="9"/>
  <c r="F19" i="9"/>
  <c r="F18" i="9"/>
  <c r="F11" i="9"/>
  <c r="F10" i="9"/>
  <c r="F9" i="9"/>
  <c r="F8" i="9"/>
  <c r="F7" i="9"/>
  <c r="H47" i="13"/>
  <c r="B3" i="28"/>
  <c r="H48" i="13"/>
  <c r="F116" i="13"/>
  <c r="H28" i="13"/>
  <c r="G28" i="13"/>
  <c r="H25" i="20"/>
  <c r="H27" i="20"/>
  <c r="G99" i="2"/>
  <c r="E25" i="20"/>
  <c r="F27" i="20"/>
  <c r="G49" i="2"/>
  <c r="D25" i="20"/>
  <c r="E27" i="21"/>
  <c r="V85" i="22"/>
  <c r="U85" i="22"/>
  <c r="T85" i="22"/>
  <c r="S85" i="22"/>
  <c r="R85" i="22"/>
  <c r="U77" i="22"/>
  <c r="Q77" i="22"/>
  <c r="T76" i="22"/>
  <c r="R76" i="22"/>
  <c r="S76" i="22"/>
  <c r="T75" i="22"/>
  <c r="T77" i="22"/>
  <c r="I19" i="22"/>
  <c r="R75" i="22"/>
  <c r="S75" i="22"/>
  <c r="V75" i="22"/>
  <c r="T74" i="22"/>
  <c r="R74" i="22"/>
  <c r="S74" i="22"/>
  <c r="U71" i="22"/>
  <c r="Q71" i="22"/>
  <c r="E18" i="22"/>
  <c r="G18" i="22"/>
  <c r="T70" i="22"/>
  <c r="R70" i="22"/>
  <c r="S70" i="22"/>
  <c r="T69" i="22"/>
  <c r="R69" i="22"/>
  <c r="S69" i="22"/>
  <c r="V69" i="22"/>
  <c r="T68" i="22"/>
  <c r="T71" i="22"/>
  <c r="I18" i="22"/>
  <c r="R68" i="22"/>
  <c r="R71" i="22"/>
  <c r="S68" i="22"/>
  <c r="U65" i="22"/>
  <c r="Q65" i="22"/>
  <c r="E17" i="22"/>
  <c r="G17" i="22"/>
  <c r="T64" i="22"/>
  <c r="T65" i="22"/>
  <c r="I17" i="22"/>
  <c r="R64" i="22"/>
  <c r="T63" i="22"/>
  <c r="R63" i="22"/>
  <c r="S63" i="22"/>
  <c r="T62" i="22"/>
  <c r="R62" i="22"/>
  <c r="S62" i="22"/>
  <c r="V62" i="22"/>
  <c r="U59" i="22"/>
  <c r="Q59" i="22"/>
  <c r="E16" i="22"/>
  <c r="G16" i="22"/>
  <c r="T58" i="22"/>
  <c r="R58" i="22"/>
  <c r="S58" i="22"/>
  <c r="V58" i="22"/>
  <c r="T57" i="22"/>
  <c r="R57" i="22"/>
  <c r="S57" i="22"/>
  <c r="V57" i="22"/>
  <c r="T56" i="22"/>
  <c r="T59" i="22"/>
  <c r="I16" i="22"/>
  <c r="R56" i="22"/>
  <c r="S56" i="22"/>
  <c r="R59" i="22"/>
  <c r="U53" i="22"/>
  <c r="Q53" i="22"/>
  <c r="E15" i="22"/>
  <c r="G15" i="22"/>
  <c r="T52" i="22"/>
  <c r="R52" i="22"/>
  <c r="S52" i="22"/>
  <c r="V52" i="22"/>
  <c r="T51" i="22"/>
  <c r="R51" i="22"/>
  <c r="S51" i="22"/>
  <c r="T50" i="22"/>
  <c r="R50" i="22"/>
  <c r="R53" i="22"/>
  <c r="U47" i="22"/>
  <c r="Q47" i="22"/>
  <c r="E14" i="22"/>
  <c r="G14" i="22"/>
  <c r="T46" i="22"/>
  <c r="R46" i="22"/>
  <c r="S46" i="22"/>
  <c r="V46" i="22"/>
  <c r="T45" i="22"/>
  <c r="R45" i="22"/>
  <c r="S45" i="22"/>
  <c r="T44" i="22"/>
  <c r="R44" i="22"/>
  <c r="R47" i="22"/>
  <c r="S44" i="22"/>
  <c r="V44" i="22"/>
  <c r="U41" i="22"/>
  <c r="Q41" i="22"/>
  <c r="E13" i="22"/>
  <c r="G13" i="22"/>
  <c r="T40" i="22"/>
  <c r="R40" i="22"/>
  <c r="S40" i="22"/>
  <c r="V40" i="22"/>
  <c r="T39" i="22"/>
  <c r="R39" i="22"/>
  <c r="S39" i="22"/>
  <c r="V39" i="22"/>
  <c r="T38" i="22"/>
  <c r="T41" i="22"/>
  <c r="I13" i="22"/>
  <c r="R38" i="22"/>
  <c r="U35" i="22"/>
  <c r="Q35" i="22"/>
  <c r="E12" i="22"/>
  <c r="G12" i="22"/>
  <c r="T34" i="22"/>
  <c r="R34" i="22"/>
  <c r="S34" i="22"/>
  <c r="V34" i="22"/>
  <c r="T33" i="22"/>
  <c r="R33" i="22"/>
  <c r="S33" i="22"/>
  <c r="V33" i="22"/>
  <c r="T32" i="22"/>
  <c r="T35" i="22"/>
  <c r="I12" i="22"/>
  <c r="R32" i="22"/>
  <c r="U29" i="22"/>
  <c r="Q29" i="22"/>
  <c r="E11" i="22"/>
  <c r="G11" i="22"/>
  <c r="T28" i="22"/>
  <c r="R28" i="22"/>
  <c r="S28" i="22"/>
  <c r="T27" i="22"/>
  <c r="R27" i="22"/>
  <c r="S27" i="22"/>
  <c r="V27" i="22"/>
  <c r="T26" i="22"/>
  <c r="T29" i="22"/>
  <c r="I11" i="22"/>
  <c r="R26" i="22"/>
  <c r="U23" i="22"/>
  <c r="Q23" i="22"/>
  <c r="E10" i="22"/>
  <c r="G10" i="22"/>
  <c r="T22" i="22"/>
  <c r="R22" i="22"/>
  <c r="S22" i="22"/>
  <c r="V22" i="22"/>
  <c r="T21" i="22"/>
  <c r="R21" i="22"/>
  <c r="S21" i="22"/>
  <c r="V21" i="22"/>
  <c r="T20" i="22"/>
  <c r="T23" i="22"/>
  <c r="I10" i="22"/>
  <c r="R20" i="22"/>
  <c r="U17" i="22"/>
  <c r="U79" i="22"/>
  <c r="Q17" i="22"/>
  <c r="E9" i="22"/>
  <c r="G9" i="22"/>
  <c r="T16" i="22"/>
  <c r="R16" i="22"/>
  <c r="S16" i="22"/>
  <c r="V16" i="22"/>
  <c r="T15" i="22"/>
  <c r="V15" i="22"/>
  <c r="R15" i="22"/>
  <c r="T14" i="22"/>
  <c r="T17" i="22"/>
  <c r="I9" i="22"/>
  <c r="R14" i="22"/>
  <c r="U11" i="22"/>
  <c r="Q11" i="22"/>
  <c r="E8" i="22"/>
  <c r="T10" i="22"/>
  <c r="R10" i="22"/>
  <c r="S10" i="22"/>
  <c r="V10" i="22"/>
  <c r="T9" i="22"/>
  <c r="T11" i="22"/>
  <c r="R9" i="22"/>
  <c r="S9" i="22"/>
  <c r="T8" i="22"/>
  <c r="R8" i="22"/>
  <c r="S8" i="22"/>
  <c r="V8" i="22"/>
  <c r="D12" i="21"/>
  <c r="E57" i="21"/>
  <c r="G101" i="2"/>
  <c r="E12" i="21"/>
  <c r="E31" i="9"/>
  <c r="F62" i="8"/>
  <c r="F60" i="8"/>
  <c r="E38" i="8"/>
  <c r="E62" i="8" s="1"/>
  <c r="E25" i="8"/>
  <c r="E12" i="8"/>
  <c r="E58" i="8" s="1"/>
  <c r="K25" i="8"/>
  <c r="K41" i="8" s="1"/>
  <c r="G95" i="2" s="1"/>
  <c r="K60" i="8"/>
  <c r="H25" i="8"/>
  <c r="H60" i="8" s="1"/>
  <c r="G25" i="8"/>
  <c r="G60" i="8" s="1"/>
  <c r="D66" i="7"/>
  <c r="E26" i="7"/>
  <c r="E66" i="7"/>
  <c r="D65" i="7"/>
  <c r="E65" i="7"/>
  <c r="F25" i="7"/>
  <c r="F24" i="7"/>
  <c r="H24" i="7"/>
  <c r="F23" i="7"/>
  <c r="F22" i="7"/>
  <c r="F21" i="7"/>
  <c r="F36" i="7"/>
  <c r="H36" i="7"/>
  <c r="R11" i="22"/>
  <c r="D57" i="21"/>
  <c r="G51" i="2"/>
  <c r="S15" i="22"/>
  <c r="S26" i="22"/>
  <c r="B2" i="20"/>
  <c r="H12" i="20"/>
  <c r="H14" i="20"/>
  <c r="E12" i="20"/>
  <c r="D12" i="20"/>
  <c r="F14" i="20"/>
  <c r="O58" i="5"/>
  <c r="O57" i="5"/>
  <c r="O56" i="5"/>
  <c r="O59" i="5"/>
  <c r="H8" i="3"/>
  <c r="B2" i="2"/>
  <c r="F28" i="12"/>
  <c r="G97" i="2" s="1"/>
  <c r="G38" i="8"/>
  <c r="G62" i="8" s="1"/>
  <c r="G12" i="8"/>
  <c r="G58" i="8" s="1"/>
  <c r="H38" i="8"/>
  <c r="H12" i="8"/>
  <c r="H58" i="8" s="1"/>
  <c r="E41" i="5"/>
  <c r="E44" i="5" s="1"/>
  <c r="G20" i="2" s="1"/>
  <c r="H12" i="12"/>
  <c r="H31" i="12" s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D38" i="4"/>
  <c r="C10" i="4"/>
  <c r="C13" i="4"/>
  <c r="C14" i="4"/>
  <c r="C15" i="4"/>
  <c r="C16" i="4"/>
  <c r="C17" i="4"/>
  <c r="C18" i="4"/>
  <c r="E18" i="4"/>
  <c r="C19" i="4"/>
  <c r="C20" i="4"/>
  <c r="G88" i="2"/>
  <c r="H55" i="5"/>
  <c r="H73" i="5"/>
  <c r="H92" i="5"/>
  <c r="H110" i="5"/>
  <c r="H56" i="5"/>
  <c r="H74" i="5"/>
  <c r="H93" i="5"/>
  <c r="H111" i="5"/>
  <c r="H57" i="5"/>
  <c r="H75" i="5"/>
  <c r="H94" i="5"/>
  <c r="H112" i="5"/>
  <c r="H58" i="5"/>
  <c r="H76" i="5"/>
  <c r="H95" i="5"/>
  <c r="H113" i="5"/>
  <c r="H59" i="5"/>
  <c r="H77" i="5"/>
  <c r="H96" i="5"/>
  <c r="H114" i="5"/>
  <c r="H60" i="5"/>
  <c r="H78" i="5"/>
  <c r="H97" i="5"/>
  <c r="H115" i="5"/>
  <c r="H61" i="5"/>
  <c r="H79" i="5"/>
  <c r="H98" i="5"/>
  <c r="H116" i="5"/>
  <c r="H62" i="5"/>
  <c r="H80" i="5"/>
  <c r="H99" i="5"/>
  <c r="H117" i="5"/>
  <c r="H63" i="5"/>
  <c r="H81" i="5"/>
  <c r="H100" i="5"/>
  <c r="H118" i="5"/>
  <c r="H64" i="5"/>
  <c r="H82" i="5"/>
  <c r="H101" i="5"/>
  <c r="H119" i="5"/>
  <c r="H65" i="5"/>
  <c r="H83" i="5"/>
  <c r="H102" i="5"/>
  <c r="H120" i="5"/>
  <c r="H66" i="5"/>
  <c r="H19" i="5" s="1"/>
  <c r="H84" i="5"/>
  <c r="H103" i="5"/>
  <c r="H121" i="5"/>
  <c r="K38" i="8"/>
  <c r="K12" i="8"/>
  <c r="K58" i="8"/>
  <c r="F12" i="12"/>
  <c r="L21" i="4"/>
  <c r="H9" i="7"/>
  <c r="G8" i="24"/>
  <c r="H10" i="7"/>
  <c r="I8" i="24" s="1"/>
  <c r="F38" i="7"/>
  <c r="H38" i="7"/>
  <c r="K9" i="24"/>
  <c r="H12" i="7"/>
  <c r="M8" i="24"/>
  <c r="F39" i="7"/>
  <c r="H39" i="7"/>
  <c r="M9" i="24"/>
  <c r="H13" i="7"/>
  <c r="O8" i="24"/>
  <c r="H21" i="7"/>
  <c r="H22" i="7"/>
  <c r="H23" i="7"/>
  <c r="H25" i="7"/>
  <c r="F37" i="7"/>
  <c r="F40" i="7"/>
  <c r="H40" i="7"/>
  <c r="O9" i="24"/>
  <c r="F48" i="7"/>
  <c r="F49" i="7"/>
  <c r="H49" i="7"/>
  <c r="F50" i="7"/>
  <c r="H50" i="7"/>
  <c r="F51" i="7"/>
  <c r="H51" i="7"/>
  <c r="F52" i="7"/>
  <c r="H52" i="7"/>
  <c r="B2" i="5"/>
  <c r="B49" i="5" s="1"/>
  <c r="D55" i="5"/>
  <c r="D67" i="5" s="1"/>
  <c r="D73" i="5"/>
  <c r="D92" i="5"/>
  <c r="E92" i="5" s="1"/>
  <c r="G92" i="5"/>
  <c r="D110" i="5"/>
  <c r="E110" i="5" s="1"/>
  <c r="D56" i="5"/>
  <c r="D74" i="5"/>
  <c r="G74" i="5" s="1"/>
  <c r="D93" i="5"/>
  <c r="E93" i="5" s="1"/>
  <c r="D111" i="5"/>
  <c r="G111" i="5" s="1"/>
  <c r="D57" i="5"/>
  <c r="G57" i="5" s="1"/>
  <c r="D75" i="5"/>
  <c r="E75" i="5" s="1"/>
  <c r="D94" i="5"/>
  <c r="G94" i="5" s="1"/>
  <c r="D112" i="5"/>
  <c r="G112" i="5" s="1"/>
  <c r="D58" i="5"/>
  <c r="D76" i="5"/>
  <c r="D95" i="5"/>
  <c r="G95" i="5" s="1"/>
  <c r="D113" i="5"/>
  <c r="G113" i="5" s="1"/>
  <c r="D59" i="5"/>
  <c r="G59" i="5" s="1"/>
  <c r="D77" i="5"/>
  <c r="D96" i="5"/>
  <c r="G96" i="5" s="1"/>
  <c r="D114" i="5"/>
  <c r="G114" i="5" s="1"/>
  <c r="D60" i="5"/>
  <c r="D78" i="5"/>
  <c r="E78" i="5" s="1"/>
  <c r="D97" i="5"/>
  <c r="D115" i="5"/>
  <c r="G115" i="5" s="1"/>
  <c r="D61" i="5"/>
  <c r="D79" i="5"/>
  <c r="G79" i="5" s="1"/>
  <c r="D98" i="5"/>
  <c r="G98" i="5" s="1"/>
  <c r="D116" i="5"/>
  <c r="E116" i="5" s="1"/>
  <c r="D62" i="5"/>
  <c r="D80" i="5"/>
  <c r="G80" i="5" s="1"/>
  <c r="D99" i="5"/>
  <c r="G99" i="5" s="1"/>
  <c r="D117" i="5"/>
  <c r="G117" i="5" s="1"/>
  <c r="D63" i="5"/>
  <c r="G63" i="5" s="1"/>
  <c r="D81" i="5"/>
  <c r="E81" i="5" s="1"/>
  <c r="D100" i="5"/>
  <c r="G100" i="5" s="1"/>
  <c r="D118" i="5"/>
  <c r="G118" i="5" s="1"/>
  <c r="D64" i="5"/>
  <c r="G64" i="5" s="1"/>
  <c r="D82" i="5"/>
  <c r="G82" i="5" s="1"/>
  <c r="D101" i="5"/>
  <c r="G101" i="5" s="1"/>
  <c r="D119" i="5"/>
  <c r="G119" i="5" s="1"/>
  <c r="D65" i="5"/>
  <c r="G65" i="5" s="1"/>
  <c r="D83" i="5"/>
  <c r="G83" i="5" s="1"/>
  <c r="D102" i="5"/>
  <c r="G102" i="5" s="1"/>
  <c r="D120" i="5"/>
  <c r="G120" i="5" s="1"/>
  <c r="D66" i="5"/>
  <c r="E66" i="5" s="1"/>
  <c r="D84" i="5"/>
  <c r="G84" i="5" s="1"/>
  <c r="D103" i="5"/>
  <c r="G103" i="5" s="1"/>
  <c r="D121" i="5"/>
  <c r="G121" i="5" s="1"/>
  <c r="D41" i="5"/>
  <c r="B2" i="12"/>
  <c r="B2" i="21" s="1"/>
  <c r="G28" i="12"/>
  <c r="E28" i="12"/>
  <c r="B2" i="13"/>
  <c r="B7" i="19"/>
  <c r="D53" i="7"/>
  <c r="D68" i="7"/>
  <c r="D41" i="7"/>
  <c r="D67" i="7"/>
  <c r="D69" i="7"/>
  <c r="E53" i="7"/>
  <c r="E68" i="7"/>
  <c r="E41" i="7"/>
  <c r="E67" i="7"/>
  <c r="R26" i="4"/>
  <c r="V12" i="4"/>
  <c r="V26" i="4"/>
  <c r="Y22" i="4"/>
  <c r="V21" i="4"/>
  <c r="E34" i="4"/>
  <c r="E35" i="4"/>
  <c r="G35" i="4"/>
  <c r="E36" i="4"/>
  <c r="G36" i="4"/>
  <c r="E37" i="4"/>
  <c r="G37" i="4"/>
  <c r="G10" i="4"/>
  <c r="G11" i="4"/>
  <c r="G12" i="4"/>
  <c r="G13" i="4"/>
  <c r="G15" i="4"/>
  <c r="G16" i="4"/>
  <c r="G17" i="4"/>
  <c r="G19" i="4"/>
  <c r="G20" i="4"/>
  <c r="I20" i="4"/>
  <c r="I84" i="13"/>
  <c r="I85" i="13"/>
  <c r="I87" i="13"/>
  <c r="I88" i="13"/>
  <c r="I89" i="13"/>
  <c r="I90" i="13"/>
  <c r="G92" i="13"/>
  <c r="G12" i="12"/>
  <c r="C122" i="5"/>
  <c r="C104" i="5"/>
  <c r="C85" i="5"/>
  <c r="C67" i="5"/>
  <c r="G14" i="4"/>
  <c r="G18" i="4"/>
  <c r="J20" i="5"/>
  <c r="B2" i="9"/>
  <c r="B2" i="8"/>
  <c r="B3" i="7"/>
  <c r="B3" i="6"/>
  <c r="B47" i="6" s="1"/>
  <c r="B2" i="4"/>
  <c r="B3" i="3"/>
  <c r="G58" i="5"/>
  <c r="E112" i="5"/>
  <c r="E60" i="5"/>
  <c r="G60" i="5"/>
  <c r="E56" i="5"/>
  <c r="G56" i="5"/>
  <c r="E120" i="5"/>
  <c r="D18" i="4"/>
  <c r="E74" i="5"/>
  <c r="F26" i="7"/>
  <c r="F66" i="7"/>
  <c r="E57" i="5"/>
  <c r="E63" i="5"/>
  <c r="E79" i="5"/>
  <c r="E59" i="5"/>
  <c r="I83" i="13"/>
  <c r="D17" i="4"/>
  <c r="H14" i="4"/>
  <c r="I14" i="4"/>
  <c r="H26" i="7"/>
  <c r="K133" i="4"/>
  <c r="H10" i="4"/>
  <c r="E17" i="4"/>
  <c r="I10" i="4"/>
  <c r="I54" i="6"/>
  <c r="I119" i="6" s="1"/>
  <c r="H54" i="6"/>
  <c r="H119" i="6" s="1"/>
  <c r="G90" i="2"/>
  <c r="S90" i="2" s="1"/>
  <c r="G9" i="24"/>
  <c r="E82" i="5"/>
  <c r="G254" i="5"/>
  <c r="E254" i="5"/>
  <c r="G61" i="5"/>
  <c r="S11" i="22"/>
  <c r="V63" i="22"/>
  <c r="N126" i="4"/>
  <c r="N130" i="4"/>
  <c r="L62" i="4"/>
  <c r="H12" i="4"/>
  <c r="I12" i="4"/>
  <c r="N58" i="4"/>
  <c r="N62" i="4"/>
  <c r="L106" i="4"/>
  <c r="H17" i="4"/>
  <c r="N104" i="4"/>
  <c r="N106" i="4"/>
  <c r="G152" i="5"/>
  <c r="E152" i="5"/>
  <c r="H104" i="5"/>
  <c r="K62" i="8"/>
  <c r="K64" i="8" s="1"/>
  <c r="E102" i="5"/>
  <c r="H48" i="7"/>
  <c r="H53" i="7"/>
  <c r="F53" i="7"/>
  <c r="F68" i="7"/>
  <c r="H23" i="3"/>
  <c r="G10" i="2"/>
  <c r="S10" i="2" s="1"/>
  <c r="S11" i="2" s="1"/>
  <c r="G8" i="31" s="1"/>
  <c r="V26" i="22"/>
  <c r="V70" i="22"/>
  <c r="E69" i="7"/>
  <c r="T53" i="22"/>
  <c r="I15" i="22"/>
  <c r="G31" i="9"/>
  <c r="G41" i="2" s="1"/>
  <c r="D133" i="4"/>
  <c r="C12" i="4"/>
  <c r="E12" i="4"/>
  <c r="E8" i="24"/>
  <c r="H66" i="7"/>
  <c r="V56" i="22"/>
  <c r="V59" i="22"/>
  <c r="S59" i="22"/>
  <c r="E61" i="5"/>
  <c r="S47" i="22"/>
  <c r="S50" i="22"/>
  <c r="E60" i="8"/>
  <c r="E41" i="8"/>
  <c r="V9" i="22"/>
  <c r="V11" i="22"/>
  <c r="S14" i="22"/>
  <c r="R17" i="22"/>
  <c r="V51" i="22"/>
  <c r="V68" i="22"/>
  <c r="V76" i="22"/>
  <c r="G194" i="5"/>
  <c r="D181" i="5"/>
  <c r="E78" i="4"/>
  <c r="D14" i="4"/>
  <c r="E98" i="4"/>
  <c r="D16" i="4"/>
  <c r="G96" i="4"/>
  <c r="G98" i="4"/>
  <c r="E122" i="4"/>
  <c r="D19" i="4"/>
  <c r="G118" i="4"/>
  <c r="G122" i="4"/>
  <c r="L98" i="4"/>
  <c r="H16" i="4"/>
  <c r="N94" i="4"/>
  <c r="N98" i="4"/>
  <c r="G140" i="5"/>
  <c r="E140" i="5"/>
  <c r="G161" i="5"/>
  <c r="E161" i="5"/>
  <c r="G170" i="5"/>
  <c r="E170" i="5"/>
  <c r="G233" i="5"/>
  <c r="E233" i="5"/>
  <c r="E46" i="4"/>
  <c r="D10" i="4"/>
  <c r="E62" i="4"/>
  <c r="D12" i="4"/>
  <c r="G60" i="4"/>
  <c r="G62" i="4"/>
  <c r="E90" i="4"/>
  <c r="D15" i="4"/>
  <c r="G86" i="4"/>
  <c r="G90" i="4"/>
  <c r="G137" i="5"/>
  <c r="E137" i="5"/>
  <c r="E179" i="5"/>
  <c r="G188" i="5"/>
  <c r="E188" i="5"/>
  <c r="H199" i="5"/>
  <c r="G229" i="5"/>
  <c r="E249" i="5"/>
  <c r="D163" i="4"/>
  <c r="C32" i="3"/>
  <c r="E54" i="4"/>
  <c r="D11" i="4"/>
  <c r="E11" i="4"/>
  <c r="G50" i="4"/>
  <c r="G54" i="4"/>
  <c r="L38" i="4"/>
  <c r="N36" i="4"/>
  <c r="N38" i="4"/>
  <c r="L54" i="4"/>
  <c r="H11" i="4"/>
  <c r="L70" i="4"/>
  <c r="H13" i="4"/>
  <c r="N68" i="4"/>
  <c r="N70" i="4"/>
  <c r="L90" i="4"/>
  <c r="H15" i="4"/>
  <c r="L122" i="4"/>
  <c r="H19" i="4"/>
  <c r="G155" i="5"/>
  <c r="G176" i="5"/>
  <c r="E176" i="5"/>
  <c r="G238" i="5"/>
  <c r="G258" i="5"/>
  <c r="E258" i="5"/>
  <c r="I72" i="13"/>
  <c r="H73" i="13"/>
  <c r="I73" i="13"/>
  <c r="H24" i="6"/>
  <c r="H112" i="6" s="1"/>
  <c r="H61" i="13"/>
  <c r="I61" i="13"/>
  <c r="H68" i="13"/>
  <c r="G42" i="4"/>
  <c r="G46" i="4"/>
  <c r="G74" i="4"/>
  <c r="G78" i="4"/>
  <c r="G110" i="4"/>
  <c r="G114" i="4"/>
  <c r="N50" i="4"/>
  <c r="N54" i="4"/>
  <c r="N86" i="4"/>
  <c r="N90" i="4"/>
  <c r="N118" i="4"/>
  <c r="N122" i="4"/>
  <c r="H64" i="13"/>
  <c r="H57" i="13"/>
  <c r="I57" i="13"/>
  <c r="I17" i="4"/>
  <c r="I16" i="4"/>
  <c r="V14" i="22"/>
  <c r="V17" i="22"/>
  <c r="S17" i="22"/>
  <c r="C21" i="4"/>
  <c r="D141" i="4"/>
  <c r="I11" i="4"/>
  <c r="E14" i="4"/>
  <c r="H9" i="4"/>
  <c r="V50" i="22"/>
  <c r="V53" i="22"/>
  <c r="S53" i="22"/>
  <c r="E19" i="4"/>
  <c r="I64" i="13"/>
  <c r="H65" i="13"/>
  <c r="I65" i="13"/>
  <c r="I13" i="4"/>
  <c r="E10" i="4"/>
  <c r="E16" i="4"/>
  <c r="I9" i="4"/>
  <c r="G85" i="2"/>
  <c r="F112" i="6"/>
  <c r="E143" i="4"/>
  <c r="D146" i="4"/>
  <c r="D156" i="4"/>
  <c r="D159" i="4"/>
  <c r="I68" i="13"/>
  <c r="H69" i="13"/>
  <c r="I69" i="13"/>
  <c r="H44" i="13"/>
  <c r="E15" i="4"/>
  <c r="E9" i="24"/>
  <c r="H68" i="7"/>
  <c r="G211" i="5"/>
  <c r="E211" i="5"/>
  <c r="G234" i="5"/>
  <c r="E234" i="5"/>
  <c r="E62" i="5"/>
  <c r="G62" i="5"/>
  <c r="I19" i="4"/>
  <c r="G21" i="4"/>
  <c r="D150" i="4"/>
  <c r="D152" i="4"/>
  <c r="H122" i="5"/>
  <c r="E38" i="4"/>
  <c r="G34" i="4"/>
  <c r="G38" i="4"/>
  <c r="G133" i="4"/>
  <c r="G97" i="5"/>
  <c r="H37" i="7"/>
  <c r="F41" i="7"/>
  <c r="F67" i="7"/>
  <c r="E76" i="5"/>
  <c r="G76" i="5"/>
  <c r="E73" i="5"/>
  <c r="G73" i="5"/>
  <c r="I28" i="13"/>
  <c r="V71" i="22"/>
  <c r="V74" i="22"/>
  <c r="V77" i="22"/>
  <c r="S77" i="22"/>
  <c r="E19" i="22"/>
  <c r="G19" i="22"/>
  <c r="Q79" i="22"/>
  <c r="I86" i="13"/>
  <c r="I92" i="13"/>
  <c r="I94" i="13" s="1"/>
  <c r="H92" i="13"/>
  <c r="G11" i="28"/>
  <c r="G13" i="28" s="1"/>
  <c r="G15" i="28" s="1"/>
  <c r="G17" i="28" s="1"/>
  <c r="E12" i="12"/>
  <c r="O10" i="24"/>
  <c r="I20" i="22"/>
  <c r="G100" i="2"/>
  <c r="S100" i="2" s="1"/>
  <c r="I15" i="4"/>
  <c r="G77" i="5"/>
  <c r="E77" i="5"/>
  <c r="S32" i="22"/>
  <c r="R35" i="22"/>
  <c r="G78" i="5"/>
  <c r="M10" i="24"/>
  <c r="N111" i="4"/>
  <c r="N114" i="4"/>
  <c r="L114" i="4"/>
  <c r="S38" i="22"/>
  <c r="R41" i="22"/>
  <c r="G231" i="5"/>
  <c r="H11" i="7"/>
  <c r="F14" i="7"/>
  <c r="F65" i="7" s="1"/>
  <c r="F69" i="7" s="1"/>
  <c r="E58" i="5"/>
  <c r="S20" i="22"/>
  <c r="R23" i="22"/>
  <c r="R29" i="22"/>
  <c r="S71" i="22"/>
  <c r="N46" i="4"/>
  <c r="E193" i="5"/>
  <c r="V28" i="22"/>
  <c r="V29" i="22"/>
  <c r="S29" i="22"/>
  <c r="E70" i="4"/>
  <c r="D13" i="4"/>
  <c r="H49" i="13"/>
  <c r="G127" i="4"/>
  <c r="G130" i="4"/>
  <c r="E130" i="4"/>
  <c r="D20" i="4"/>
  <c r="G190" i="5"/>
  <c r="E190" i="5"/>
  <c r="T47" i="22"/>
  <c r="I14" i="22"/>
  <c r="S64" i="22"/>
  <c r="R65" i="22"/>
  <c r="G214" i="5"/>
  <c r="E214" i="5"/>
  <c r="E20" i="22"/>
  <c r="G20" i="22"/>
  <c r="G48" i="2"/>
  <c r="S48" i="2" s="1"/>
  <c r="V45" i="22"/>
  <c r="V47" i="22"/>
  <c r="E114" i="6"/>
  <c r="G66" i="4"/>
  <c r="G70" i="4"/>
  <c r="R77" i="22"/>
  <c r="N74" i="4"/>
  <c r="N78" i="4"/>
  <c r="H52" i="13"/>
  <c r="G102" i="4"/>
  <c r="G106" i="4"/>
  <c r="F12" i="20"/>
  <c r="E121" i="6"/>
  <c r="N133" i="4"/>
  <c r="E133" i="4"/>
  <c r="D9" i="4"/>
  <c r="H53" i="13"/>
  <c r="I9" i="24"/>
  <c r="H41" i="7"/>
  <c r="R79" i="22"/>
  <c r="V64" i="22"/>
  <c r="V65" i="22"/>
  <c r="S65" i="22"/>
  <c r="S23" i="22"/>
  <c r="V20" i="22"/>
  <c r="V23" i="22"/>
  <c r="T79" i="22"/>
  <c r="G15" i="2"/>
  <c r="S15" i="2" s="1"/>
  <c r="S16" i="2" s="1"/>
  <c r="S41" i="22"/>
  <c r="V38" i="22"/>
  <c r="V41" i="22"/>
  <c r="E10" i="24"/>
  <c r="K8" i="24"/>
  <c r="H14" i="7"/>
  <c r="H29" i="7" s="1"/>
  <c r="H18" i="4"/>
  <c r="L133" i="4"/>
  <c r="V32" i="22"/>
  <c r="V35" i="22"/>
  <c r="S35" i="22"/>
  <c r="E20" i="4"/>
  <c r="E13" i="4"/>
  <c r="H45" i="13"/>
  <c r="I74" i="13"/>
  <c r="I18" i="4"/>
  <c r="I21" i="4"/>
  <c r="H21" i="4"/>
  <c r="H67" i="7"/>
  <c r="H56" i="7"/>
  <c r="V79" i="22"/>
  <c r="D21" i="4"/>
  <c r="E9" i="4"/>
  <c r="E21" i="4"/>
  <c r="H65" i="7"/>
  <c r="H69" i="7" s="1"/>
  <c r="S79" i="22"/>
  <c r="Q11" i="28" l="1"/>
  <c r="K13" i="28"/>
  <c r="K15" i="28" s="1"/>
  <c r="K17" i="28" s="1"/>
  <c r="Q13" i="28"/>
  <c r="Q15" i="28" s="1"/>
  <c r="Q17" i="28" s="1"/>
  <c r="L91" i="6"/>
  <c r="H9" i="6"/>
  <c r="O9" i="6" s="1"/>
  <c r="K26" i="2" s="1"/>
  <c r="I23" i="6"/>
  <c r="I111" i="6" s="1"/>
  <c r="K22" i="6"/>
  <c r="F115" i="6"/>
  <c r="F118" i="6"/>
  <c r="I12" i="6"/>
  <c r="L24" i="6"/>
  <c r="K119" i="6" s="1"/>
  <c r="O24" i="6"/>
  <c r="I53" i="6"/>
  <c r="I118" i="6" s="1"/>
  <c r="H40" i="6"/>
  <c r="O40" i="6" s="1"/>
  <c r="Q28" i="2" s="1"/>
  <c r="E112" i="6"/>
  <c r="K112" i="6" s="1"/>
  <c r="H10" i="6"/>
  <c r="O10" i="6" s="1"/>
  <c r="M26" i="2" s="1"/>
  <c r="O72" i="6"/>
  <c r="O74" i="6" s="1"/>
  <c r="K54" i="6"/>
  <c r="J119" i="6" s="1"/>
  <c r="F114" i="6"/>
  <c r="I26" i="6"/>
  <c r="I114" i="6" s="1"/>
  <c r="K55" i="6"/>
  <c r="J120" i="6" s="1"/>
  <c r="J112" i="6"/>
  <c r="J121" i="6"/>
  <c r="L56" i="6"/>
  <c r="H111" i="6"/>
  <c r="M112" i="2"/>
  <c r="M114" i="2" s="1"/>
  <c r="I72" i="6"/>
  <c r="I74" i="6" s="1"/>
  <c r="I115" i="6" s="1"/>
  <c r="F116" i="6"/>
  <c r="I8" i="6"/>
  <c r="I112" i="2" s="1"/>
  <c r="I114" i="2" s="1"/>
  <c r="K23" i="6"/>
  <c r="H38" i="6"/>
  <c r="O38" i="6" s="1"/>
  <c r="M28" i="2" s="1"/>
  <c r="M32" i="2" s="1"/>
  <c r="H55" i="6"/>
  <c r="K52" i="6"/>
  <c r="L38" i="6"/>
  <c r="K53" i="6"/>
  <c r="L72" i="6"/>
  <c r="L74" i="6" s="1"/>
  <c r="E116" i="6"/>
  <c r="F120" i="6"/>
  <c r="F111" i="6"/>
  <c r="L37" i="6"/>
  <c r="Q112" i="2"/>
  <c r="Q114" i="2" s="1"/>
  <c r="C123" i="6"/>
  <c r="D123" i="6"/>
  <c r="H52" i="6"/>
  <c r="O11" i="6"/>
  <c r="O26" i="2" s="1"/>
  <c r="K25" i="6"/>
  <c r="J113" i="6" s="1"/>
  <c r="I37" i="6"/>
  <c r="K112" i="2" s="1"/>
  <c r="K114" i="2" s="1"/>
  <c r="K113" i="6"/>
  <c r="E117" i="6"/>
  <c r="O53" i="6"/>
  <c r="L22" i="6"/>
  <c r="K117" i="6" s="1"/>
  <c r="E115" i="6"/>
  <c r="K115" i="6" s="1"/>
  <c r="H36" i="6"/>
  <c r="O36" i="6" s="1"/>
  <c r="I28" i="2" s="1"/>
  <c r="E109" i="6"/>
  <c r="O37" i="6"/>
  <c r="O8" i="6"/>
  <c r="K13" i="6"/>
  <c r="K15" i="6" s="1"/>
  <c r="O12" i="6"/>
  <c r="Q26" i="2" s="1"/>
  <c r="O22" i="6"/>
  <c r="H110" i="6"/>
  <c r="M76" i="6"/>
  <c r="H39" i="6"/>
  <c r="O39" i="6" s="1"/>
  <c r="O28" i="2" s="1"/>
  <c r="H56" i="6"/>
  <c r="L11" i="6"/>
  <c r="F113" i="6"/>
  <c r="L12" i="6"/>
  <c r="C104" i="6"/>
  <c r="I52" i="6"/>
  <c r="I22" i="6"/>
  <c r="H25" i="6"/>
  <c r="I11" i="6"/>
  <c r="O112" i="2" s="1"/>
  <c r="O114" i="2" s="1"/>
  <c r="K41" i="6"/>
  <c r="K43" i="6" s="1"/>
  <c r="J116" i="6" s="1"/>
  <c r="F109" i="6"/>
  <c r="J110" i="6"/>
  <c r="K110" i="6" s="1"/>
  <c r="K26" i="6"/>
  <c r="C103" i="6"/>
  <c r="F110" i="6"/>
  <c r="I56" i="6"/>
  <c r="I121" i="6" s="1"/>
  <c r="I31" i="9"/>
  <c r="G96" i="2" s="1"/>
  <c r="E247" i="5"/>
  <c r="E197" i="5"/>
  <c r="E143" i="5"/>
  <c r="G75" i="5"/>
  <c r="E222" i="5"/>
  <c r="G247" i="5"/>
  <c r="D163" i="5"/>
  <c r="G180" i="5"/>
  <c r="G220" i="5"/>
  <c r="D122" i="5"/>
  <c r="E115" i="5"/>
  <c r="H17" i="5"/>
  <c r="H15" i="5"/>
  <c r="E212" i="5"/>
  <c r="E172" i="5"/>
  <c r="E178" i="5"/>
  <c r="E118" i="5"/>
  <c r="E117" i="5"/>
  <c r="E236" i="5"/>
  <c r="E136" i="5"/>
  <c r="E174" i="5"/>
  <c r="E217" i="5"/>
  <c r="H223" i="5"/>
  <c r="E215" i="5"/>
  <c r="D241" i="5"/>
  <c r="E232" i="5"/>
  <c r="E195" i="5"/>
  <c r="E219" i="5"/>
  <c r="G116" i="5"/>
  <c r="E95" i="5"/>
  <c r="E100" i="5"/>
  <c r="E103" i="5"/>
  <c r="G160" i="5"/>
  <c r="G17" i="5" s="1"/>
  <c r="E158" i="5"/>
  <c r="E101" i="5"/>
  <c r="D13" i="5"/>
  <c r="E13" i="5" s="1"/>
  <c r="D104" i="5"/>
  <c r="H13" i="5"/>
  <c r="H12" i="5"/>
  <c r="H9" i="5"/>
  <c r="H8" i="5"/>
  <c r="O68" i="5"/>
  <c r="D28" i="5" s="1"/>
  <c r="H163" i="5"/>
  <c r="H241" i="5"/>
  <c r="E113" i="5"/>
  <c r="D16" i="5"/>
  <c r="E16" i="5" s="1"/>
  <c r="D19" i="5"/>
  <c r="E19" i="5" s="1"/>
  <c r="E119" i="5"/>
  <c r="E94" i="5"/>
  <c r="E98" i="5"/>
  <c r="E121" i="5"/>
  <c r="D14" i="5"/>
  <c r="E14" i="5" s="1"/>
  <c r="E240" i="5"/>
  <c r="E169" i="5"/>
  <c r="E196" i="5"/>
  <c r="D8" i="5"/>
  <c r="E8" i="5" s="1"/>
  <c r="G81" i="5"/>
  <c r="G16" i="5" s="1"/>
  <c r="C20" i="5"/>
  <c r="D25" i="5" s="1"/>
  <c r="D199" i="5"/>
  <c r="E173" i="5"/>
  <c r="E111" i="5"/>
  <c r="H10" i="5"/>
  <c r="E216" i="5"/>
  <c r="E257" i="5"/>
  <c r="E151" i="5"/>
  <c r="E163" i="5" s="1"/>
  <c r="G171" i="5"/>
  <c r="E250" i="5"/>
  <c r="G153" i="5"/>
  <c r="D85" i="5"/>
  <c r="E97" i="5"/>
  <c r="D145" i="5"/>
  <c r="E213" i="5"/>
  <c r="G66" i="5"/>
  <c r="E191" i="5"/>
  <c r="E84" i="5"/>
  <c r="D9" i="5"/>
  <c r="G93" i="5"/>
  <c r="E218" i="5"/>
  <c r="E65" i="5"/>
  <c r="G55" i="5"/>
  <c r="E83" i="5"/>
  <c r="G110" i="5"/>
  <c r="G122" i="5" s="1"/>
  <c r="D10" i="5"/>
  <c r="E10" i="5" s="1"/>
  <c r="E252" i="5"/>
  <c r="E144" i="5"/>
  <c r="E253" i="5"/>
  <c r="E255" i="5"/>
  <c r="D15" i="5"/>
  <c r="E15" i="5" s="1"/>
  <c r="D223" i="5"/>
  <c r="G134" i="5"/>
  <c r="E55" i="5"/>
  <c r="E114" i="5"/>
  <c r="H67" i="5"/>
  <c r="D12" i="5"/>
  <c r="E12" i="5" s="1"/>
  <c r="D11" i="5"/>
  <c r="E11" i="5" s="1"/>
  <c r="D18" i="5"/>
  <c r="E18" i="5" s="1"/>
  <c r="D17" i="5"/>
  <c r="E17" i="5" s="1"/>
  <c r="E80" i="5"/>
  <c r="E64" i="5"/>
  <c r="E96" i="5"/>
  <c r="E99" i="5"/>
  <c r="E248" i="5"/>
  <c r="E189" i="5"/>
  <c r="E199" i="5" s="1"/>
  <c r="G12" i="5"/>
  <c r="G145" i="5"/>
  <c r="G259" i="5"/>
  <c r="H18" i="5"/>
  <c r="H11" i="5"/>
  <c r="E139" i="5"/>
  <c r="G157" i="5"/>
  <c r="G235" i="5"/>
  <c r="G241" i="5" s="1"/>
  <c r="G19" i="5"/>
  <c r="H85" i="5"/>
  <c r="G187" i="5"/>
  <c r="G199" i="5" s="1"/>
  <c r="H259" i="5"/>
  <c r="H16" i="5"/>
  <c r="H14" i="5"/>
  <c r="H145" i="5"/>
  <c r="E239" i="5"/>
  <c r="G13" i="5"/>
  <c r="D27" i="5"/>
  <c r="G18" i="5"/>
  <c r="G15" i="5"/>
  <c r="G85" i="5"/>
  <c r="G11" i="5"/>
  <c r="G223" i="5"/>
  <c r="E141" i="5"/>
  <c r="E251" i="5"/>
  <c r="G74" i="2"/>
  <c r="S74" i="2" s="1"/>
  <c r="M43" i="8"/>
  <c r="I38" i="8"/>
  <c r="E64" i="8"/>
  <c r="I12" i="8"/>
  <c r="F64" i="8"/>
  <c r="I25" i="8"/>
  <c r="H41" i="8"/>
  <c r="I41" i="8"/>
  <c r="G36" i="2" s="1"/>
  <c r="S36" i="2" s="1"/>
  <c r="S37" i="2" s="1"/>
  <c r="G20" i="31" s="1"/>
  <c r="G64" i="8"/>
  <c r="G41" i="8"/>
  <c r="I43" i="8" s="1"/>
  <c r="H62" i="8"/>
  <c r="H64" i="8" s="1"/>
  <c r="G10" i="24"/>
  <c r="K10" i="24"/>
  <c r="Q9" i="24"/>
  <c r="I10" i="24"/>
  <c r="Q8" i="24"/>
  <c r="S99" i="2"/>
  <c r="J33" i="19"/>
  <c r="J35" i="19"/>
  <c r="J37" i="19"/>
  <c r="J48" i="19"/>
  <c r="J46" i="19"/>
  <c r="J63" i="19"/>
  <c r="J59" i="19"/>
  <c r="J34" i="19"/>
  <c r="J38" i="19"/>
  <c r="J51" i="19"/>
  <c r="J49" i="19"/>
  <c r="J45" i="19"/>
  <c r="J62" i="19"/>
  <c r="J58" i="19"/>
  <c r="J60" i="19"/>
  <c r="J57" i="19"/>
  <c r="J36" i="19"/>
  <c r="J39" i="19"/>
  <c r="J50" i="19"/>
  <c r="J47" i="19"/>
  <c r="J61" i="19"/>
  <c r="E19" i="29"/>
  <c r="B3" i="22"/>
  <c r="B47" i="21" s="1"/>
  <c r="B17" i="21"/>
  <c r="B32" i="21" s="1"/>
  <c r="B127" i="5"/>
  <c r="B205" i="5" s="1"/>
  <c r="L49" i="5"/>
  <c r="S93" i="2"/>
  <c r="S46" i="2"/>
  <c r="Z61" i="2" s="1"/>
  <c r="K52" i="2"/>
  <c r="Q102" i="2"/>
  <c r="M52" i="2"/>
  <c r="M102" i="2"/>
  <c r="S101" i="2"/>
  <c r="S95" i="2"/>
  <c r="S30" i="2"/>
  <c r="S92" i="2"/>
  <c r="S94" i="2"/>
  <c r="S98" i="2"/>
  <c r="S51" i="2"/>
  <c r="I52" i="2"/>
  <c r="S85" i="2"/>
  <c r="S75" i="2"/>
  <c r="G38" i="31" s="1"/>
  <c r="S47" i="2"/>
  <c r="S50" i="2"/>
  <c r="O52" i="2"/>
  <c r="S49" i="2"/>
  <c r="Q52" i="2"/>
  <c r="K102" i="2"/>
  <c r="G52" i="2"/>
  <c r="O102" i="2"/>
  <c r="S88" i="2"/>
  <c r="Q18" i="28" l="1"/>
  <c r="Q19" i="28"/>
  <c r="Z66" i="2"/>
  <c r="Z64" i="2"/>
  <c r="Z62" i="2"/>
  <c r="Z63" i="2" s="1"/>
  <c r="Q20" i="28"/>
  <c r="L55" i="6"/>
  <c r="O54" i="6"/>
  <c r="L54" i="6"/>
  <c r="I41" i="6"/>
  <c r="I43" i="6" s="1"/>
  <c r="I116" i="6" s="1"/>
  <c r="H13" i="6"/>
  <c r="H15" i="6" s="1"/>
  <c r="H109" i="6" s="1"/>
  <c r="L41" i="6"/>
  <c r="L43" i="6" s="1"/>
  <c r="K116" i="6" s="1"/>
  <c r="L13" i="6"/>
  <c r="L15" i="6" s="1"/>
  <c r="L25" i="6"/>
  <c r="K120" i="6" s="1"/>
  <c r="H57" i="6"/>
  <c r="H59" i="6" s="1"/>
  <c r="E123" i="6"/>
  <c r="K57" i="6"/>
  <c r="K59" i="6" s="1"/>
  <c r="J117" i="6"/>
  <c r="L23" i="6"/>
  <c r="K118" i="6" s="1"/>
  <c r="J111" i="6"/>
  <c r="K111" i="6" s="1"/>
  <c r="O52" i="6"/>
  <c r="O55" i="6"/>
  <c r="H120" i="6"/>
  <c r="H117" i="6"/>
  <c r="L52" i="6"/>
  <c r="K27" i="6"/>
  <c r="K29" i="6" s="1"/>
  <c r="J109" i="6"/>
  <c r="Q32" i="2"/>
  <c r="O23" i="6"/>
  <c r="O32" i="2"/>
  <c r="J118" i="6"/>
  <c r="L53" i="6"/>
  <c r="O25" i="6"/>
  <c r="H113" i="6"/>
  <c r="I117" i="6"/>
  <c r="I57" i="6"/>
  <c r="I59" i="6" s="1"/>
  <c r="O56" i="6"/>
  <c r="H121" i="6"/>
  <c r="O26" i="6"/>
  <c r="J114" i="6"/>
  <c r="K114" i="6" s="1"/>
  <c r="O13" i="6"/>
  <c r="O15" i="6" s="1"/>
  <c r="I26" i="2"/>
  <c r="H27" i="6"/>
  <c r="H29" i="6" s="1"/>
  <c r="F123" i="6"/>
  <c r="L26" i="6"/>
  <c r="H41" i="6"/>
  <c r="H43" i="6" s="1"/>
  <c r="H116" i="6" s="1"/>
  <c r="I110" i="6"/>
  <c r="I27" i="6"/>
  <c r="I29" i="6" s="1"/>
  <c r="I13" i="6"/>
  <c r="I15" i="6" s="1"/>
  <c r="K28" i="2"/>
  <c r="O41" i="6"/>
  <c r="O43" i="6" s="1"/>
  <c r="J52" i="19"/>
  <c r="E16" i="19" s="1"/>
  <c r="E241" i="5"/>
  <c r="E181" i="5"/>
  <c r="H20" i="5"/>
  <c r="G91" i="2" s="1"/>
  <c r="S91" i="2" s="1"/>
  <c r="E85" i="5"/>
  <c r="G9" i="5"/>
  <c r="E259" i="5"/>
  <c r="E67" i="5"/>
  <c r="D20" i="5"/>
  <c r="G8" i="5"/>
  <c r="G10" i="5"/>
  <c r="D29" i="5"/>
  <c r="S20" i="2" s="1"/>
  <c r="S21" i="2" s="1"/>
  <c r="G12" i="31" s="1"/>
  <c r="G67" i="5"/>
  <c r="E122" i="5"/>
  <c r="E9" i="5"/>
  <c r="E20" i="5" s="1"/>
  <c r="E104" i="5"/>
  <c r="E145" i="5"/>
  <c r="G181" i="5"/>
  <c r="E223" i="5"/>
  <c r="G102" i="2"/>
  <c r="G104" i="5"/>
  <c r="G14" i="5"/>
  <c r="G163" i="5"/>
  <c r="I64" i="8"/>
  <c r="Q10" i="24"/>
  <c r="Q11" i="24" s="1"/>
  <c r="Q12" i="24" s="1"/>
  <c r="G42" i="31"/>
  <c r="J64" i="19"/>
  <c r="E17" i="19" s="1"/>
  <c r="J40" i="19"/>
  <c r="E14" i="19" s="1"/>
  <c r="F19" i="29"/>
  <c r="S52" i="2"/>
  <c r="G24" i="31" s="1"/>
  <c r="Z65" i="2" l="1"/>
  <c r="Z67" i="2" s="1"/>
  <c r="S97" i="2" s="1"/>
  <c r="Q14" i="24"/>
  <c r="C12" i="24"/>
  <c r="H123" i="6"/>
  <c r="C125" i="6" s="1"/>
  <c r="J123" i="6"/>
  <c r="K76" i="6"/>
  <c r="H76" i="6"/>
  <c r="C105" i="6" s="1"/>
  <c r="K109" i="6"/>
  <c r="G112" i="2"/>
  <c r="G114" i="2" s="1"/>
  <c r="O57" i="6"/>
  <c r="O59" i="6" s="1"/>
  <c r="G29" i="2" s="1"/>
  <c r="S29" i="2" s="1"/>
  <c r="L57" i="6"/>
  <c r="L59" i="6" s="1"/>
  <c r="O27" i="6"/>
  <c r="O29" i="6" s="1"/>
  <c r="G27" i="2" s="1"/>
  <c r="S27" i="2" s="1"/>
  <c r="K32" i="2"/>
  <c r="S28" i="2"/>
  <c r="S26" i="2"/>
  <c r="I32" i="2"/>
  <c r="I76" i="6"/>
  <c r="C106" i="6" s="1"/>
  <c r="I109" i="6"/>
  <c r="I123" i="6" s="1"/>
  <c r="K121" i="6"/>
  <c r="L27" i="6"/>
  <c r="L29" i="6" s="1"/>
  <c r="G20" i="5"/>
  <c r="G19" i="29"/>
  <c r="Q15" i="24" l="1"/>
  <c r="X16" i="24" s="1"/>
  <c r="S112" i="2"/>
  <c r="S114" i="2" s="1"/>
  <c r="G50" i="31" s="1"/>
  <c r="O76" i="6"/>
  <c r="K123" i="6"/>
  <c r="L76" i="6"/>
  <c r="S32" i="2"/>
  <c r="G16" i="31" s="1"/>
  <c r="G32" i="2"/>
  <c r="H19" i="29"/>
  <c r="Q16" i="24" l="1"/>
  <c r="E9" i="25" s="1"/>
  <c r="I19" i="29"/>
  <c r="J19" i="29" l="1"/>
  <c r="K19" i="29" l="1"/>
  <c r="L19" i="29" l="1"/>
  <c r="M19" i="29" l="1"/>
  <c r="N19" i="29" l="1"/>
  <c r="U24" i="29" l="1"/>
  <c r="W24" i="29"/>
  <c r="Q24" i="29"/>
  <c r="S24" i="29"/>
  <c r="Y24" i="29"/>
  <c r="K19" i="28" l="1"/>
  <c r="K20" i="28" s="1"/>
  <c r="K22" i="28" s="1"/>
  <c r="O19" i="28"/>
  <c r="O20" i="28" s="1"/>
  <c r="O22" i="28" s="1"/>
  <c r="M19" i="28"/>
  <c r="M20" i="28" s="1"/>
  <c r="M22" i="28" s="1"/>
  <c r="I19" i="28"/>
  <c r="I20" i="28" s="1"/>
  <c r="I22" i="28" s="1"/>
  <c r="G19" i="28"/>
  <c r="G20" i="28" l="1"/>
  <c r="G22" i="28" s="1"/>
  <c r="V30" i="32" l="1"/>
  <c r="V29" i="32" l="1"/>
  <c r="V28" i="32" s="1"/>
  <c r="V40" i="32" s="1"/>
  <c r="N58" i="32"/>
  <c r="N59" i="32" l="1"/>
  <c r="N60" i="32" l="1"/>
  <c r="N61" i="32" s="1"/>
  <c r="L62" i="32" s="1"/>
  <c r="N62" i="32" l="1"/>
  <c r="P62" i="32" s="1"/>
  <c r="P83" i="32" l="1"/>
  <c r="S55" i="2" s="1"/>
  <c r="G27" i="31" l="1"/>
  <c r="G12" i="9" l="1"/>
  <c r="F107" i="13" s="1"/>
  <c r="F109" i="13" s="1"/>
  <c r="E12" i="9"/>
  <c r="I41" i="2" l="1"/>
  <c r="S41" i="2" s="1"/>
  <c r="S42" i="2" s="1"/>
  <c r="I96" i="2" l="1"/>
  <c r="I12" i="9"/>
  <c r="G22" i="31"/>
  <c r="G26" i="31" s="1"/>
  <c r="G29" i="31" s="1"/>
  <c r="G31" i="31" s="1"/>
  <c r="G33" i="31" s="1"/>
  <c r="S54" i="2"/>
  <c r="S57" i="2" s="1"/>
  <c r="S59" i="2" s="1"/>
  <c r="S61" i="2" l="1"/>
  <c r="S96" i="2"/>
  <c r="S102" i="2" s="1"/>
  <c r="I102" i="2"/>
  <c r="G43" i="31" l="1"/>
  <c r="G46" i="31" s="1"/>
  <c r="S106" i="2"/>
  <c r="S64" i="2"/>
  <c r="S62" i="2"/>
  <c r="S63" i="2" s="1"/>
  <c r="S66" i="2"/>
  <c r="S65" i="2" l="1"/>
  <c r="S67" i="2" s="1"/>
  <c r="E108" i="2" s="1"/>
  <c r="C48" i="31" s="1"/>
  <c r="S108" i="2" l="1"/>
  <c r="G34" i="31"/>
  <c r="G36" i="31" s="1"/>
  <c r="G48" i="31" s="1"/>
  <c r="S116" i="2"/>
  <c r="S118" i="2" s="1"/>
  <c r="E118" i="2" s="1"/>
  <c r="I36" i="31" l="1"/>
  <c r="G52" i="31"/>
  <c r="C52" i="31" s="1"/>
  <c r="C56" i="31"/>
  <c r="C7" i="25" s="1"/>
  <c r="G54" i="31"/>
  <c r="G56" i="31" s="1"/>
  <c r="E7" i="25" s="1"/>
  <c r="E15" i="25" s="1"/>
  <c r="Z117" i="2"/>
  <c r="Z116" i="2"/>
  <c r="X15" i="24" s="1"/>
  <c r="X21" i="28" l="1"/>
  <c r="Q21" i="28"/>
  <c r="Q22" i="28" s="1"/>
  <c r="E13" i="25" s="1"/>
  <c r="E17" i="25" s="1"/>
  <c r="C17" i="25" s="1"/>
  <c r="X22" i="28" l="1"/>
  <c r="X40" i="32" s="1"/>
</calcChain>
</file>

<file path=xl/sharedStrings.xml><?xml version="1.0" encoding="utf-8"?>
<sst xmlns="http://schemas.openxmlformats.org/spreadsheetml/2006/main" count="2940" uniqueCount="818">
  <si>
    <t>DATOS CONTRIBUYENTE</t>
  </si>
  <si>
    <t>NOMBRE:</t>
  </si>
  <si>
    <t>R.F.C.:</t>
  </si>
  <si>
    <t>C.U.R.P.:</t>
  </si>
  <si>
    <t>DOMICILIO:</t>
  </si>
  <si>
    <t>INSTRUCCIONES PARA DECLARACIÓN ANUAL 2020</t>
  </si>
  <si>
    <t>AGREGAR LOS DATOS DEL CONTRIBUYENTE EN ESTA HOJA PARA QUE SE ACTUALICEN TODAS LAS CÉDULAS</t>
  </si>
  <si>
    <r>
      <t xml:space="preserve">TODOS LOS DATOS DEBERÁN ESTAR EN </t>
    </r>
    <r>
      <rPr>
        <b/>
        <u/>
        <sz val="14"/>
        <color theme="1"/>
        <rFont val="Segoe UI"/>
      </rPr>
      <t>MAYÚSCULAS Y CON ACENTOS</t>
    </r>
  </si>
  <si>
    <r>
      <t xml:space="preserve">EN LAS CELDAS SOMBREADAS EN COLOR GRIS DE LA SECCIÓN "FUENTE DE INGRESOS" SE DEBERÁ INCLUIR EL </t>
    </r>
    <r>
      <rPr>
        <b/>
        <u/>
        <sz val="14"/>
        <color theme="1"/>
        <rFont val="Segoe UI"/>
      </rPr>
      <t>NOMBRE DE CADA UNA DE LAS FIGURAS Y ENTIDADES DEL CLIENTE</t>
    </r>
    <r>
      <rPr>
        <b/>
        <sz val="12"/>
        <color theme="1"/>
        <rFont val="Segoe UI"/>
        <family val="2"/>
      </rPr>
      <t xml:space="preserve"> SEGÚN CORRESPONDA</t>
    </r>
  </si>
  <si>
    <r>
      <rPr>
        <b/>
        <u/>
        <sz val="14"/>
        <color theme="1"/>
        <rFont val="Segoe UI"/>
      </rPr>
      <t>EN LA CELDA "C37" SE DEBERÁ SELECCIONAR LA OPCIÓN QUE SE APLICARÁ EN CASO DE SALDO A FAVOR</t>
    </r>
    <r>
      <rPr>
        <b/>
        <sz val="12"/>
        <color theme="1"/>
        <rFont val="Segoe UI"/>
        <family val="2"/>
      </rPr>
      <t>. POR "DEFAULT" EL TEMPLATE SELECCIONA LA OPCIÓN "DEVOLUCIÓN"; SIN EMBARGO, ESTO SE DEBE REVISAR.</t>
    </r>
  </si>
  <si>
    <t>FUENTE DE INGRESOS</t>
  </si>
  <si>
    <t xml:space="preserve">Ingresos Nacionales </t>
  </si>
  <si>
    <t>Constancias / CFDI</t>
  </si>
  <si>
    <t xml:space="preserve">Ingresos del Extranjero </t>
  </si>
  <si>
    <t>Cuentas Personales</t>
  </si>
  <si>
    <t>Nombre de la LP 2</t>
  </si>
  <si>
    <t>Nombre de la LP 3</t>
  </si>
  <si>
    <t>Nombre de la LP 4</t>
  </si>
  <si>
    <t xml:space="preserve">ISR a cargo / (Pérdida) en  </t>
  </si>
  <si>
    <t>Nombre de la LTD 2</t>
  </si>
  <si>
    <t>Nombre de la LTD 3</t>
  </si>
  <si>
    <t>Nombre de la LTD 4</t>
  </si>
  <si>
    <t>EN CASO DE SALDO A FAVOR</t>
  </si>
  <si>
    <t>Por confirmar con cliente</t>
  </si>
  <si>
    <t>Seleccionar una opción</t>
  </si>
  <si>
    <t>Devolución</t>
  </si>
  <si>
    <t>Compensación</t>
  </si>
  <si>
    <t>N/A</t>
  </si>
  <si>
    <t xml:space="preserve">IMPUESTO SOBRE LA RENTA </t>
  </si>
  <si>
    <t>En caso de saldo a favor sobre ingresos acumulables, se optó por:</t>
  </si>
  <si>
    <t>1. DETERMINACIÓN DEL ISR POR INGRESOS ACUMULABLES Y NO ACUMULABLES (RESUMEN)</t>
  </si>
  <si>
    <t xml:space="preserve">Total de Ingresos </t>
  </si>
  <si>
    <t xml:space="preserve">I. </t>
  </si>
  <si>
    <t>Sueldos y Salarios (Capítulo I)</t>
  </si>
  <si>
    <t>(A)</t>
  </si>
  <si>
    <t>II.</t>
  </si>
  <si>
    <t>Actividades empresariales y profesionales (Capítulo II)</t>
  </si>
  <si>
    <t>(B)</t>
  </si>
  <si>
    <t>III.</t>
  </si>
  <si>
    <t>Arrendamiento de bienes inmuebles (Capítulo III)</t>
  </si>
  <si>
    <t>IV.</t>
  </si>
  <si>
    <t>Enajenación de bienes (Capítulo IV)</t>
  </si>
  <si>
    <t>a.</t>
  </si>
  <si>
    <t>Capítulo IV - Sección I</t>
  </si>
  <si>
    <t>V.</t>
  </si>
  <si>
    <t>Adquisición de bienes (Capítulo V)</t>
  </si>
  <si>
    <t>VI.</t>
  </si>
  <si>
    <t>Intereses (Capítulo VI)</t>
  </si>
  <si>
    <t>VII.</t>
  </si>
  <si>
    <t>Dividendos  (Capítulo VIII)</t>
  </si>
  <si>
    <t>VIII.</t>
  </si>
  <si>
    <t>De los demás ingresos (Capítulo IX)</t>
  </si>
  <si>
    <t>(=)</t>
  </si>
  <si>
    <t>Total de Ingresos acumulables excepto (A) y (B)</t>
  </si>
  <si>
    <t>(-)</t>
  </si>
  <si>
    <t xml:space="preserve">Pérdidas por intereses pendientes de disminuir de ejercicios anteriores actualizadas (Capítulo VI) </t>
  </si>
  <si>
    <t>Pérdidas por enajenación de bienes pendientes de disminuir ejercicios anteriores (Capítulo IV - Sección I)</t>
  </si>
  <si>
    <t xml:space="preserve">Subtotal </t>
  </si>
  <si>
    <t xml:space="preserve"> (C)</t>
  </si>
  <si>
    <t xml:space="preserve">Total de Ingresos acumulables sujetos a tarifa.      (A) + (B) + (C) </t>
  </si>
  <si>
    <t>Deducciones Personales</t>
  </si>
  <si>
    <t>Base para cálculo de ISR</t>
  </si>
  <si>
    <t>(*)</t>
  </si>
  <si>
    <t>Tasa efectiva sobre ingresos acumulables</t>
  </si>
  <si>
    <t>Impuesto Causado</t>
  </si>
  <si>
    <t>(1)</t>
  </si>
  <si>
    <t>IX.</t>
  </si>
  <si>
    <t>Pagos provisionales</t>
  </si>
  <si>
    <t>(W)</t>
  </si>
  <si>
    <t>X.</t>
  </si>
  <si>
    <t>Impuestos pagados y acreditamientos</t>
  </si>
  <si>
    <t>(+)</t>
  </si>
  <si>
    <t>ISR pagado en el extranjero</t>
  </si>
  <si>
    <t>(X)</t>
  </si>
  <si>
    <t>Retenciones ISR y Acreditamiento Dividendos</t>
  </si>
  <si>
    <t>(Y)</t>
  </si>
  <si>
    <t>ISR pendiente de acreditar actualizado - ejercicios anteriores</t>
  </si>
  <si>
    <t>(Z)</t>
  </si>
  <si>
    <t>Total de pagos provisionales, impuestos pagados, retenciones y acreditamientos.     (W) + (X) + (Y) + (Z)</t>
  </si>
  <si>
    <t>(2)</t>
  </si>
  <si>
    <t>XI.</t>
  </si>
  <si>
    <t>ISR por ingresos no acumulables</t>
  </si>
  <si>
    <t>XII.</t>
  </si>
  <si>
    <t>Saldo a favor total de ejercicios anteriores compensados en el ejercicio</t>
  </si>
  <si>
    <t>2. CAPÍTULO IV - SECCIÓN II (ENAJENACIÓN DE ACCIONES EN BOLSA DE VALORES BMV - SIC)</t>
  </si>
  <si>
    <t>Enajenación de bienes (Capítulo IV - Sección II Bolsa de Valores)</t>
  </si>
  <si>
    <t>Total de Ingresos</t>
  </si>
  <si>
    <t>Ganancia / (Pérdida) en enajenación de acciones en Bolsa de Valores</t>
  </si>
  <si>
    <t>Ganancia / (Pérdida) en enajenación de derivados referidos a acciones en Bolsa de Valores</t>
  </si>
  <si>
    <t>Total de ingresos en enajenación de bienes - IV Sección II</t>
  </si>
  <si>
    <t>(Pérdidas) de ejercicios anteriores pendientes de disminuir</t>
  </si>
  <si>
    <t>Tasa de impuesto sobre ganancia enajenación en bolsa de valores</t>
  </si>
  <si>
    <t>ISR por enajenaciones de acciones en Bolsa de Valores</t>
  </si>
  <si>
    <t>SAF de ejercicios anteriores compensado en el ejercicio</t>
  </si>
  <si>
    <t>OJO - VER PESTAÑA "SAF &amp; Perdidas"</t>
  </si>
  <si>
    <t>SAF Remanente</t>
  </si>
  <si>
    <t>ISR por enajenaciones de acciones en Bolsa de Valores después de aplicar SAF</t>
  </si>
  <si>
    <t>SAF Utilizado</t>
  </si>
  <si>
    <t>DETERMINACIÓN DEL IMPUESTO SOBRE LA RENTA GENERADO POR INVERSIONES A TRAVÉS DE REFIPRES</t>
  </si>
  <si>
    <t>3.  TÍTULO VI DE LA LISR - SUMARIA DE IMPUESTO SOBRE LA RENTA EN REFIPRES</t>
  </si>
  <si>
    <t>Total ISR por pagar (REFIPRES)</t>
  </si>
  <si>
    <t>SE DEBE INCLUIR EL ISR A CARGO O EL MONTO DE LA PÉRDIDA DETERMINADO EN EL CÁLCULO DE LA LTD QUE CORRESPONDA.</t>
  </si>
  <si>
    <t>ISR por ingresos provenientes de REFIPRES</t>
  </si>
  <si>
    <t>4. CAPÍTULO IX - ARTÍCULO 142, FRACCIÓN V, SEGUNDO PÁRRAFO (10% ADICIONAL SOBRE DIVIDENDOS DISTRIBUIDOS POR SOCIEDADES RESIDENTES EN EL EXTRANJERO)</t>
  </si>
  <si>
    <t>ISR Adicional del 10% por dividendos del extranjero</t>
  </si>
  <si>
    <t>Dividendos percibidos del extranjero sujetos a ISR adicional</t>
  </si>
  <si>
    <t>Utilidades percibidas del extranjero sujetos a ISR adicional</t>
  </si>
  <si>
    <t>Total de ingresos sujetos a 10% adicional</t>
  </si>
  <si>
    <t>Tasa ISR 10%</t>
  </si>
  <si>
    <t>ISR Adicional del 10% sobre dividendos</t>
  </si>
  <si>
    <t>ISR Pagado en el ejercicio</t>
  </si>
  <si>
    <t>INCLUIR EL MONTO TOTAL ACUMULADO DE LOS PAGOS MENSUALES EFECTUADOS EN EL EJERCICIO</t>
  </si>
  <si>
    <t>ISR Adicional del 10% sobre dividendos por pagar</t>
  </si>
  <si>
    <t>Actualización</t>
  </si>
  <si>
    <t>Recargos</t>
  </si>
  <si>
    <t>ISR Adicional del 10% sobre dividendos + Actualización + Recargos</t>
  </si>
  <si>
    <t>SAF de ejercicios anteriores compensado en el ejercicio (después de compensar I.A. y 10% BMV)</t>
  </si>
  <si>
    <t>ISR Adicional del 10% sobre dividendos + Actualización + Recargos después de aplicar SF</t>
  </si>
  <si>
    <t>DETERMINACIÓN DEL IMPUESTO SOBRE LA RENTA POR FUENTE DE INGRESO CONFORME AL TÍTULO IV DE LA LISR</t>
  </si>
  <si>
    <t>DETERMINACIÓN DEL ISR POR INGRESOS ACUMULABLES Y NO ACUMULABLES (DETALLE)</t>
  </si>
  <si>
    <t>Sueldos y Salarios</t>
  </si>
  <si>
    <t>Total sueldos y salarios</t>
  </si>
  <si>
    <t>Actividades empresariales y prof. (Capítulo II)</t>
  </si>
  <si>
    <t>Actividades empresariales y prof.</t>
  </si>
  <si>
    <t>Total actividades empresariales y profesionales</t>
  </si>
  <si>
    <t xml:space="preserve">Arrendamiento de bienes inmuebles </t>
  </si>
  <si>
    <t xml:space="preserve">Total Arrendamiento de bienes inmuebles </t>
  </si>
  <si>
    <t>(C)</t>
  </si>
  <si>
    <t>Ganancia / (pérdida) en venta de acciones fuera de bolsa - Cálculo Extranjero</t>
  </si>
  <si>
    <t>Ganancia / (pérdida) en venta de acciones fuera de bolsa - Cálculo Nacional</t>
  </si>
  <si>
    <t>Ganancia / (pérdida) en venta de títulos de deuda (bienes muebles) - Cálculo Extranjero</t>
  </si>
  <si>
    <t>Ganancia / (pérdida) en venta de títulos de deuda (bienes muebles) - Cálculo Nacional</t>
  </si>
  <si>
    <t>Ganancia / (pérdida) en otras enajenaciones de acciones fuera de bolsa - Cálculo Nacional y Extranjero</t>
  </si>
  <si>
    <t>EN CASO DE HABER MAS DE 1 VENTA NACIONAL SE DEBE AJUSTAR LA FORMULA.</t>
  </si>
  <si>
    <t>Enajenación de bienes inmuebles</t>
  </si>
  <si>
    <t>Total enajenación de bienes - IV Sección I</t>
  </si>
  <si>
    <t>(D)</t>
  </si>
  <si>
    <t>Intereses percibidos</t>
  </si>
  <si>
    <t>Total intereses Cap VI</t>
  </si>
  <si>
    <t>(E)</t>
  </si>
  <si>
    <t>Dividendos nacionales</t>
  </si>
  <si>
    <t>Total dividendos nacionales</t>
  </si>
  <si>
    <t>(F)</t>
  </si>
  <si>
    <r>
      <t xml:space="preserve">Dividendos percibidos del extranjero </t>
    </r>
    <r>
      <rPr>
        <vertAlign val="superscript"/>
        <sz val="12"/>
        <color theme="1"/>
        <rFont val="Segoe UI"/>
        <family val="2"/>
      </rPr>
      <t>(1)</t>
    </r>
  </si>
  <si>
    <t>Utilidades provenientes de Private Equity</t>
  </si>
  <si>
    <t>Regalías percibidas</t>
  </si>
  <si>
    <t>Ganancia / (pérdida) en Operaciones Financieras Derivadas</t>
  </si>
  <si>
    <t>Factor de acumulacion Art. 239 RLISR</t>
  </si>
  <si>
    <t>Otros ingresos acumulables</t>
  </si>
  <si>
    <t>Total demás ingresos</t>
  </si>
  <si>
    <t>(G)</t>
  </si>
  <si>
    <t>Σ de Ingresos acumulables excepto (A) y (B)</t>
  </si>
  <si>
    <t>Pérdidas por Intereses (Capítulo VI) actualizadas - ejercicios anteriores</t>
  </si>
  <si>
    <t>Pérdidas por enajenación de bienes actualizadas - ejercicios anteriores</t>
  </si>
  <si>
    <t>(H)</t>
  </si>
  <si>
    <t>Total de Ingresos acumulables sujetos a tarifa (A) + (B) + (I)</t>
  </si>
  <si>
    <t>Base Gravable</t>
  </si>
  <si>
    <t>Límite Inferior</t>
  </si>
  <si>
    <t>Excedente</t>
  </si>
  <si>
    <t>% Sobre Excedente</t>
  </si>
  <si>
    <t>Impuesto Marginal</t>
  </si>
  <si>
    <t>Cuota Fija</t>
  </si>
  <si>
    <t xml:space="preserve">  Capítulo II (Actividades empresariales y prof.)</t>
  </si>
  <si>
    <t xml:space="preserve">  Capítulo III (Arrendamiento de bienes inmuebles)</t>
  </si>
  <si>
    <t xml:space="preserve">  Capítulo IV (Enajenación de bienes - Inmuebles)</t>
  </si>
  <si>
    <t xml:space="preserve">  Capítulo VI (Intereses)</t>
  </si>
  <si>
    <t>Total ISR pagado en pagos provisionales</t>
  </si>
  <si>
    <t>Capítulo IX (De los demás Ingresos) - Dividendos</t>
  </si>
  <si>
    <t>Capítulo IX (De los demás Ingresos) - Private Equity</t>
  </si>
  <si>
    <t>Capítulo IX (De los demás Ingresos) - Derivados</t>
  </si>
  <si>
    <t>Capítulo IX (De los demás Ingresos) - Regalías</t>
  </si>
  <si>
    <t>Capítulo IX (De los demás Ingresos) - Otros</t>
  </si>
  <si>
    <t>Total ISR pagado en el extranjero</t>
  </si>
  <si>
    <t>Retenciones ISR y Acreditamientos</t>
  </si>
  <si>
    <t xml:space="preserve">  Capítulo I (Sueldos y salarios - Retención)</t>
  </si>
  <si>
    <t xml:space="preserve">  Capítulo I (Sueldos y salarios - Subsidio)</t>
  </si>
  <si>
    <t xml:space="preserve">  Capítulo III (Arrendamiento de bienes inmuebles + FIBRAS)</t>
  </si>
  <si>
    <t xml:space="preserve">  Capítulo IV (Enajenación de bienes - Acciones fuera de bolsa) </t>
  </si>
  <si>
    <t xml:space="preserve">  Capítulo IV (Enajenación de bienes - Bonos) </t>
  </si>
  <si>
    <t xml:space="preserve">  Capítulo IV (Enajenación de bienes - Otros bienes) </t>
  </si>
  <si>
    <t xml:space="preserve">  Capítulo VIII (Dividendos - Nacionales) </t>
  </si>
  <si>
    <t>Capítulo IX (De los demás Ingresos) - Dividendos extranjero</t>
  </si>
  <si>
    <t xml:space="preserve">Capítulo IX (De los demás Ingresos) - Otros </t>
  </si>
  <si>
    <t>Total retenciones ISR y acreditamiento dividendos</t>
  </si>
  <si>
    <t xml:space="preserve">ISR pendiente de acreditar actualizado - ejercicios anteriores </t>
  </si>
  <si>
    <t>Total pagos provisionales, impuestos pagados, retenciones y acreditamientos (W)+(X)+(Y)</t>
  </si>
  <si>
    <t>Ingresos No acumulables</t>
  </si>
  <si>
    <t>Tasa promedio 5 ejercicios</t>
  </si>
  <si>
    <t>Saldo a favor de ejercicios anteriores compensado en el ejercicio.</t>
  </si>
  <si>
    <t>CAPÍTULO I - "DE LOS INGRESOS POR SALARIOS Y EN GENERAL POR LA PRESTACIÓN DE UN SERVICIO PERSONAL SUBORDINADO"</t>
  </si>
  <si>
    <t>Empleador</t>
  </si>
  <si>
    <t>R.F.C.</t>
  </si>
  <si>
    <t>Período</t>
  </si>
  <si>
    <t>Tipo de Ingreso</t>
  </si>
  <si>
    <t>Ingreso Total</t>
  </si>
  <si>
    <t>Importe Exento</t>
  </si>
  <si>
    <t>Ingreso Acumulable</t>
  </si>
  <si>
    <t>Retención</t>
  </si>
  <si>
    <t>Subsidio al empleo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</si>
  <si>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</si>
  <si>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</si>
  <si>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</si>
  <si>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</si>
  <si>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</si>
  <si>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</si>
  <si>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</si>
  <si>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</si>
  <si>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</si>
  <si>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</si>
  <si>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</si>
  <si>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</si>
  <si>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</si>
  <si>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</si>
  <si>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Total</t>
  </si>
  <si>
    <t>Notas:</t>
  </si>
  <si>
    <t>LLENADO DECLARASAT</t>
  </si>
  <si>
    <t>INGRESO ANUAL</t>
  </si>
  <si>
    <t>INGRESOS EXENTOS</t>
  </si>
  <si>
    <t>INGRESOS ACUMULABLES</t>
  </si>
  <si>
    <t>SUBSIDIO AL EMPLEO</t>
  </si>
  <si>
    <t>IMPUESTO RETENIDO</t>
  </si>
  <si>
    <t xml:space="preserve">CAPÍTULO II - "DE LOS INGRESOS POR ACTIVIDADES EMPRESARIALES Y PROFESIONALES" </t>
  </si>
  <si>
    <t>Actividad Empresarial</t>
  </si>
  <si>
    <t>Importe Facturado</t>
  </si>
  <si>
    <t>Egresos</t>
  </si>
  <si>
    <t>Pagos Definitivos / Provisionales</t>
  </si>
  <si>
    <t xml:space="preserve">Retenciones </t>
  </si>
  <si>
    <t>Importe</t>
  </si>
  <si>
    <t>IVA</t>
  </si>
  <si>
    <t>ISR</t>
  </si>
  <si>
    <t>Activo</t>
  </si>
  <si>
    <t>Pasivo</t>
  </si>
  <si>
    <t>Enero</t>
  </si>
  <si>
    <t>Efectivo en caja y depósitos en I. de C.</t>
  </si>
  <si>
    <t>Cuentas y documentos por pagar</t>
  </si>
  <si>
    <t>Febrero</t>
  </si>
  <si>
    <t>Inversiones en valores</t>
  </si>
  <si>
    <t>Contribuciones por pagar</t>
  </si>
  <si>
    <t>Marzo</t>
  </si>
  <si>
    <t>Cuentas y documentos por cobrar</t>
  </si>
  <si>
    <t>Otros pasivos</t>
  </si>
  <si>
    <t>Abril</t>
  </si>
  <si>
    <t>Contribuciones a favor</t>
  </si>
  <si>
    <t>Suma pasivo</t>
  </si>
  <si>
    <t>Mayo</t>
  </si>
  <si>
    <t>Inventarios</t>
  </si>
  <si>
    <t>Junio</t>
  </si>
  <si>
    <t>Otros activos circulantes</t>
  </si>
  <si>
    <t>Capital</t>
  </si>
  <si>
    <t>Julio</t>
  </si>
  <si>
    <t>Inversiones en acciones</t>
  </si>
  <si>
    <t>Utilidades acumuladas</t>
  </si>
  <si>
    <t>Agosto</t>
  </si>
  <si>
    <t>Terrenos</t>
  </si>
  <si>
    <t>Utilidades del ejercicio</t>
  </si>
  <si>
    <t>Septiembre</t>
  </si>
  <si>
    <t>Construcciones</t>
  </si>
  <si>
    <t>Perdidas acumuladas</t>
  </si>
  <si>
    <t>Octubre</t>
  </si>
  <si>
    <t>Maquinaria y Equipo</t>
  </si>
  <si>
    <t>Perdidas del ejercicio</t>
  </si>
  <si>
    <t>Noviembre</t>
  </si>
  <si>
    <t>Mobiliario y Equipo de Oficina</t>
  </si>
  <si>
    <t>Actualización del Capital</t>
  </si>
  <si>
    <t>Diciembre</t>
  </si>
  <si>
    <t>Equipo de Transporte</t>
  </si>
  <si>
    <t>Otras cuentas del Capital</t>
  </si>
  <si>
    <t>Otros activos fijos</t>
  </si>
  <si>
    <t>Suma Capital</t>
  </si>
  <si>
    <t>Depreciación acumulada</t>
  </si>
  <si>
    <t>Diferencia</t>
  </si>
  <si>
    <t>Gran Total</t>
  </si>
  <si>
    <t>Cargos y gastos diferidos</t>
  </si>
  <si>
    <t>Amortización acumulada</t>
  </si>
  <si>
    <t>Suma de Activo</t>
  </si>
  <si>
    <t>Suma Pasivo y Capital</t>
  </si>
  <si>
    <t>Ingresos</t>
  </si>
  <si>
    <t>Deducciones</t>
  </si>
  <si>
    <t>Mes</t>
  </si>
  <si>
    <t xml:space="preserve">Importe </t>
  </si>
  <si>
    <t xml:space="preserve">IVA </t>
  </si>
  <si>
    <t>TOTAL</t>
  </si>
  <si>
    <t>INGRESOS</t>
  </si>
  <si>
    <t>TOTAL DE INGRESOS</t>
  </si>
  <si>
    <t>CONCEPTO:</t>
  </si>
  <si>
    <t>MONTO</t>
  </si>
  <si>
    <t>INGRESOS TOTALES PROPIOS DE LA ACTIVIDAD NACIONALES</t>
  </si>
  <si>
    <t>OTROS INGRESOS</t>
  </si>
  <si>
    <t>DEDUCCIONES</t>
  </si>
  <si>
    <t>DEDUCCIONES AUTORIZADAS</t>
  </si>
  <si>
    <t>OTRAS DEDUCCIONES</t>
  </si>
  <si>
    <t>TOTAL DE DEDUCCIONES AUTORIZADAS</t>
  </si>
  <si>
    <t>RESULTADO FISCAL</t>
  </si>
  <si>
    <t>UTILIDAD FISCAL</t>
  </si>
  <si>
    <t>PTU PAGADA EN EL EJERCICIO</t>
  </si>
  <si>
    <t>PÉRDIDAS FISACLES DE EJERCICIOS ANTERIORES APLICADAS EN EL EJERCICIO</t>
  </si>
  <si>
    <t>UTILIDAD GRAVABLE</t>
  </si>
  <si>
    <t>PAGOS PROVISIONALES</t>
  </si>
  <si>
    <t>PAGOS PROVISIONALES EFECTUADOS EN EL EJERCICIO</t>
  </si>
  <si>
    <t>RETENCIONES DE ISR</t>
  </si>
  <si>
    <t>ISR RETENIDO POR PERSONAS MORALES</t>
  </si>
  <si>
    <t>CAPÍTULO III - "DE LOS INGRESOS POR ARRENDAMIENTO Y EN GENERAL POR OTORGAR EL USO O GOCE TEMPORAL DE BIENES INMUEBLES"</t>
  </si>
  <si>
    <t>ARRENDAMIENTOS</t>
  </si>
  <si>
    <t>Retenciones</t>
  </si>
  <si>
    <t>Pagos Definitivos/Provisionales</t>
  </si>
  <si>
    <t>CÁLCULO DEDUCCIÓN CIEGA</t>
  </si>
  <si>
    <t>CÁLCULO CON DEDUCCIÓN COMPROBABLE</t>
  </si>
  <si>
    <t>Total de Ingresos Obtenidos</t>
  </si>
  <si>
    <t xml:space="preserve"> % para Deducción Opcional</t>
  </si>
  <si>
    <t>Total Deducción Ciega</t>
  </si>
  <si>
    <t>Total Deducciones Comprobables</t>
  </si>
  <si>
    <t>Impuesto Predial</t>
  </si>
  <si>
    <t>Impuesto Predial *</t>
  </si>
  <si>
    <t>Total Deducciones Autorizadas</t>
  </si>
  <si>
    <t>Ingresos Acumulables por Arrendamiento</t>
  </si>
  <si>
    <t>Ingresos Acumulables</t>
  </si>
  <si>
    <t>* Por esta opción el predial estaría dentro del importe de comprobables</t>
  </si>
  <si>
    <t>INGRESOS EN FIBRAS</t>
  </si>
  <si>
    <t>Institución Financiera</t>
  </si>
  <si>
    <t>Ingreso Neto</t>
  </si>
  <si>
    <t>Ingreso acumulable</t>
  </si>
  <si>
    <t>ISR retenido</t>
  </si>
  <si>
    <t>Totales</t>
  </si>
  <si>
    <t>Total de Ingresos Acumulables Capítulo III</t>
  </si>
  <si>
    <t>ARRENDADO A:</t>
  </si>
  <si>
    <t>DETALLE DE IMPUESTO PREDIAL PAGADO EN EL EJERCICIO</t>
  </si>
  <si>
    <t>RFC:</t>
  </si>
  <si>
    <t>Subtotal</t>
  </si>
  <si>
    <t>Retención IVA</t>
  </si>
  <si>
    <t>Retención ISR</t>
  </si>
  <si>
    <t>Deducciones Comprobables</t>
  </si>
  <si>
    <t>Arrendador</t>
  </si>
  <si>
    <t>Total de Impuesto</t>
  </si>
  <si>
    <t>Total Bonificación</t>
  </si>
  <si>
    <t>Total a Pagar</t>
  </si>
  <si>
    <t>Años</t>
  </si>
  <si>
    <t>CAPÍTULO IV SECCIÓN I - "DE LA ENAJENACIÓN DE BIENES"</t>
  </si>
  <si>
    <t>A. VENTA DE ACCIONES FUERA DE BOLSA - CÁLCULO EXTRANJERO</t>
  </si>
  <si>
    <t>Nombre de la sociedad</t>
  </si>
  <si>
    <t>RFC</t>
  </si>
  <si>
    <t>Años de tenencia</t>
  </si>
  <si>
    <t xml:space="preserve">Ingresos </t>
  </si>
  <si>
    <t xml:space="preserve">Deducciones </t>
  </si>
  <si>
    <t>Ganancia</t>
  </si>
  <si>
    <t>Ganancia Acumulable</t>
  </si>
  <si>
    <t>Ganancia No Acumulable</t>
  </si>
  <si>
    <t>(Pérdida)</t>
  </si>
  <si>
    <t>(Pérdida disminuible)</t>
  </si>
  <si>
    <t>(Pérdida acreditable)</t>
  </si>
  <si>
    <t>Ganancia Acumulable / Pérdida a disminuir</t>
  </si>
  <si>
    <t>EXT990101NI9</t>
  </si>
  <si>
    <t>B. VENTA DE ACCIONES FUERA DE BOLSA - CÁLCULO NACIONAL</t>
  </si>
  <si>
    <t>Emisor</t>
  </si>
  <si>
    <t>Ganancia / (pérdida) en venta de acciones fuera de bolsa - (Cálculo Nacional)</t>
  </si>
  <si>
    <t xml:space="preserve">C. VENTA DE TÍTULOS DE DEUDA (BIENES MUEBLES) - CÁLCULO EXTRANJERO </t>
  </si>
  <si>
    <t xml:space="preserve">Ganancia / (pérdida) en venta de títulos de deuda (bienes muebles) - Cálculo Extranjero </t>
  </si>
  <si>
    <t xml:space="preserve">D. VENTA DE TÍTULOS DE DEUDA (BIENES MUEBLES) - CÁLCULO NACIONAL </t>
  </si>
  <si>
    <t xml:space="preserve">Ganancia / (pérdida) en venta de títulos de deuda (bienes muebles) - Cálculo Nacional </t>
  </si>
  <si>
    <t>E. OTRAS ENAJENACIONES DE ACCIONES FUERA DE BOLSA - CÁLCULO NACIONAL Y EXTRANJERO</t>
  </si>
  <si>
    <t>2 o más</t>
  </si>
  <si>
    <t>SE DEBE AGREGAR MANUALMENTE EL MONTO DE LA GANANCIA ACUMULABLE DEL EJERCICIO</t>
  </si>
  <si>
    <t>Constancias Nacionales</t>
  </si>
  <si>
    <t>Ganancia / (pérdida) en otras enajenaciones de acciones fuera de bolsa</t>
  </si>
  <si>
    <t>TOTALES</t>
  </si>
  <si>
    <t>F. ENAJENACIONES DE BIENES INMUEBLES</t>
  </si>
  <si>
    <t>Nombre</t>
  </si>
  <si>
    <t>Pago Provisional</t>
  </si>
  <si>
    <t>Monto del Ingreso Exento</t>
  </si>
  <si>
    <t>GANANCIA</t>
  </si>
  <si>
    <t>PÉRDIDA</t>
  </si>
  <si>
    <t>MONTO DE LA GANANCIA ACUMULABLE</t>
  </si>
  <si>
    <t>MONTO DE LA GANANCIA NO ACUMULABLE</t>
  </si>
  <si>
    <t>Ingreso por la enajenación</t>
  </si>
  <si>
    <t>Pérdidas</t>
  </si>
  <si>
    <t>Ganancias</t>
  </si>
  <si>
    <t>Años transcurridos</t>
  </si>
  <si>
    <t>ACCIONES FUERA DE BOLSA - EXTRANJERO</t>
  </si>
  <si>
    <t>OTRAS ENAJENACIONS DE ACCIONES FUERA DE BOLSA (MANUAL)</t>
  </si>
  <si>
    <t>VARIOS</t>
  </si>
  <si>
    <t>MUEBLES - EXTRANJERO</t>
  </si>
  <si>
    <t>EFECTO EN CÁLCULO ISR - POR FUENTE DE INGRESOS</t>
  </si>
  <si>
    <t>CAPÍTULO IV SECCIÓN II - "DE LA ENAJENACIÓN DE ACCIONES EN BOLSA DE VALORES"</t>
  </si>
  <si>
    <t>A. ENAJENACIÓN DE ACCIONES - CÁLCULOS EXTRANJERO</t>
  </si>
  <si>
    <t>Ganancia fiscal</t>
  </si>
  <si>
    <t xml:space="preserve">Pérdida fiscal </t>
  </si>
  <si>
    <t>Ganancia neta</t>
  </si>
  <si>
    <t>Ingreso gravable</t>
  </si>
  <si>
    <t>Total Acciones - Cálculos Extranjero</t>
  </si>
  <si>
    <t>B. ENAJENACIÓN DE ACCIONES - CONSTANCIAS NACIONALES</t>
  </si>
  <si>
    <t>Total Acciones - Constancias Nacionales</t>
  </si>
  <si>
    <t>Total de ingresos por enajenación de acciones en la BMV/SIC</t>
  </si>
  <si>
    <t>C. ENAJENACIÓN DE OPERACIONES FINANCIERAS DERIVADAS REFERIDAS A ACCIONES BMV O SIC REALIZADAS EN BOLSAS RECONOCIDAS - CÁLCULO EXTRANJERO</t>
  </si>
  <si>
    <t>Total Derivados - Cálculos Extranjero</t>
  </si>
  <si>
    <t xml:space="preserve"> </t>
  </si>
  <si>
    <t>D. ENAJENACIÓN DE OPERACIONES FINANCIERAS DERIVADAS REFERIDAS A  ACCIONES BMV O SIC - CONSTANCIAS NACIONALES</t>
  </si>
  <si>
    <t>Total Derivados - Constancias Nacionales</t>
  </si>
  <si>
    <t>Total de ingresos por enajenación de OFD referidas a acciones en BMV/SIC</t>
  </si>
  <si>
    <t>CAPÍTULO VI - "DE LOS INGRESOS POR INTERESES"</t>
  </si>
  <si>
    <t xml:space="preserve"> A. INTERESES - CÁLCULOS EXTRANJERO (SISTEMA FINANCIERO)</t>
  </si>
  <si>
    <t>Descripción</t>
  </si>
  <si>
    <t xml:space="preserve">Interés Nominal </t>
  </si>
  <si>
    <t>Interés Nominal exento</t>
  </si>
  <si>
    <t xml:space="preserve">Interés Real </t>
  </si>
  <si>
    <t xml:space="preserve">Pérdida </t>
  </si>
  <si>
    <t>Interés acumulable / (Pérdida deducible)</t>
  </si>
  <si>
    <t>Impuesto Retenido</t>
  </si>
  <si>
    <t>Pagos Provisionales</t>
  </si>
  <si>
    <t>Total intereses provenientes del extranjero (Sistema financiero)</t>
  </si>
  <si>
    <t>B. INTERESES - CONSTANCIAS NACIONALES (SISTEMA FINANCIERO)</t>
  </si>
  <si>
    <t>Cuenta / Contrato</t>
  </si>
  <si>
    <t>BANCO A</t>
  </si>
  <si>
    <t>BANCO B</t>
  </si>
  <si>
    <t>BANCO C</t>
  </si>
  <si>
    <t>BANCO D</t>
  </si>
  <si>
    <t>BANCO E</t>
  </si>
  <si>
    <t>BANCO F</t>
  </si>
  <si>
    <t>BANCO G</t>
  </si>
  <si>
    <t>Total de intereses provenientes del sistema financiero nacional</t>
  </si>
  <si>
    <t>C. INTERESES - NO PROVENIENTES DEL SISTEMA FINANCIERO</t>
  </si>
  <si>
    <t>Nombre del Acreedor</t>
  </si>
  <si>
    <t>Total intereses no provenientes del sistema financiero</t>
  </si>
  <si>
    <t>Gran total de intereses nacionales</t>
  </si>
  <si>
    <t>Gran total de Intereses Acumulables</t>
  </si>
  <si>
    <t>Intereses Extranjero</t>
  </si>
  <si>
    <t>Intereses Sistema Financiero</t>
  </si>
  <si>
    <t>Intereses No del Sistema Financiero</t>
  </si>
  <si>
    <t>Total de Intereses</t>
  </si>
  <si>
    <t>CAPÍTULO VIII - "DE LOS INGRESOS POR DIVIDENDOS Y EN GENERAL POR LAS GANANCIAS DISTRIBUIDAS POR PERSONAS MORALES"</t>
  </si>
  <si>
    <t>A. DIVIDENDOS NACIONALES - CÁLCULOS DEL EXTRANJERO</t>
  </si>
  <si>
    <t>Dividendo Neto</t>
  </si>
  <si>
    <t>Factor Piramidación</t>
  </si>
  <si>
    <t>Dividendo Acumulable</t>
  </si>
  <si>
    <t>ISR Acreditable</t>
  </si>
  <si>
    <t>Ajuste por dif en Constancia Vs DeclaraSat</t>
  </si>
  <si>
    <t>Gran Total Dividendos - Cálculos del Extranjero</t>
  </si>
  <si>
    <t>B. DIVIDENDOS NACIONALES - REPORTADOS EN CONSTANCIAS NACIONALES</t>
  </si>
  <si>
    <t>Institución Financiera o Nombre de la Sociedad</t>
  </si>
  <si>
    <t>No. Cuenta / Contrato</t>
  </si>
  <si>
    <t>Gran Total Dividendos - Constancias Nacionales</t>
  </si>
  <si>
    <t>CAPÍTULO IX - "DE LOS DEMÁS INGRESOS QUE OBTENGAN LAS PERSONAS FÍSICAS"</t>
  </si>
  <si>
    <t xml:space="preserve">A. DIVIDENDOS DEL EXTRANJERO - CÁLCULOS DEL EXTRANJERO       </t>
  </si>
  <si>
    <t>Dividendo neto en MXN</t>
  </si>
  <si>
    <t>ISR Retenido en el extranjero en MXN</t>
  </si>
  <si>
    <t>Dividendo Acumulable en MXN</t>
  </si>
  <si>
    <t>Total Dividendos Capítulo IX - Cálculos Extranjero</t>
  </si>
  <si>
    <t>Notas</t>
  </si>
  <si>
    <t xml:space="preserve">B. DIVIDENDOS DEL EXTRANJERO - REPORTADOS EN CONSTANCIAS DE BANCOS NACIONALES </t>
  </si>
  <si>
    <t>Nombre de la Emisora o Institución Financiera</t>
  </si>
  <si>
    <t>No. de Cuenta / Contrato</t>
  </si>
  <si>
    <t>Total Dividendos Capítulo IX - Constancias Nacionales</t>
  </si>
  <si>
    <t>Total Dividendos Extranjero</t>
  </si>
  <si>
    <t>DEMAS INGRESOS - UTILIDADES DE PRIVATE EQUITY CÁLCULOS EXTRANJERO</t>
  </si>
  <si>
    <t>Estos ingresos estan sujeros al 10% adicional de dividendos</t>
  </si>
  <si>
    <t>Distribución en MXN</t>
  </si>
  <si>
    <t>ISR Retenido en MXN</t>
  </si>
  <si>
    <t>Total de ingresos de Private Equity - Cálculos Extranjero</t>
  </si>
  <si>
    <r>
      <rPr>
        <b/>
        <sz val="12"/>
        <color theme="1"/>
        <rFont val="Segoe UI"/>
        <family val="2"/>
      </rPr>
      <t>Notas:</t>
    </r>
    <r>
      <rPr>
        <sz val="12"/>
        <color theme="1"/>
        <rFont val="Segoe UI"/>
        <family val="2"/>
      </rPr>
      <t xml:space="preserve"> </t>
    </r>
  </si>
  <si>
    <t>DEMAS INGRESOS - OTROS INGRESOS DE CÁLCULOS EXTRANJERO</t>
  </si>
  <si>
    <t>ISR Retenido</t>
  </si>
  <si>
    <t>Total de otros ingresos percibidos en el extranjero - Cálculos Extranjero</t>
  </si>
  <si>
    <t>DEMAS INGRESOS - FACTOR DE ACUMULACION (ART. 239) EN CÁLCULOS EXTRANJERO</t>
  </si>
  <si>
    <t>Saldo Inicial en Pesos</t>
  </si>
  <si>
    <t>Información para el llenado del DSAT</t>
  </si>
  <si>
    <t>DEMAS INGRESOS - PERCIBIDOS EN MÉXICO</t>
  </si>
  <si>
    <t>Total de otros ingresos percibidos en México</t>
  </si>
  <si>
    <t>CAPÍTULO IX - "DE LOS DEMÁS INGRESOS - OPERACIONES FINANCIERAS DERIVADAS"</t>
  </si>
  <si>
    <t>CÁLCULO EXTRANJERO</t>
  </si>
  <si>
    <t>Ganancia Fiscal</t>
  </si>
  <si>
    <t xml:space="preserve">Pérdida Fiscal </t>
  </si>
  <si>
    <t>Ganancia / Pérdida</t>
  </si>
  <si>
    <t>Ganancia / (pérdida) en venta de OFD - Cálculo Extranjero</t>
  </si>
  <si>
    <t>CONSTANCIAS NACIONALES</t>
  </si>
  <si>
    <t>Ganancia / (pérdida) en venta de OFD - Cálculo Nacional</t>
  </si>
  <si>
    <t>INGRESOS POR REGALÍAS</t>
  </si>
  <si>
    <t>Nombre de la Sociedad</t>
  </si>
  <si>
    <t>IVA Retenido</t>
  </si>
  <si>
    <t>Mes -  Descripción</t>
  </si>
  <si>
    <t>Núm. Factura</t>
  </si>
  <si>
    <t>Fecha</t>
  </si>
  <si>
    <t>Empresa</t>
  </si>
  <si>
    <t>Sub-total</t>
  </si>
  <si>
    <t>Ret. ISR</t>
  </si>
  <si>
    <t>Ret. IVA</t>
  </si>
  <si>
    <t>Neto</t>
  </si>
  <si>
    <t>abril</t>
  </si>
  <si>
    <t>Total Enero</t>
  </si>
  <si>
    <t>mayo</t>
  </si>
  <si>
    <t>junio</t>
  </si>
  <si>
    <t>julio</t>
  </si>
  <si>
    <t>agosto</t>
  </si>
  <si>
    <t>Total Febrero</t>
  </si>
  <si>
    <t>Total Marzo</t>
  </si>
  <si>
    <t>Total Abril</t>
  </si>
  <si>
    <t>Total Mayo</t>
  </si>
  <si>
    <t>Total Junio</t>
  </si>
  <si>
    <t>Total Julio</t>
  </si>
  <si>
    <t>Total Agosto</t>
  </si>
  <si>
    <t>Total Septiembre</t>
  </si>
  <si>
    <t>Total Octubre</t>
  </si>
  <si>
    <t>Total Noviembre</t>
  </si>
  <si>
    <t>Total Diciembre</t>
  </si>
  <si>
    <t>DEDUCCIONES PERSONALES</t>
  </si>
  <si>
    <t>Concepto</t>
  </si>
  <si>
    <t>Emisor del Comprobante - CFDI</t>
  </si>
  <si>
    <t>Folio / No</t>
  </si>
  <si>
    <t>I.V.A.</t>
  </si>
  <si>
    <t>Total Deducciones + Donativos</t>
  </si>
  <si>
    <t>Total de deducciones autorizadas</t>
  </si>
  <si>
    <t>Límite deducciones</t>
  </si>
  <si>
    <t>Deducciones autorizadas</t>
  </si>
  <si>
    <t>Total Donativos</t>
  </si>
  <si>
    <t>Límite Donativos</t>
  </si>
  <si>
    <t>Donativos deducibles</t>
  </si>
  <si>
    <t>Institucion</t>
  </si>
  <si>
    <t>R.F.C. Emisor</t>
  </si>
  <si>
    <t>CURP del Beneficiario</t>
  </si>
  <si>
    <t>Monto</t>
  </si>
  <si>
    <t>Límite</t>
  </si>
  <si>
    <t>Deducible</t>
  </si>
  <si>
    <t>Preescolar</t>
  </si>
  <si>
    <t>Nombre 1</t>
  </si>
  <si>
    <t>Nombre 2</t>
  </si>
  <si>
    <t>Primaria</t>
  </si>
  <si>
    <t>Secundaria</t>
  </si>
  <si>
    <t>Bachillerato o equivalente</t>
  </si>
  <si>
    <t>Total de Gastos en Colegiaturas Deducibles en el Ejercicio</t>
  </si>
  <si>
    <t>Total Deducciones Personales Autorizadas</t>
  </si>
  <si>
    <t>EROGACIONES NO DEDUCIBLES DEL EJERCICIO</t>
  </si>
  <si>
    <t>CONCEPTO</t>
  </si>
  <si>
    <t>EMISOR DEL COMPROBANTE</t>
  </si>
  <si>
    <t>FOLIO FACTURA / CFDI</t>
  </si>
  <si>
    <t>IMPORTE</t>
  </si>
  <si>
    <t>Total de gastos no deducibles</t>
  </si>
  <si>
    <t>Lista de Conceptos</t>
  </si>
  <si>
    <t>Determinación de Límites permitidos</t>
  </si>
  <si>
    <t>Donativo</t>
  </si>
  <si>
    <t>Honorarios Médicos</t>
  </si>
  <si>
    <t>Número de veces</t>
  </si>
  <si>
    <t>Gastos Hospitalarios</t>
  </si>
  <si>
    <t>Límite 1 deducible</t>
  </si>
  <si>
    <t>Gastos Hipotecarios</t>
  </si>
  <si>
    <t>Gastos Funerarios</t>
  </si>
  <si>
    <t>Intereses Reales Créditos Hip.</t>
  </si>
  <si>
    <t>Ingresos del ejercicio</t>
  </si>
  <si>
    <t>Aportaciones Complementarias</t>
  </si>
  <si>
    <t>Límite en %</t>
  </si>
  <si>
    <t>Primas de Seguros Médicos</t>
  </si>
  <si>
    <t>Límite 2 deducible</t>
  </si>
  <si>
    <t>Transporte Escolar</t>
  </si>
  <si>
    <t>Límite permitido en donativos</t>
  </si>
  <si>
    <t>Profesional técnico</t>
  </si>
  <si>
    <t>INSTRUCCIONES</t>
  </si>
  <si>
    <t xml:space="preserve">SOLO LAS CELDAS EN ESTE COLOR DEBERAN SER LLENADAS. </t>
  </si>
  <si>
    <t>DATOS INFORMATIVOS OBLIGATORIOS</t>
  </si>
  <si>
    <t>Préstamos Recibidos</t>
  </si>
  <si>
    <t>Premios Obtenidos</t>
  </si>
  <si>
    <t>Donativos Obtenidos</t>
  </si>
  <si>
    <t>Viáticos Cobrados (exentos)</t>
  </si>
  <si>
    <t>Ingresos Exentos (venta de casa habitación)</t>
  </si>
  <si>
    <t>Ingresos exentos por Herencias</t>
  </si>
  <si>
    <t>Diferencia de pagos efectuados a la entidad federativa</t>
  </si>
  <si>
    <t>Estímulos Proyectos de Investigación y Desarrollo</t>
  </si>
  <si>
    <t>Estímulos Producción y Dist. Cinematográfica</t>
  </si>
  <si>
    <t>Estímulos Producción Teatral</t>
  </si>
  <si>
    <t>Deducción Adicional del Fomento al primer empleo</t>
  </si>
  <si>
    <t>Deducción por ayuda alimentaria</t>
  </si>
  <si>
    <t>Ingresos acumulables con partes relacionadas</t>
  </si>
  <si>
    <t>Deducciones autorizadas con partes relacionadas</t>
  </si>
  <si>
    <t>Determinación de donativos obtenidos en el ejercicio</t>
  </si>
  <si>
    <t>Fecha del Donativo</t>
  </si>
  <si>
    <t>Moneda Original Donativo</t>
  </si>
  <si>
    <t>Monto del donativo</t>
  </si>
  <si>
    <t>Equivalencia</t>
  </si>
  <si>
    <t>Tipo de Cambio</t>
  </si>
  <si>
    <t>Donativo en MXN</t>
  </si>
  <si>
    <t>Total de donativos a informar en el ejercicio</t>
  </si>
  <si>
    <t>Determinación del monto obtenido en venta de casa habitación.</t>
  </si>
  <si>
    <t>Fecha de la venta</t>
  </si>
  <si>
    <t>Moneda Original de la Venta</t>
  </si>
  <si>
    <t>Monto de la venta</t>
  </si>
  <si>
    <t>Monto de la Venta en MXN</t>
  </si>
  <si>
    <t>Determinación de bienes obtenidos por herencia en el ejercicio</t>
  </si>
  <si>
    <t>Fecha de herencia obtenida</t>
  </si>
  <si>
    <t>Moneda Original Herencia</t>
  </si>
  <si>
    <t>Monto Heredado</t>
  </si>
  <si>
    <t>Herencia en MXN</t>
  </si>
  <si>
    <t>Monto total heredado a informar en el ejercicio</t>
  </si>
  <si>
    <t>ACTUALIZACIÓN DE SALDOS A FAVOR PENDIENTES DE APLICAR</t>
  </si>
  <si>
    <t xml:space="preserve">Periodo: </t>
  </si>
  <si>
    <t>Moneda:</t>
  </si>
  <si>
    <t>pesos mexicanos</t>
  </si>
  <si>
    <t>Ejercicio de la Declaración</t>
  </si>
  <si>
    <t>Tipo de Declaración</t>
  </si>
  <si>
    <t>Declaración</t>
  </si>
  <si>
    <t>Número de Operación</t>
  </si>
  <si>
    <t>Monto del SAF</t>
  </si>
  <si>
    <t>Remanente Actualizado</t>
  </si>
  <si>
    <t>Fecha en que se presentó la declaración</t>
  </si>
  <si>
    <t>Mes Anterior en que se presentó</t>
  </si>
  <si>
    <t>INPC Antiguo</t>
  </si>
  <si>
    <t>Fecha Última Actualización</t>
  </si>
  <si>
    <t>INPC Anterior</t>
  </si>
  <si>
    <t>Fecha en la que se utiliza la compensación</t>
  </si>
  <si>
    <t>Mes Anterior a la compensación</t>
  </si>
  <si>
    <t>INPC Nuevo</t>
  </si>
  <si>
    <t>Factor</t>
  </si>
  <si>
    <t>Monto del SAF Actualizado</t>
  </si>
  <si>
    <t>Remanente</t>
  </si>
  <si>
    <t>Ejercicio en que se amortiza la compensación</t>
  </si>
  <si>
    <t>Declaración en la que se compensa</t>
  </si>
  <si>
    <t>Tipo declaración</t>
  </si>
  <si>
    <t>Declaración Normal</t>
  </si>
  <si>
    <t>Declaración Complementaria 1</t>
  </si>
  <si>
    <t>BMV</t>
  </si>
  <si>
    <t>Declaración Complementaria 2</t>
  </si>
  <si>
    <t>10% Adicional Dividendos</t>
  </si>
  <si>
    <t>Declaración Complementaria 3</t>
  </si>
  <si>
    <t>REFIPRES</t>
  </si>
  <si>
    <t>INFORMACIÓN DE REFERENCIA:</t>
  </si>
  <si>
    <t>Arts 22 &amp; 23 CFF</t>
  </si>
  <si>
    <t>El fisco federal deberá pagar la devolución que proceda actualizada conforme a lo previsto en el Art. 17-A del CFF desde el mes en que se presentó la declaración</t>
  </si>
  <si>
    <t xml:space="preserve"> que contenga el saldo a favor y hasta aquél en que la devolución este a disposición del contribuyente o hasta aquél en que la compenseación se realice.</t>
  </si>
  <si>
    <t>Art 17-A CFF</t>
  </si>
  <si>
    <t>Se actualizará</t>
  </si>
  <si>
    <t>Desde el mes anterior al mas antiguo del periodo</t>
  </si>
  <si>
    <t>Hasta el mes anterior al más reciente del periodo</t>
  </si>
  <si>
    <t>ACTUALIZACIÓN DE PÉRDIDAS POR INTERESES DE EJERCICIOS ANTERIORES (CAPÍTULO VI)</t>
  </si>
  <si>
    <t>Monto Pérdida Intereses</t>
  </si>
  <si>
    <t>Último Mes del Ejercicio en que ocurrió</t>
  </si>
  <si>
    <t>Último Mes del Ejercicio en el que se aplique</t>
  </si>
  <si>
    <t>Monto Pérdida Intereses Actualizada</t>
  </si>
  <si>
    <t>Pérdida Aplicada Ejercicios Anteriores</t>
  </si>
  <si>
    <t>Remanente Pérdida Después de Amortización</t>
  </si>
  <si>
    <t>Año de Amortización de la Pérdida</t>
  </si>
  <si>
    <t>PÉRDIDA POR INTERESES PENDIENTE DE APLICAR</t>
  </si>
  <si>
    <t>Art 134 LISR</t>
  </si>
  <si>
    <t xml:space="preserve">La pérdida se podrá disminuir de los demás ingresos obtenidos en el ejercicio, excepto de aquellos a que se refieren los captítulos I y II del Título IV </t>
  </si>
  <si>
    <t>La parte de la pérdida que no se hubiese podido disminuir en el ejercicio, se podrá aplicar, en los cinco ejercicios siguientes hasta agotarla.</t>
  </si>
  <si>
    <t>Desde el último mes del ejericicio en el que ocurrió</t>
  </si>
  <si>
    <t>Hasta el último mes del ejercicio en el que aplique</t>
  </si>
  <si>
    <t>La ya actualizada</t>
  </si>
  <si>
    <t>Desde que se actualizó por última vez</t>
  </si>
  <si>
    <t>Hasta el último mes del ejercicio en el que se aplique</t>
  </si>
  <si>
    <t>ACTUALIZACIÓN DE PÉRDIDAS POR ENAJENACIÓN DE BIENES (CAPÍTULO IV - SECCIÓN I)</t>
  </si>
  <si>
    <t>Año de origen de la pérdida</t>
  </si>
  <si>
    <t>Último Mes del Ejercicio anterior en el que se aplique</t>
  </si>
  <si>
    <t>Pérdida Actualizada</t>
  </si>
  <si>
    <t>Utilidad Amortizada</t>
  </si>
  <si>
    <t>Remanente de Pérdidas Después de Amortización</t>
  </si>
  <si>
    <t>PÉRDIDA POR ENAJENACIÓN DE BIENES PENDIENTE DE APLICAR</t>
  </si>
  <si>
    <t>Art 121 LISR</t>
  </si>
  <si>
    <t>Podrán disminuir en el año de calendario de que se trate o en los tres siguientes</t>
  </si>
  <si>
    <t>Desde el mes del cierre del ejercicio en el que se sufrió la pérdida o se actualizó por última vez</t>
  </si>
  <si>
    <t>Hasta el último mes del ejericico inmediato anterior al ejercicio en el que se deduzca</t>
  </si>
  <si>
    <t>Art 122 LISR</t>
  </si>
  <si>
    <t>La pérdida podrá disminuirse de los demás ingresos, excepto de los ingresos a que se refieren los Capítulos I y II del Título IV</t>
  </si>
  <si>
    <t>DETERMINACIÓN DE PÉRDIDA POR ENAJEANCIÓN DE ACCIONES A LA TASA DEL 10% (ACC. MEX)</t>
  </si>
  <si>
    <t>Monto Pérdida</t>
  </si>
  <si>
    <t>PÉRDIDA POR ENAJENACIÓN DE BIENES SECCIÓN II (SIC / BMV) PENDIENTE DE APLICAR</t>
  </si>
  <si>
    <t>Art 129 LISR</t>
  </si>
  <si>
    <t>Cuando los contribuyentes generen pérdida en el ejercicio por las enajenaciones u operaciones eb BMV o SIC, podrán disminuir dicha pérdida</t>
  </si>
  <si>
    <r>
      <t xml:space="preserve">únicamente contra el monto de la ganancia que en su caso obtenga </t>
    </r>
    <r>
      <rPr>
        <b/>
        <sz val="12"/>
        <color theme="1"/>
        <rFont val="Segoe UI"/>
      </rPr>
      <t>en el ejercicio o en los diez siguientes</t>
    </r>
    <r>
      <rPr>
        <sz val="12"/>
        <color theme="1"/>
        <rFont val="Segoe UI"/>
        <family val="2"/>
      </rPr>
      <t>. El monto a disminuir por las pérdidas</t>
    </r>
  </si>
  <si>
    <t>a que se refiere esté párrafo no podrá exceder el monto de dichas ganancias.</t>
  </si>
  <si>
    <t>Desde el mes en que ocurrieron</t>
  </si>
  <si>
    <t>Hasta el mes de cierre del mismo ejercicio.</t>
  </si>
  <si>
    <t>Desde el mes del cierre del ejercicio en el que se actualizó por última vez</t>
  </si>
  <si>
    <t>Hasta el último mes del ejercicio inmediato anterior a aquel en el que se disminuirá.</t>
  </si>
  <si>
    <t>Cuando el contribuyente no disminuya la pérdida fiscal durante un ejercicio pudiendo haberlo hecho conforme a este artículo, perderá el derecho a hacerlo</t>
  </si>
  <si>
    <t>en los ejercicios posteriores y hasta por la cantidad en la que pudo haberlo efectuado.</t>
  </si>
  <si>
    <t>TARIFA 2021</t>
  </si>
  <si>
    <t>Límite inferior</t>
  </si>
  <si>
    <t>Límite superior</t>
  </si>
  <si>
    <t>Cuota fija</t>
  </si>
  <si>
    <t>Por ciento para aplicarse sobre el excedente del límite inferior</t>
  </si>
  <si>
    <t>$</t>
  </si>
  <si>
    <t>%</t>
  </si>
  <si>
    <t>En adelante</t>
  </si>
  <si>
    <t>EQUIVALENCIAS DE MONEDAS EXTRANJERAS EN DOLÁRES DE E.U.A. DEL 2021</t>
  </si>
  <si>
    <t>EQUIVALENCIAS DE MONEDAS EXTRANJERAS EN DOLÁRES DE E.U.A. DEL 2020</t>
  </si>
  <si>
    <t>EQUIVALENCIAS DE MONEDAS EXTRANJERAS EN DOLÁRES DE E.U.A. DEL 2019</t>
  </si>
  <si>
    <t>EQUIVALENCIAS DE MONEDAS EXTRANJERAS EN DOLÁRES DE E.U.A. DEL 2018</t>
  </si>
  <si>
    <t>EQUIVALENCIAS DE MONEDAS EXTRANJERAS EN DOLÁRES DE E.U.A. DEL 2017</t>
  </si>
  <si>
    <t>EQUIVALENCIAS DE MONEDAS EXTRANJERAS EN DOLÁRES DE E.U.A. DEL 2016</t>
  </si>
  <si>
    <t>EQUIVALENCIAS DE MONEDAS EXTRANJERAS EN DOLÁRES DE E.U.A. DEL 2015</t>
  </si>
  <si>
    <t>EQUIVALENCIAS DE MONEDAS EXTRANJERAS EN DOLÁRES DE E.U.A. DEL 2014</t>
  </si>
  <si>
    <t>EQUIVALENCIAS DE MONEDAS EXTRANJERAS EN DOLÁRES DE E.U.A. DEL 2013</t>
  </si>
  <si>
    <t>EQUIVALENCIAS DE MONEDAS EXTRANJERAS EN DOLÁRES DE E.U.A. DEL 2012</t>
  </si>
  <si>
    <t>EQUIVALENCIAS DE MONEDAS EXTRANJERAS EN DOLÁRES DE E.U.A. DEL 2011</t>
  </si>
  <si>
    <t>EQUIVALENCIAS DE MONEDAS EXTRANJERAS EN DOLÁRES DE E.U.A. DEL 2010</t>
  </si>
  <si>
    <t>EQUIVALENCIAS DE MONEDAS EXTRANJERAS EN DOLÁRES DE E.U.A. DEL 2009</t>
  </si>
  <si>
    <t>EQUIVALENCIAS DE MONEDAS EXTRANJERAS EN DOLÁRES DE E.U.A. DEL 2008</t>
  </si>
  <si>
    <t>EQUIVALENCIAS DE MONEDAS EXTRANJERAS EN DOLÁRES DE E.U.A. DEL 2007</t>
  </si>
  <si>
    <t>EQUIVALENCIAS DE MONEDAS EXTRANJERAS EN DOLÁRES DE E.U.A. DEL 2006</t>
  </si>
  <si>
    <t>EQUIVALENCIAS DE MONEDAS EXTRANJERAS EN DOLÁRES DE E.U.A. DEL 2005</t>
  </si>
  <si>
    <t>MXN</t>
  </si>
  <si>
    <t xml:space="preserve">Enero </t>
  </si>
  <si>
    <t xml:space="preserve">Marzo </t>
  </si>
  <si>
    <t xml:space="preserve">Mayo </t>
  </si>
  <si>
    <t>AUD</t>
  </si>
  <si>
    <t>BRL</t>
  </si>
  <si>
    <t>CAD</t>
  </si>
  <si>
    <t>CHF</t>
  </si>
  <si>
    <t>DKK</t>
  </si>
  <si>
    <t>EUR</t>
  </si>
  <si>
    <t>GBP</t>
  </si>
  <si>
    <t>JPY</t>
  </si>
  <si>
    <t>NOK</t>
  </si>
  <si>
    <t>NZD</t>
  </si>
  <si>
    <t>RMB</t>
  </si>
  <si>
    <t>RUB</t>
  </si>
  <si>
    <t>TKL</t>
  </si>
  <si>
    <t>HUF</t>
  </si>
  <si>
    <t>INR</t>
  </si>
  <si>
    <t>IDR</t>
  </si>
  <si>
    <t>ILS</t>
  </si>
  <si>
    <t>COP</t>
  </si>
  <si>
    <t>USD</t>
  </si>
  <si>
    <t>SI(A19="MXN",1/BUSCARH(AÑO(B19)+(MES(B19)/100),TC!$5:$100,DIA(B19)+2,FALSO),BUSCARV(A19,EQUIVALENCIA!$1:$100,((MAX(EQUIVALENCIA!$3:$3)-AÑO(B19))*14)+MES(B19)+2,FALSO))</t>
  </si>
  <si>
    <t xml:space="preserve">C9 </t>
  </si>
  <si>
    <t>nombre de equivalencia</t>
  </si>
  <si>
    <t>D9</t>
  </si>
  <si>
    <t>fecha</t>
  </si>
  <si>
    <t>TIPO DE CAMBIO PARA SOLVENTAR OBLIGACIONES DENOMINADAS EN DOLARES DE LOS ESTADOS UNIDOS</t>
  </si>
  <si>
    <t xml:space="preserve"> DE AMERICA PAGADERAS EN LA REPUBLICA MEXICANA PARA 2022</t>
  </si>
  <si>
    <t xml:space="preserve"> DE AMERICA PAGADERAS EN LA REPUBLICA MEXICANA PARA 2021</t>
  </si>
  <si>
    <t xml:space="preserve"> DE AMERICA PAGADERAS EN LA REPUBLICA MEXICANA PARA 2020</t>
  </si>
  <si>
    <t xml:space="preserve"> DE AMERICA PAGADERAS EN LA REPUBLICA MEXICANA PARA 2019</t>
  </si>
  <si>
    <t xml:space="preserve"> DE AMERICA PAGADERAS EN LA REPUBLICA MEXICANA PARA 2018</t>
  </si>
  <si>
    <t xml:space="preserve"> DE AMERICA PAGADERAS EN LA REPUBLICA MEXICANA PARA 2017</t>
  </si>
  <si>
    <t xml:space="preserve"> DE AMERICA PAGADERAS EN LA REPUBLICA MEXICANA PARA 2016</t>
  </si>
  <si>
    <t xml:space="preserve"> DE AMERICA PAGADERAS EN LA REPUBLICA MEXICANA PARA 2015</t>
  </si>
  <si>
    <t xml:space="preserve"> DE AMERICA PAGADERAS EN LA REPUBLICA MEXICANA PARA 2014</t>
  </si>
  <si>
    <t xml:space="preserve"> DE AMERICA PAGADERAS EN LA REPUBLICA MEXICANA PARA 2013</t>
  </si>
  <si>
    <t xml:space="preserve"> DE AMERICA PAGADERAS EN LA REPUBLICA MEXICANA PARA 2012</t>
  </si>
  <si>
    <t xml:space="preserve"> DE AMERICA PAGADERAS EN LA REPUBLICA MEXICANA PARA 2011</t>
  </si>
  <si>
    <t xml:space="preserve"> DE AMERICA PAGADERAS EN LA REPUBLICA MEXICANA PARA 2010</t>
  </si>
  <si>
    <t xml:space="preserve"> DE AMERICA PAGADERAS EN LA REPUBLICA MEXICANA PARA 2009</t>
  </si>
  <si>
    <t xml:space="preserve"> DE AMERICA PAGADERAS EN LA REPUBLICA MEXICANA PARA 2008</t>
  </si>
  <si>
    <t xml:space="preserve"> DE AMERICA PAGADERAS EN LA REPUBLICA MEXICANA PARA 2007</t>
  </si>
  <si>
    <t xml:space="preserve"> DE AMERICA PAGADERAS EN LA REPUBLICA MEXICANA PARA 2006</t>
  </si>
  <si>
    <t xml:space="preserve"> DE AMERICA PAGADERAS EN LA REPUBLICA MEXICANA PARA 2005</t>
  </si>
  <si>
    <t xml:space="preserve"> DE AMERICA PAGADERAS EN LA REPUBLICA MEXICANA PARA 2004</t>
  </si>
  <si>
    <t xml:space="preserve"> DE AMERICA PAGADERAS EN LA REPUBLICA MEXICANA PARA 2003</t>
  </si>
  <si>
    <t xml:space="preserve"> DE AMERICA PAGADERAS EN LA REPUBLICA MEXICANA PARA 2002</t>
  </si>
  <si>
    <t xml:space="preserve"> DE AMERICA PAGADERAS EN LA REPUBLICA MEXICANA PARA 2001</t>
  </si>
  <si>
    <t xml:space="preserve"> DE AMERICA PAGADERAS EN LA REPUBLICA MEXICANA PARA 2000</t>
  </si>
  <si>
    <t xml:space="preserve"> DE AMERICA PAGADERAS EN LA REPUBLICA MEXICANA PARA 1999</t>
  </si>
  <si>
    <t xml:space="preserve"> DE AMERICA PAGADERAS EN LA REPUBLICA MEXICANA PARA 1998</t>
  </si>
  <si>
    <t xml:space="preserve"> DE AMERICA PAGADERAS EN LA REPUBLICA MEXICANA PARA 1997</t>
  </si>
  <si>
    <t xml:space="preserve"> DE AMERICA PAGADERAS EN LA REPUBLICA MEXICANA PARA 1996</t>
  </si>
  <si>
    <t xml:space="preserve"> DE AMERICA PAGADERAS EN LA REPUBLICA MEXICANA PARA 1995</t>
  </si>
  <si>
    <t xml:space="preserve"> DE AMERICA PAGADERAS EN LA REPUBLICA MEXICANA PARA 1994</t>
  </si>
  <si>
    <t xml:space="preserve"> DE AMERICA PAGADERAS EN LA REPUBLICA MEXICANA PARA 1993</t>
  </si>
  <si>
    <t xml:space="preserve"> DE AMERICA PAGADERAS EN LA REPUBLICA MEXICANA PARA 1992</t>
  </si>
  <si>
    <t xml:space="preserve"> DE AMERICA PAGADERAS EN LA REPUBLICA MEXICANA PARA 1991</t>
  </si>
  <si>
    <t xml:space="preserve"> DE AMERICA PAGADERAS EN LA REPUBLICA MEXICANA PARA 1990</t>
  </si>
  <si>
    <t xml:space="preserve"> DE AMERICA PAGADERAS EN LA REPUBLICA MEXICANA PARA 1989</t>
  </si>
  <si>
    <t>DIA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</si>
  <si>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</si>
  <si>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</si>
  <si>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</si>
  <si>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</si>
  <si>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</si>
  <si>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</si>
  <si>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</si>
  <si>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</si>
  <si>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</si>
  <si>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</si>
  <si>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</si>
  <si>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</si>
  <si>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INDICE NACIONAL DE PRECIOS AL CONSUMIDOR</t>
  </si>
  <si>
    <t>CON BASE EN 2018=100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</si>
  <si>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</si>
  <si>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</si>
  <si>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</si>
  <si>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</si>
  <si>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</si>
  <si>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</si>
  <si>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</si>
  <si>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</si>
  <si>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</si>
  <si>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</si>
  <si>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</si>
  <si>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</si>
  <si>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</si>
  <si>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TASAS DE RECARGOS POR CRÉDITOS FISCALES E INTERESES A CARGO DEL FISCO</t>
  </si>
  <si>
    <t>RECARGOS POR MORA</t>
  </si>
  <si>
    <t>RMF 2021</t>
  </si>
  <si>
    <t> 3.17.9 </t>
  </si>
  <si>
    <t>Clave en el RFC en deducciones personales erogadas con residentes en el extranjero</t>
  </si>
  <si>
    <t>Para los efectos de los artículos 151 de la Ley del ISR y 265 de su Reglamento, las personas físicas que hayan efectuado erogaciones en el extranjero y que en los términos de dicha Ley sean consideradas como deducciones personales, podrán consignar en el llenado de la declaración anual, la clave en el RFC genérico: EXT990101NI4, tratándose de documentación comprobatoria expedida por personas físicas residentes en el extranjero, o bien, la clave en el RFC genérico: EXT990101NI9 cuando se trate de documentación comprobatoria expedida por personas morales residentes en el extranjero, según corresponda.</t>
  </si>
  <si>
    <t>2.7.1.26 </t>
  </si>
  <si>
    <t>Clave en el RFC genérica en CFDI y con residentes en el extranjero</t>
  </si>
  <si>
    <t>Para los efectos del artículo 29-A, fracción IV, segundo párrafo del CFF y 99, fracción III de la Ley del ISR, cuando no se cuente con la clave en el RFC, se consignará la clave genérica en el RFC: XAXX010101000 y cuando se trate de operaciones efectuadas con residentes en el extranjero, que no se encuentren inscritos en el RFC, se señalará la clave genérica en el RFC: XEXX010101000.</t>
  </si>
  <si>
    <t>En el caso de contribuyentes residentes en México, que presten servicios de subcontratación laboral a residentes en el extranjero que no están obligados a solicitar su inscripción en el RFC, en los CFDI de nómina que deben emitir por los pagos que realicen y que a su vez sean ingresos para sus trabajadores en términos del Título IV, Capítulo I de la Ley del ISR, podrán señalar en el campo “RfcLabora” del elemento o sección del complemento de nómina denominado “SubContratación” la clave en el RFC genérica a que se refiere el párrafo anterior.</t>
  </si>
  <si>
    <t>RESUMEN DE IMPUESTOS A CARGO DEL EJERCICIO FISCAL DE 2022</t>
  </si>
  <si>
    <t>IMPUESTO SOBRE LA RENTA - EJERCICIO FISCAL 2022</t>
  </si>
  <si>
    <t>DETERMINACIÓN DEL IMPUESTO SOBRE LA RENTA - EJERCICIO FISCAL DE 2022</t>
  </si>
  <si>
    <t>ISR a cargo del ejercicio 2022</t>
  </si>
  <si>
    <t>(Pérdida) generada en el ejercicio 2022</t>
  </si>
  <si>
    <t>Pérdidas de ejercicios anteriores aplicadas en 2022</t>
  </si>
  <si>
    <t>BALANCE GENERAL AL 31 DE DICIEMBRE DE 2022</t>
  </si>
  <si>
    <t>UMA 2022 anual</t>
  </si>
  <si>
    <t>Ingresos Acumulables 2021</t>
  </si>
  <si>
    <t>Información para límite en  Donativos</t>
  </si>
  <si>
    <t>EJERCICIO DE 2022</t>
  </si>
  <si>
    <t>Ejercicio 2022</t>
  </si>
  <si>
    <t>Monto Compensado (ejercicios anteriores 2022)</t>
  </si>
  <si>
    <t>Remanente actualizado por compensar en 2022</t>
  </si>
  <si>
    <t>REMANENTE ACTUALIZADO POR COMPENSAR EN 2022</t>
  </si>
  <si>
    <t xml:space="preserve"> DE AMERICA PAGADERAS EN LA REPUBLICA MEXICANA PARA 2023</t>
  </si>
  <si>
    <t>EQUIVALENCIAS DE MONEDAS EXTRANJERAS EN DOLÁRES DE E.U.A. DEL 2023</t>
  </si>
  <si>
    <t>HKD</t>
  </si>
  <si>
    <t>EQUIVALENCIAS DE MONEDAS EXTRANJERAS EN DOLÁRES DE E.U.A. DEL 2022</t>
  </si>
  <si>
    <t>Recargos (Feb 22 - abr 23) para efectos del 10% adicional sobre dividendos.</t>
  </si>
  <si>
    <t>Nombre de la LP 1</t>
  </si>
  <si>
    <t>Nombre de la LTD 1</t>
  </si>
  <si>
    <t>NOMBRE EN MAYUSCULAS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</si>
</sst>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dd/mmm/yy"/>
    <numFmt numFmtId="167" formatCode="_-* #,##0.0000_-;\-* #,##0.0000_-;_-* &quot;-&quot;??_-;_-@_-"/>
    <numFmt numFmtId="168" formatCode="_-* #,##0.0000000_-;\-* #,##0.0000000_-;_-* &quot;-&quot;??_-;_-@_-"/>
    <numFmt numFmtId="169" formatCode="_(* #,##0.0000_);_(* \(#,##0.0000\);_(* &quot;-&quot;??_);_(@_)"/>
    <numFmt numFmtId="170" formatCode="0.0000"/>
    <numFmt numFmtId="171" formatCode="[$-409]d\-mmm\-yy;@"/>
    <numFmt numFmtId="172" formatCode="#,##0.0000000"/>
    <numFmt numFmtId="173" formatCode="#,##0.00;[Red]\(#,##0.00\)_-;* &quot;-&quot;??_-;_-@_-"/>
    <numFmt numFmtId="174" formatCode="#,##0.0;[Red]#,##0.0"/>
    <numFmt numFmtId="175" formatCode="0.000000"/>
    <numFmt numFmtId="176" formatCode="#,##0.0000"/>
    <numFmt numFmtId="177" formatCode="0.00000%"/>
    <numFmt numFmtId="178" formatCode="[$-409]dd\-mmm\-yy;@"/>
    <numFmt numFmtId="179" formatCode="mmm\-yyyy"/>
    <numFmt numFmtId="180" formatCode="yyyy"/>
  </numFmts>
  <fonts count="6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Helvetica Light"/>
    </font>
    <font>
      <b/>
      <sz val="12"/>
      <color theme="1"/>
      <name val="Helvetica Light"/>
    </font>
    <font>
      <sz val="12"/>
      <color theme="0"/>
      <name val="Helvetica Light"/>
    </font>
    <font>
      <sz val="12"/>
      <color theme="1"/>
      <name val="Calibri-Light"/>
      <family val="2"/>
    </font>
    <font>
      <sz val="12"/>
      <color theme="1"/>
      <name val="Segoe UI"/>
      <family val="2"/>
    </font>
    <font>
      <b/>
      <sz val="16"/>
      <color rgb="FF2097DB"/>
      <name val="Segoe UI"/>
      <family val="2"/>
    </font>
    <font>
      <sz val="11"/>
      <color theme="1"/>
      <name val="Helvetica Light"/>
    </font>
    <font>
      <b/>
      <sz val="12"/>
      <color indexed="8"/>
      <name val="Segoe UI"/>
      <family val="2"/>
    </font>
    <font>
      <sz val="12"/>
      <color theme="0"/>
      <name val="Segoe UI"/>
      <family val="2"/>
    </font>
    <font>
      <b/>
      <sz val="12"/>
      <color theme="0"/>
      <name val="Segoe UI"/>
      <family val="2"/>
    </font>
    <font>
      <sz val="11"/>
      <name val="Helvetica Light"/>
    </font>
    <font>
      <sz val="11"/>
      <color theme="0"/>
      <name val="Helvetica Light"/>
    </font>
    <font>
      <b/>
      <sz val="12"/>
      <color theme="1"/>
      <name val="Segoe UI"/>
      <family val="2"/>
    </font>
    <font>
      <sz val="12"/>
      <color rgb="FF00000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2"/>
      <color rgb="FFFF0000"/>
      <name val="Segoe UI"/>
      <family val="2"/>
    </font>
    <font>
      <b/>
      <sz val="14"/>
      <color theme="0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b/>
      <sz val="16"/>
      <color rgb="FFFF0000"/>
      <name val="Segoe UI"/>
      <family val="2"/>
    </font>
    <font>
      <b/>
      <u/>
      <sz val="12"/>
      <name val="Segoe UI"/>
      <family val="2"/>
    </font>
    <font>
      <b/>
      <sz val="16"/>
      <color theme="0"/>
      <name val="Segoe UI"/>
      <family val="2"/>
    </font>
    <font>
      <vertAlign val="superscript"/>
      <sz val="12"/>
      <color theme="1"/>
      <name val="Segoe UI"/>
      <family val="2"/>
    </font>
    <font>
      <b/>
      <sz val="16"/>
      <color rgb="FF10A1DA"/>
      <name val="Segoe UI"/>
      <family val="2"/>
    </font>
    <font>
      <b/>
      <sz val="12"/>
      <color rgb="FF10A1DA"/>
      <name val="Segoe UI"/>
      <family val="2"/>
    </font>
    <font>
      <b/>
      <sz val="14"/>
      <color rgb="FF10A1DA"/>
      <name val="Segoe UI"/>
      <family val="2"/>
    </font>
    <font>
      <sz val="12"/>
      <color rgb="FF10A1DA"/>
      <name val="Segoe UI"/>
      <family val="2"/>
    </font>
    <font>
      <sz val="14"/>
      <color rgb="FF10A1DA"/>
      <name val="Segoe UI"/>
      <family val="2"/>
    </font>
    <font>
      <sz val="16"/>
      <color rgb="FF10A1DA"/>
      <name val="Segoe UI"/>
      <family val="2"/>
    </font>
    <font>
      <b/>
      <sz val="16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Segoe UI"/>
      <family val="2"/>
    </font>
    <font>
      <b/>
      <u/>
      <sz val="14"/>
      <color theme="1"/>
      <name val="Segoe UI"/>
    </font>
    <font>
      <b/>
      <sz val="12"/>
      <color theme="1"/>
      <name val="Segoe UI"/>
    </font>
    <font>
      <b/>
      <sz val="16"/>
      <color rgb="FF10A1DA"/>
      <name val="Segoe UI"/>
    </font>
    <font>
      <sz val="12"/>
      <color theme="1"/>
      <name val="Segoe UI"/>
    </font>
    <font>
      <b/>
      <sz val="14"/>
      <color rgb="FF10A1DA"/>
      <name val="Segoe UI"/>
    </font>
    <font>
      <b/>
      <sz val="14"/>
      <color theme="1"/>
      <name val="Segoe UI"/>
    </font>
    <font>
      <b/>
      <sz val="12"/>
      <color rgb="FFFF0000"/>
      <name val="Segoe UI"/>
    </font>
    <font>
      <b/>
      <sz val="12"/>
      <name val="Segoe UI"/>
    </font>
    <font>
      <sz val="12"/>
      <name val="Segoe UI"/>
    </font>
    <font>
      <b/>
      <sz val="12"/>
      <color theme="0"/>
      <name val="Segoe UI"/>
    </font>
    <font>
      <sz val="12"/>
      <color theme="0"/>
      <name val="Segoe UI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6"/>
      <color rgb="FF468694"/>
      <name val="Calibri"/>
      <family val="2"/>
      <scheme val="minor"/>
    </font>
    <font>
      <sz val="16"/>
      <color theme="1"/>
      <name val="Segoe UI"/>
      <family val="2"/>
    </font>
    <font>
      <b/>
      <sz val="16"/>
      <color theme="0"/>
      <name val="Segoe UI"/>
    </font>
    <font>
      <sz val="12"/>
      <color rgb="FF000000"/>
      <name val="Segoe UI"/>
      <family val="2"/>
      <charset val="1"/>
    </font>
    <font>
      <b/>
      <sz val="24"/>
      <color theme="1"/>
      <name val="Segoe UI"/>
    </font>
    <font>
      <sz val="18"/>
      <color theme="1"/>
      <name val="Segoe UI"/>
      <family val="2"/>
    </font>
    <font>
      <sz val="12"/>
      <color theme="1"/>
      <name val="Tahoma"/>
      <family val="2"/>
    </font>
    <font>
      <b/>
      <sz val="14"/>
      <color rgb="FF000000"/>
      <name val="Segoe UI"/>
    </font>
    <font>
      <b/>
      <sz val="16"/>
      <color rgb="FF000000"/>
      <name val="Segoe U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6869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FFDE"/>
        <bgColor indexed="64"/>
      </patternFill>
    </fill>
    <fill>
      <patternFill patternType="solid">
        <fgColor rgb="FFD2FFDE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 style="thin">
        <color rgb="FF8BC0FF"/>
      </top>
      <bottom style="medium">
        <color rgb="FF8BC0FF"/>
      </bottom>
      <diagonal/>
    </border>
    <border>
      <left/>
      <right/>
      <top style="thin">
        <color rgb="FF8BC0FF"/>
      </top>
      <bottom style="thin">
        <color rgb="FF8BC0FF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rgb="FF8BC0FF"/>
      </bottom>
      <diagonal/>
    </border>
    <border>
      <left/>
      <right/>
      <top style="thin">
        <color rgb="FF8BC0FF"/>
      </top>
      <bottom style="thin">
        <color rgb="FF8DC1FD"/>
      </bottom>
      <diagonal/>
    </border>
    <border>
      <left/>
      <right/>
      <top style="thin">
        <color rgb="FF8BC1FF"/>
      </top>
      <bottom style="thin">
        <color rgb="FF8BC1FF"/>
      </bottom>
      <diagonal/>
    </border>
    <border>
      <left/>
      <right/>
      <top/>
      <bottom style="thin">
        <color rgb="FF8BC1FF"/>
      </bottom>
      <diagonal/>
    </border>
    <border>
      <left/>
      <right/>
      <top style="thin">
        <color rgb="FF8AC1FF"/>
      </top>
      <bottom style="thin">
        <color rgb="FF8AC1FF"/>
      </bottom>
      <diagonal/>
    </border>
    <border>
      <left/>
      <right/>
      <top style="thin">
        <color rgb="FF8AC1FF"/>
      </top>
      <bottom/>
      <diagonal/>
    </border>
    <border>
      <left/>
      <right/>
      <top style="thin">
        <color rgb="FF8BC2FF"/>
      </top>
      <bottom style="thin">
        <color rgb="FF8BC2FF"/>
      </bottom>
      <diagonal/>
    </border>
    <border>
      <left/>
      <right/>
      <top/>
      <bottom style="thin">
        <color rgb="FF8BC2FF"/>
      </bottom>
      <diagonal/>
    </border>
  </borders>
  <cellStyleXfs count="5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6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43" fontId="3" fillId="0" borderId="0" xfId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8" fillId="0" borderId="0" xfId="0" applyFont="1"/>
    <xf numFmtId="0" fontId="12" fillId="0" borderId="0" xfId="0" applyFont="1"/>
    <xf numFmtId="0" fontId="9" fillId="0" borderId="0" xfId="0" applyFont="1"/>
    <xf numFmtId="0" fontId="14" fillId="0" borderId="0" xfId="0" applyFont="1"/>
    <xf numFmtId="0" fontId="15" fillId="4" borderId="0" xfId="0" applyFont="1" applyFill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16" fillId="12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5" fontId="15" fillId="0" borderId="4" xfId="0" applyNumberFormat="1" applyFont="1" applyBorder="1"/>
    <xf numFmtId="175" fontId="12" fillId="0" borderId="4" xfId="0" applyNumberFormat="1" applyFont="1" applyBorder="1" applyAlignment="1">
      <alignment horizontal="center"/>
    </xf>
    <xf numFmtId="175" fontId="18" fillId="0" borderId="0" xfId="0" applyNumberFormat="1" applyFont="1"/>
    <xf numFmtId="175" fontId="14" fillId="0" borderId="0" xfId="0" applyNumberFormat="1" applyFont="1"/>
    <xf numFmtId="175" fontId="19" fillId="0" borderId="0" xfId="0" applyNumberFormat="1" applyFont="1"/>
    <xf numFmtId="0" fontId="17" fillId="12" borderId="0" xfId="0" applyFont="1" applyFill="1" applyAlignment="1">
      <alignment horizontal="center"/>
    </xf>
    <xf numFmtId="0" fontId="12" fillId="0" borderId="5" xfId="0" applyFont="1" applyBorder="1" applyAlignment="1">
      <alignment horizontal="center"/>
    </xf>
    <xf numFmtId="172" fontId="12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176" fontId="12" fillId="0" borderId="5" xfId="0" applyNumberFormat="1" applyFont="1" applyBorder="1" applyAlignment="1">
      <alignment horizontal="center"/>
    </xf>
    <xf numFmtId="176" fontId="21" fillId="0" borderId="5" xfId="0" applyNumberFormat="1" applyFont="1" applyBorder="1" applyAlignment="1">
      <alignment horizontal="center"/>
    </xf>
    <xf numFmtId="176" fontId="12" fillId="3" borderId="5" xfId="0" applyNumberFormat="1" applyFont="1" applyFill="1" applyBorder="1" applyAlignment="1">
      <alignment horizontal="center"/>
    </xf>
    <xf numFmtId="176" fontId="12" fillId="13" borderId="5" xfId="0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43" fontId="12" fillId="0" borderId="2" xfId="1" applyFont="1" applyFill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22" fillId="0" borderId="0" xfId="0" applyFont="1"/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43" fontId="12" fillId="0" borderId="2" xfId="1" applyFont="1" applyBorder="1" applyAlignment="1">
      <alignment vertical="center"/>
    </xf>
    <xf numFmtId="0" fontId="1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2" fillId="4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left" vertical="center"/>
    </xf>
    <xf numFmtId="165" fontId="12" fillId="9" borderId="2" xfId="1" applyNumberFormat="1" applyFont="1" applyFill="1" applyBorder="1" applyAlignment="1" applyProtection="1">
      <alignment horizontal="left" vertical="center"/>
    </xf>
    <xf numFmtId="165" fontId="12" fillId="0" borderId="0" xfId="1" applyNumberFormat="1" applyFont="1" applyFill="1" applyBorder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165" fontId="27" fillId="0" borderId="0" xfId="1" applyNumberFormat="1" applyFont="1" applyFill="1" applyBorder="1" applyAlignment="1" applyProtection="1">
      <alignment vertical="center"/>
    </xf>
    <xf numFmtId="165" fontId="27" fillId="0" borderId="0" xfId="1" applyNumberFormat="1" applyFont="1" applyFill="1" applyBorder="1" applyAlignment="1" applyProtection="1">
      <alignment horizontal="center" vertical="center"/>
    </xf>
    <xf numFmtId="0" fontId="26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9" fontId="26" fillId="0" borderId="0" xfId="2" applyFont="1" applyFill="1" applyBorder="1" applyAlignment="1" applyProtection="1">
      <alignment vertical="center"/>
    </xf>
    <xf numFmtId="9" fontId="26" fillId="0" borderId="0" xfId="0" applyNumberFormat="1" applyFont="1" applyAlignment="1" applyProtection="1">
      <alignment vertical="center"/>
      <protection locked="0"/>
    </xf>
    <xf numFmtId="9" fontId="26" fillId="0" borderId="0" xfId="8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165" fontId="17" fillId="0" borderId="0" xfId="7" applyFont="1" applyFill="1" applyBorder="1" applyAlignment="1" applyProtection="1">
      <alignment vertical="center"/>
      <protection locked="0"/>
    </xf>
    <xf numFmtId="165" fontId="26" fillId="0" borderId="0" xfId="7" applyFont="1" applyAlignment="1" applyProtection="1">
      <alignment vertical="center"/>
      <protection locked="0"/>
    </xf>
    <xf numFmtId="0" fontId="22" fillId="0" borderId="0" xfId="0" applyFont="1" applyAlignment="1">
      <alignment vertical="center"/>
    </xf>
    <xf numFmtId="0" fontId="12" fillId="0" borderId="2" xfId="0" applyFont="1" applyBorder="1" applyAlignment="1" applyProtection="1">
      <alignment vertical="center"/>
      <protection locked="0"/>
    </xf>
    <xf numFmtId="0" fontId="28" fillId="0" borderId="0" xfId="0" applyFont="1" applyAlignment="1" applyProtection="1">
      <alignment vertical="center" wrapText="1"/>
      <protection locked="0"/>
    </xf>
    <xf numFmtId="165" fontId="20" fillId="0" borderId="0" xfId="7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165" fontId="12" fillId="0" borderId="0" xfId="7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12" fillId="0" borderId="2" xfId="0" applyFont="1" applyBorder="1"/>
    <xf numFmtId="0" fontId="17" fillId="12" borderId="2" xfId="0" applyFont="1" applyFill="1" applyBorder="1" applyAlignment="1">
      <alignment horizontal="center"/>
    </xf>
    <xf numFmtId="0" fontId="20" fillId="0" borderId="0" xfId="0" applyFont="1"/>
    <xf numFmtId="177" fontId="12" fillId="0" borderId="2" xfId="51" applyNumberFormat="1" applyFont="1" applyBorder="1" applyAlignment="1">
      <alignment horizontal="center"/>
    </xf>
    <xf numFmtId="177" fontId="12" fillId="0" borderId="2" xfId="51" applyNumberFormat="1" applyFont="1" applyFill="1" applyBorder="1" applyAlignment="1">
      <alignment horizontal="center"/>
    </xf>
    <xf numFmtId="177" fontId="12" fillId="0" borderId="0" xfId="0" applyNumberFormat="1" applyFont="1"/>
    <xf numFmtId="43" fontId="12" fillId="0" borderId="2" xfId="1" applyFont="1" applyBorder="1"/>
    <xf numFmtId="165" fontId="12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43" fontId="12" fillId="0" borderId="0" xfId="1" applyFont="1" applyFill="1" applyBorder="1" applyAlignment="1">
      <alignment vertical="center"/>
    </xf>
    <xf numFmtId="43" fontId="20" fillId="0" borderId="0" xfId="1" applyFont="1" applyFill="1" applyBorder="1" applyAlignment="1">
      <alignment vertical="center"/>
    </xf>
    <xf numFmtId="165" fontId="12" fillId="0" borderId="2" xfId="0" applyNumberFormat="1" applyFont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0" fontId="20" fillId="9" borderId="2" xfId="0" applyFont="1" applyFill="1" applyBorder="1" applyAlignment="1">
      <alignment vertical="center"/>
    </xf>
    <xf numFmtId="43" fontId="20" fillId="9" borderId="2" xfId="1" applyFont="1" applyFill="1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169" fontId="12" fillId="0" borderId="2" xfId="1" applyNumberFormat="1" applyFont="1" applyBorder="1"/>
    <xf numFmtId="43" fontId="12" fillId="0" borderId="0" xfId="1" applyFont="1" applyBorder="1" applyAlignment="1">
      <alignment vertical="center"/>
    </xf>
    <xf numFmtId="0" fontId="27" fillId="0" borderId="0" xfId="0" applyFont="1" applyAlignment="1">
      <alignment horizontal="right" vertical="center"/>
    </xf>
    <xf numFmtId="44" fontId="20" fillId="0" borderId="0" xfId="9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44" fontId="20" fillId="0" borderId="0" xfId="9" applyFont="1" applyFill="1" applyBorder="1" applyAlignment="1">
      <alignment horizontal="center" vertical="center"/>
    </xf>
    <xf numFmtId="43" fontId="12" fillId="0" borderId="0" xfId="1" applyFont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43" fontId="12" fillId="0" borderId="0" xfId="1" applyFont="1" applyFill="1" applyBorder="1" applyAlignment="1" applyProtection="1">
      <alignment vertical="center"/>
      <protection locked="0"/>
    </xf>
    <xf numFmtId="44" fontId="12" fillId="0" borderId="0" xfId="9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43" fontId="12" fillId="0" borderId="2" xfId="1" applyFont="1" applyFill="1" applyBorder="1" applyAlignment="1" applyProtection="1">
      <alignment vertical="center"/>
      <protection locked="0"/>
    </xf>
    <xf numFmtId="0" fontId="12" fillId="9" borderId="2" xfId="0" applyFont="1" applyFill="1" applyBorder="1" applyAlignment="1">
      <alignment horizontal="right" vertical="center"/>
    </xf>
    <xf numFmtId="43" fontId="12" fillId="9" borderId="2" xfId="1" applyFont="1" applyFill="1" applyBorder="1" applyAlignment="1">
      <alignment vertical="center"/>
    </xf>
    <xf numFmtId="0" fontId="12" fillId="14" borderId="0" xfId="0" applyFont="1" applyFill="1" applyAlignment="1">
      <alignment horizontal="right" vertical="center"/>
    </xf>
    <xf numFmtId="43" fontId="12" fillId="14" borderId="0" xfId="1" applyFont="1" applyFill="1" applyAlignment="1">
      <alignment horizontal="center" vertical="center"/>
    </xf>
    <xf numFmtId="0" fontId="12" fillId="14" borderId="0" xfId="0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43" fontId="20" fillId="9" borderId="2" xfId="0" applyNumberFormat="1" applyFont="1" applyFill="1" applyBorder="1" applyAlignment="1">
      <alignment vertical="center"/>
    </xf>
    <xf numFmtId="43" fontId="12" fillId="9" borderId="2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20" fillId="9" borderId="2" xfId="0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9" fontId="12" fillId="0" borderId="2" xfId="0" applyNumberFormat="1" applyFont="1" applyBorder="1" applyAlignment="1">
      <alignment vertical="center"/>
    </xf>
    <xf numFmtId="0" fontId="17" fillId="3" borderId="2" xfId="0" applyFont="1" applyFill="1" applyBorder="1" applyAlignment="1">
      <alignment horizontal="right" vertical="center"/>
    </xf>
    <xf numFmtId="43" fontId="17" fillId="3" borderId="2" xfId="1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43" fontId="16" fillId="3" borderId="2" xfId="1" applyFont="1" applyFill="1" applyBorder="1" applyAlignment="1">
      <alignment vertical="center"/>
    </xf>
    <xf numFmtId="164" fontId="12" fillId="0" borderId="0" xfId="0" applyNumberFormat="1" applyFont="1" applyAlignment="1">
      <alignment vertical="center"/>
    </xf>
    <xf numFmtId="43" fontId="12" fillId="0" borderId="2" xfId="1" applyFont="1" applyBorder="1" applyAlignment="1" applyProtection="1">
      <alignment vertical="center"/>
      <protection locked="0"/>
    </xf>
    <xf numFmtId="0" fontId="17" fillId="3" borderId="2" xfId="0" applyFont="1" applyFill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165" fontId="20" fillId="0" borderId="0" xfId="1" applyNumberFormat="1" applyFont="1" applyFill="1" applyBorder="1" applyAlignment="1">
      <alignment horizontal="center" vertical="center"/>
    </xf>
    <xf numFmtId="165" fontId="20" fillId="0" borderId="1" xfId="0" applyNumberFormat="1" applyFont="1" applyBorder="1" applyAlignment="1">
      <alignment vertical="center"/>
    </xf>
    <xf numFmtId="173" fontId="12" fillId="0" borderId="0" xfId="0" applyNumberFormat="1" applyFont="1" applyAlignment="1">
      <alignment vertical="center"/>
    </xf>
    <xf numFmtId="43" fontId="20" fillId="0" borderId="0" xfId="1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39" fontId="17" fillId="0" borderId="0" xfId="1" applyNumberFormat="1" applyFont="1" applyFill="1" applyBorder="1" applyAlignment="1">
      <alignment vertical="center"/>
    </xf>
    <xf numFmtId="173" fontId="17" fillId="0" borderId="0" xfId="1" applyNumberFormat="1" applyFont="1" applyFill="1" applyBorder="1" applyAlignment="1">
      <alignment vertical="center"/>
    </xf>
    <xf numFmtId="43" fontId="16" fillId="0" borderId="0" xfId="1" applyFont="1" applyFill="1" applyBorder="1" applyAlignment="1">
      <alignment vertical="center"/>
    </xf>
    <xf numFmtId="173" fontId="12" fillId="0" borderId="0" xfId="1" applyNumberFormat="1" applyFont="1" applyFill="1" applyBorder="1" applyAlignment="1" applyProtection="1">
      <alignment vertical="center"/>
      <protection locked="0"/>
    </xf>
    <xf numFmtId="43" fontId="12" fillId="0" borderId="0" xfId="1" applyFont="1" applyAlignment="1" applyProtection="1">
      <alignment vertical="center"/>
      <protection locked="0"/>
    </xf>
    <xf numFmtId="165" fontId="12" fillId="9" borderId="0" xfId="0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43" fontId="12" fillId="0" borderId="2" xfId="0" applyNumberFormat="1" applyFont="1" applyBorder="1" applyAlignment="1">
      <alignment vertical="center"/>
    </xf>
    <xf numFmtId="165" fontId="12" fillId="0" borderId="0" xfId="1" applyNumberFormat="1" applyFont="1" applyFill="1" applyBorder="1" applyAlignment="1" applyProtection="1">
      <alignment vertical="center"/>
      <protection locked="0"/>
    </xf>
    <xf numFmtId="43" fontId="12" fillId="0" borderId="0" xfId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/>
      <protection locked="0"/>
    </xf>
    <xf numFmtId="165" fontId="20" fillId="0" borderId="0" xfId="1" applyNumberFormat="1" applyFont="1" applyFill="1" applyAlignment="1" applyProtection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27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12" fillId="2" borderId="0" xfId="0" applyFont="1" applyFill="1" applyAlignment="1" applyProtection="1">
      <alignment horizontal="left" vertical="center"/>
      <protection locked="0"/>
    </xf>
    <xf numFmtId="0" fontId="34" fillId="0" borderId="0" xfId="0" applyFont="1" applyAlignment="1">
      <alignment vertical="center"/>
    </xf>
    <xf numFmtId="0" fontId="35" fillId="0" borderId="0" xfId="0" applyFont="1"/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12" fillId="12" borderId="0" xfId="0" applyFont="1" applyFill="1" applyAlignment="1">
      <alignment vertical="center"/>
    </xf>
    <xf numFmtId="0" fontId="12" fillId="12" borderId="0" xfId="0" applyFont="1" applyFill="1" applyAlignment="1">
      <alignment horizontal="left" vertical="center"/>
    </xf>
    <xf numFmtId="0" fontId="22" fillId="12" borderId="0" xfId="0" applyFont="1" applyFill="1" applyAlignment="1">
      <alignment horizontal="center" vertical="center"/>
    </xf>
    <xf numFmtId="0" fontId="12" fillId="12" borderId="0" xfId="0" applyFont="1" applyFill="1"/>
    <xf numFmtId="0" fontId="36" fillId="0" borderId="0" xfId="0" applyFont="1"/>
    <xf numFmtId="0" fontId="34" fillId="0" borderId="0" xfId="0" applyFont="1"/>
    <xf numFmtId="0" fontId="37" fillId="0" borderId="0" xfId="0" applyFont="1"/>
    <xf numFmtId="0" fontId="23" fillId="12" borderId="0" xfId="0" applyFont="1" applyFill="1" applyAlignment="1">
      <alignment horizontal="center"/>
    </xf>
    <xf numFmtId="0" fontId="16" fillId="3" borderId="2" xfId="0" applyFont="1" applyFill="1" applyBorder="1"/>
    <xf numFmtId="43" fontId="16" fillId="3" borderId="2" xfId="0" applyNumberFormat="1" applyFont="1" applyFill="1" applyBorder="1"/>
    <xf numFmtId="0" fontId="12" fillId="12" borderId="0" xfId="0" applyFont="1" applyFill="1" applyAlignment="1">
      <alignment horizontal="center"/>
    </xf>
    <xf numFmtId="0" fontId="12" fillId="12" borderId="0" xfId="0" applyFont="1" applyFill="1" applyAlignment="1" applyProtection="1">
      <alignment horizontal="center" vertical="center"/>
      <protection locked="0"/>
    </xf>
    <xf numFmtId="0" fontId="20" fillId="12" borderId="0" xfId="0" applyFont="1" applyFill="1" applyAlignment="1" applyProtection="1">
      <alignment horizontal="center" vertical="center"/>
      <protection locked="0"/>
    </xf>
    <xf numFmtId="0" fontId="12" fillId="12" borderId="0" xfId="0" applyFont="1" applyFill="1" applyAlignment="1" applyProtection="1">
      <alignment horizontal="left" vertical="center"/>
      <protection locked="0"/>
    </xf>
    <xf numFmtId="0" fontId="22" fillId="12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0" fillId="0" borderId="0" xfId="0" applyAlignment="1">
      <alignment wrapText="1"/>
    </xf>
    <xf numFmtId="0" fontId="39" fillId="0" borderId="0" xfId="0" applyFont="1"/>
    <xf numFmtId="0" fontId="40" fillId="0" borderId="0" xfId="0" applyFont="1" applyAlignment="1">
      <alignment vertical="center"/>
    </xf>
    <xf numFmtId="0" fontId="12" fillId="0" borderId="2" xfId="0" applyFont="1" applyBorder="1" applyAlignment="1">
      <alignment horizontal="right"/>
    </xf>
    <xf numFmtId="0" fontId="12" fillId="15" borderId="0" xfId="0" applyFont="1" applyFill="1"/>
    <xf numFmtId="0" fontId="12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vertical="center"/>
    </xf>
    <xf numFmtId="177" fontId="20" fillId="0" borderId="0" xfId="0" applyNumberFormat="1" applyFont="1"/>
    <xf numFmtId="0" fontId="17" fillId="0" borderId="0" xfId="0" applyFont="1" applyAlignment="1">
      <alignment horizontal="center"/>
    </xf>
    <xf numFmtId="43" fontId="20" fillId="0" borderId="0" xfId="1" applyFont="1" applyFill="1" applyBorder="1" applyAlignment="1" applyProtection="1">
      <alignment horizontal="left" vertical="center"/>
    </xf>
    <xf numFmtId="165" fontId="26" fillId="0" borderId="0" xfId="1" applyNumberFormat="1" applyFont="1" applyFill="1" applyBorder="1" applyAlignment="1" applyProtection="1">
      <alignment horizontal="left" vertical="center"/>
    </xf>
    <xf numFmtId="9" fontId="26" fillId="0" borderId="0" xfId="2" applyFont="1" applyFill="1" applyBorder="1" applyAlignment="1" applyProtection="1">
      <alignment horizontal="right" vertical="center"/>
    </xf>
    <xf numFmtId="165" fontId="26" fillId="0" borderId="0" xfId="0" applyNumberFormat="1" applyFont="1" applyAlignment="1">
      <alignment horizontal="left" vertical="center"/>
    </xf>
    <xf numFmtId="165" fontId="27" fillId="0" borderId="0" xfId="0" applyNumberFormat="1" applyFont="1" applyAlignment="1">
      <alignment horizontal="left" vertical="center"/>
    </xf>
    <xf numFmtId="49" fontId="20" fillId="0" borderId="0" xfId="0" applyNumberFormat="1" applyFont="1" applyAlignment="1" applyProtection="1">
      <alignment horizontal="center" vertical="center"/>
      <protection locked="0"/>
    </xf>
    <xf numFmtId="165" fontId="12" fillId="0" borderId="0" xfId="1" applyNumberFormat="1" applyFont="1" applyAlignment="1">
      <alignment vertical="center"/>
    </xf>
    <xf numFmtId="165" fontId="12" fillId="0" borderId="0" xfId="1" applyNumberFormat="1" applyFont="1" applyAlignment="1">
      <alignment horizontal="right" vertical="center"/>
    </xf>
    <xf numFmtId="177" fontId="12" fillId="0" borderId="2" xfId="51" applyNumberFormat="1" applyFont="1" applyFill="1" applyBorder="1" applyAlignment="1" applyProtection="1">
      <alignment horizontal="center"/>
      <protection locked="0"/>
    </xf>
    <xf numFmtId="0" fontId="42" fillId="0" borderId="0" xfId="0" applyFont="1" applyAlignment="1">
      <alignment vertical="center"/>
    </xf>
    <xf numFmtId="43" fontId="12" fillId="0" borderId="0" xfId="1" applyFont="1" applyBorder="1" applyAlignment="1" applyProtection="1">
      <alignment horizontal="left" vertical="center"/>
      <protection locked="0"/>
    </xf>
    <xf numFmtId="165" fontId="12" fillId="0" borderId="0" xfId="1" applyNumberFormat="1" applyFont="1" applyBorder="1" applyAlignment="1" applyProtection="1">
      <alignment horizontal="left" vertical="center"/>
      <protection locked="0"/>
    </xf>
    <xf numFmtId="165" fontId="20" fillId="0" borderId="0" xfId="1" applyNumberFormat="1" applyFont="1" applyFill="1" applyBorder="1" applyAlignment="1" applyProtection="1">
      <alignment horizontal="left"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44" fillId="0" borderId="0" xfId="0" applyFont="1"/>
    <xf numFmtId="0" fontId="46" fillId="12" borderId="0" xfId="0" applyFont="1" applyFill="1" applyAlignment="1">
      <alignment horizontal="left" vertical="center"/>
    </xf>
    <xf numFmtId="0" fontId="44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165" fontId="44" fillId="0" borderId="0" xfId="1" applyNumberFormat="1" applyFont="1" applyAlignment="1" applyProtection="1">
      <alignment horizontal="left" vertical="center"/>
    </xf>
    <xf numFmtId="0" fontId="44" fillId="0" borderId="0" xfId="0" applyFont="1" applyAlignment="1">
      <alignment horizontal="left" vertical="center"/>
    </xf>
    <xf numFmtId="10" fontId="44" fillId="0" borderId="0" xfId="2" applyNumberFormat="1" applyFont="1" applyFill="1" applyAlignment="1" applyProtection="1">
      <alignment horizontal="right" vertical="center"/>
    </xf>
    <xf numFmtId="165" fontId="44" fillId="0" borderId="0" xfId="0" applyNumberFormat="1" applyFont="1" applyAlignment="1" applyProtection="1">
      <alignment horizontal="left" vertical="center"/>
      <protection locked="0"/>
    </xf>
    <xf numFmtId="0" fontId="47" fillId="0" borderId="0" xfId="0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7" fontId="12" fillId="0" borderId="0" xfId="0" applyNumberFormat="1" applyFont="1" applyAlignment="1">
      <alignment horizontal="center"/>
    </xf>
    <xf numFmtId="177" fontId="20" fillId="5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172" fontId="12" fillId="0" borderId="5" xfId="0" applyNumberFormat="1" applyFont="1" applyBorder="1" applyAlignment="1">
      <alignment horizontal="center" vertical="center"/>
    </xf>
    <xf numFmtId="0" fontId="52" fillId="0" borderId="7" xfId="0" applyFont="1" applyBorder="1" applyAlignment="1" applyProtection="1">
      <alignment vertical="center"/>
      <protection hidden="1"/>
    </xf>
    <xf numFmtId="0" fontId="52" fillId="0" borderId="7" xfId="0" applyFont="1" applyBorder="1" applyAlignment="1" applyProtection="1">
      <alignment horizontal="center" vertical="center"/>
      <protection hidden="1"/>
    </xf>
    <xf numFmtId="0" fontId="53" fillId="0" borderId="0" xfId="0" applyFont="1" applyAlignment="1">
      <alignment horizontal="center" vertical="center" wrapText="1"/>
    </xf>
    <xf numFmtId="0" fontId="12" fillId="0" borderId="8" xfId="0" applyFont="1" applyBorder="1"/>
    <xf numFmtId="49" fontId="12" fillId="0" borderId="5" xfId="0" applyNumberFormat="1" applyFont="1" applyBorder="1" applyAlignment="1">
      <alignment horizontal="center"/>
    </xf>
    <xf numFmtId="178" fontId="12" fillId="0" borderId="5" xfId="0" applyNumberFormat="1" applyFont="1" applyBorder="1" applyAlignment="1">
      <alignment horizontal="center"/>
    </xf>
    <xf numFmtId="179" fontId="12" fillId="0" borderId="5" xfId="0" applyNumberFormat="1" applyFont="1" applyBorder="1" applyAlignment="1">
      <alignment horizontal="center"/>
    </xf>
    <xf numFmtId="167" fontId="12" fillId="0" borderId="5" xfId="1" applyNumberFormat="1" applyFont="1" applyBorder="1" applyAlignment="1">
      <alignment horizontal="center"/>
    </xf>
    <xf numFmtId="170" fontId="12" fillId="0" borderId="5" xfId="0" applyNumberFormat="1" applyFont="1" applyBorder="1" applyAlignment="1">
      <alignment horizontal="center"/>
    </xf>
    <xf numFmtId="43" fontId="12" fillId="0" borderId="5" xfId="1" applyFont="1" applyFill="1" applyBorder="1"/>
    <xf numFmtId="165" fontId="12" fillId="0" borderId="5" xfId="0" applyNumberFormat="1" applyFont="1" applyBorder="1" applyAlignment="1">
      <alignment horizontal="center"/>
    </xf>
    <xf numFmtId="43" fontId="12" fillId="0" borderId="0" xfId="1" applyFont="1" applyBorder="1"/>
    <xf numFmtId="43" fontId="12" fillId="0" borderId="5" xfId="1" applyFont="1" applyFill="1" applyBorder="1" applyAlignment="1">
      <alignment horizontal="center"/>
    </xf>
    <xf numFmtId="3" fontId="0" fillId="0" borderId="0" xfId="0" applyNumberFormat="1"/>
    <xf numFmtId="43" fontId="0" fillId="0" borderId="0" xfId="0" applyNumberFormat="1"/>
    <xf numFmtId="0" fontId="52" fillId="0" borderId="0" xfId="0" applyFont="1" applyAlignment="1" applyProtection="1">
      <alignment horizontal="center" vertical="center"/>
      <protection hidden="1"/>
    </xf>
    <xf numFmtId="0" fontId="12" fillId="0" borderId="5" xfId="1" applyNumberFormat="1" applyFont="1" applyBorder="1" applyAlignment="1">
      <alignment horizontal="center"/>
    </xf>
    <xf numFmtId="43" fontId="12" fillId="0" borderId="5" xfId="1" applyFont="1" applyBorder="1" applyAlignment="1">
      <alignment horizontal="center"/>
    </xf>
    <xf numFmtId="0" fontId="43" fillId="0" borderId="0" xfId="0" applyFont="1" applyAlignment="1">
      <alignment vertical="center"/>
    </xf>
    <xf numFmtId="0" fontId="12" fillId="0" borderId="11" xfId="0" applyFont="1" applyBorder="1"/>
    <xf numFmtId="0" fontId="12" fillId="0" borderId="10" xfId="0" applyFont="1" applyBorder="1"/>
    <xf numFmtId="0" fontId="0" fillId="0" borderId="10" xfId="0" applyBorder="1"/>
    <xf numFmtId="0" fontId="42" fillId="0" borderId="10" xfId="0" applyFont="1" applyBorder="1"/>
    <xf numFmtId="0" fontId="52" fillId="0" borderId="0" xfId="0" applyFont="1" applyAlignment="1">
      <alignment horizontal="center" vertical="center" wrapText="1"/>
    </xf>
    <xf numFmtId="43" fontId="12" fillId="16" borderId="5" xfId="1" applyFont="1" applyFill="1" applyBorder="1"/>
    <xf numFmtId="43" fontId="12" fillId="0" borderId="5" xfId="1" applyFont="1" applyBorder="1"/>
    <xf numFmtId="0" fontId="16" fillId="3" borderId="5" xfId="0" applyFont="1" applyFill="1" applyBorder="1"/>
    <xf numFmtId="0" fontId="52" fillId="12" borderId="0" xfId="0" applyFont="1" applyFill="1" applyAlignment="1" applyProtection="1">
      <alignment vertical="center"/>
      <protection hidden="1"/>
    </xf>
    <xf numFmtId="0" fontId="52" fillId="12" borderId="0" xfId="0" applyFont="1" applyFill="1" applyAlignment="1" applyProtection="1">
      <alignment horizontal="center" vertical="center"/>
      <protection hidden="1"/>
    </xf>
    <xf numFmtId="0" fontId="12" fillId="0" borderId="5" xfId="0" applyFont="1" applyBorder="1"/>
    <xf numFmtId="0" fontId="44" fillId="0" borderId="10" xfId="0" applyFont="1" applyBorder="1"/>
    <xf numFmtId="0" fontId="43" fillId="0" borderId="0" xfId="0" applyFont="1"/>
    <xf numFmtId="0" fontId="42" fillId="4" borderId="10" xfId="0" applyFont="1" applyFill="1" applyBorder="1"/>
    <xf numFmtId="0" fontId="0" fillId="4" borderId="10" xfId="0" applyFill="1" applyBorder="1"/>
    <xf numFmtId="0" fontId="12" fillId="4" borderId="10" xfId="0" applyFont="1" applyFill="1" applyBorder="1"/>
    <xf numFmtId="0" fontId="43" fillId="0" borderId="11" xfId="0" applyFont="1" applyBorder="1" applyAlignment="1">
      <alignment vertical="center"/>
    </xf>
    <xf numFmtId="0" fontId="42" fillId="0" borderId="0" xfId="0" applyFont="1"/>
    <xf numFmtId="0" fontId="54" fillId="0" borderId="0" xfId="0" applyFont="1" applyAlignment="1">
      <alignment horizontal="center" vertical="center"/>
    </xf>
    <xf numFmtId="0" fontId="16" fillId="3" borderId="5" xfId="0" applyFont="1" applyFill="1" applyBorder="1" applyAlignment="1">
      <alignment horizontal="right"/>
    </xf>
    <xf numFmtId="43" fontId="0" fillId="0" borderId="0" xfId="1" applyFont="1"/>
    <xf numFmtId="43" fontId="16" fillId="3" borderId="5" xfId="1" applyFont="1" applyFill="1" applyBorder="1"/>
    <xf numFmtId="0" fontId="55" fillId="2" borderId="0" xfId="0" applyFont="1" applyFill="1" applyAlignment="1" applyProtection="1">
      <alignment horizontal="left" vertical="center"/>
      <protection locked="0"/>
    </xf>
    <xf numFmtId="172" fontId="12" fillId="17" borderId="5" xfId="0" applyNumberFormat="1" applyFont="1" applyFill="1" applyBorder="1" applyAlignment="1">
      <alignment horizontal="center" vertical="center"/>
    </xf>
    <xf numFmtId="165" fontId="26" fillId="0" borderId="0" xfId="1" applyNumberFormat="1" applyFont="1" applyFill="1" applyBorder="1" applyAlignment="1" applyProtection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56" fillId="15" borderId="0" xfId="0" applyFont="1" applyFill="1" applyAlignment="1" applyProtection="1">
      <alignment horizontal="left" vertical="center"/>
      <protection locked="0"/>
    </xf>
    <xf numFmtId="0" fontId="50" fillId="15" borderId="0" xfId="0" applyFont="1" applyFill="1"/>
    <xf numFmtId="0" fontId="17" fillId="12" borderId="0" xfId="0" applyFont="1" applyFill="1" applyAlignment="1">
      <alignment horizontal="center" vertical="center" wrapText="1"/>
    </xf>
    <xf numFmtId="0" fontId="12" fillId="16" borderId="5" xfId="0" applyFont="1" applyFill="1" applyBorder="1" applyAlignment="1">
      <alignment horizontal="left"/>
    </xf>
    <xf numFmtId="0" fontId="12" fillId="16" borderId="5" xfId="0" applyFont="1" applyFill="1" applyBorder="1" applyAlignment="1">
      <alignment horizontal="center"/>
    </xf>
    <xf numFmtId="0" fontId="12" fillId="3" borderId="5" xfId="0" applyFont="1" applyFill="1" applyBorder="1"/>
    <xf numFmtId="178" fontId="12" fillId="16" borderId="5" xfId="0" applyNumberFormat="1" applyFont="1" applyFill="1" applyBorder="1" applyAlignment="1">
      <alignment horizontal="center"/>
    </xf>
    <xf numFmtId="179" fontId="12" fillId="16" borderId="5" xfId="0" applyNumberFormat="1" applyFont="1" applyFill="1" applyBorder="1" applyAlignment="1">
      <alignment horizontal="center"/>
    </xf>
    <xf numFmtId="167" fontId="12" fillId="0" borderId="5" xfId="1" applyNumberFormat="1" applyFont="1" applyFill="1" applyBorder="1" applyAlignment="1">
      <alignment horizontal="center"/>
    </xf>
    <xf numFmtId="49" fontId="12" fillId="16" borderId="5" xfId="0" applyNumberFormat="1" applyFont="1" applyFill="1" applyBorder="1" applyAlignment="1">
      <alignment horizontal="center"/>
    </xf>
    <xf numFmtId="0" fontId="16" fillId="3" borderId="8" xfId="0" applyFont="1" applyFill="1" applyBorder="1"/>
    <xf numFmtId="0" fontId="16" fillId="3" borderId="8" xfId="0" applyFont="1" applyFill="1" applyBorder="1" applyAlignment="1">
      <alignment horizontal="right"/>
    </xf>
    <xf numFmtId="43" fontId="16" fillId="3" borderId="8" xfId="1" applyFont="1" applyFill="1" applyBorder="1"/>
    <xf numFmtId="43" fontId="12" fillId="16" borderId="5" xfId="1" applyFont="1" applyFill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167" fontId="12" fillId="0" borderId="0" xfId="1" applyNumberFormat="1" applyFont="1" applyBorder="1" applyAlignment="1">
      <alignment horizontal="center"/>
    </xf>
    <xf numFmtId="179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43" fontId="12" fillId="0" borderId="0" xfId="1" applyFont="1" applyBorder="1" applyAlignment="1">
      <alignment horizontal="center"/>
    </xf>
    <xf numFmtId="176" fontId="12" fillId="0" borderId="5" xfId="1" applyNumberFormat="1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43" fontId="12" fillId="4" borderId="5" xfId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49" fontId="12" fillId="4" borderId="5" xfId="0" applyNumberFormat="1" applyFont="1" applyFill="1" applyBorder="1" applyAlignment="1">
      <alignment horizontal="center"/>
    </xf>
    <xf numFmtId="43" fontId="12" fillId="4" borderId="9" xfId="1" applyFont="1" applyFill="1" applyBorder="1"/>
    <xf numFmtId="165" fontId="12" fillId="0" borderId="5" xfId="0" applyNumberFormat="1" applyFont="1" applyBorder="1"/>
    <xf numFmtId="165" fontId="12" fillId="16" borderId="5" xfId="0" applyNumberFormat="1" applyFont="1" applyFill="1" applyBorder="1"/>
    <xf numFmtId="180" fontId="12" fillId="0" borderId="5" xfId="1" applyNumberFormat="1" applyFont="1" applyBorder="1" applyAlignment="1">
      <alignment horizontal="center"/>
    </xf>
    <xf numFmtId="165" fontId="16" fillId="3" borderId="5" xfId="1" applyNumberFormat="1" applyFont="1" applyFill="1" applyBorder="1"/>
    <xf numFmtId="43" fontId="12" fillId="0" borderId="12" xfId="1" applyFont="1" applyBorder="1"/>
    <xf numFmtId="43" fontId="12" fillId="4" borderId="12" xfId="1" applyFont="1" applyFill="1" applyBorder="1" applyAlignment="1">
      <alignment horizontal="center"/>
    </xf>
    <xf numFmtId="43" fontId="12" fillId="0" borderId="12" xfId="1" applyFont="1" applyBorder="1" applyAlignment="1">
      <alignment horizontal="center"/>
    </xf>
    <xf numFmtId="165" fontId="12" fillId="0" borderId="12" xfId="0" applyNumberFormat="1" applyFont="1" applyBorder="1"/>
    <xf numFmtId="17" fontId="12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49" fontId="12" fillId="0" borderId="12" xfId="0" applyNumberFormat="1" applyFont="1" applyBorder="1" applyAlignment="1">
      <alignment horizontal="center"/>
    </xf>
    <xf numFmtId="167" fontId="12" fillId="0" borderId="12" xfId="1" applyNumberFormat="1" applyFont="1" applyBorder="1" applyAlignment="1">
      <alignment horizontal="center"/>
    </xf>
    <xf numFmtId="176" fontId="12" fillId="0" borderId="12" xfId="1" applyNumberFormat="1" applyFont="1" applyBorder="1" applyAlignment="1">
      <alignment horizontal="center"/>
    </xf>
    <xf numFmtId="0" fontId="12" fillId="0" borderId="12" xfId="1" applyNumberFormat="1" applyFont="1" applyBorder="1" applyAlignment="1">
      <alignment horizontal="center"/>
    </xf>
    <xf numFmtId="165" fontId="12" fillId="16" borderId="12" xfId="0" applyNumberFormat="1" applyFont="1" applyFill="1" applyBorder="1"/>
    <xf numFmtId="0" fontId="0" fillId="3" borderId="12" xfId="0" applyFill="1" applyBorder="1"/>
    <xf numFmtId="165" fontId="12" fillId="0" borderId="0" xfId="0" applyNumberFormat="1" applyFont="1"/>
    <xf numFmtId="165" fontId="16" fillId="3" borderId="12" xfId="0" applyNumberFormat="1" applyFont="1" applyFill="1" applyBorder="1"/>
    <xf numFmtId="165" fontId="12" fillId="0" borderId="0" xfId="0" applyNumberFormat="1" applyFont="1" applyAlignment="1" applyProtection="1">
      <alignment horizontal="left" vertical="center"/>
      <protection locked="0"/>
    </xf>
    <xf numFmtId="165" fontId="0" fillId="0" borderId="0" xfId="0" applyNumberFormat="1"/>
    <xf numFmtId="43" fontId="12" fillId="0" borderId="3" xfId="1" applyFont="1" applyFill="1" applyBorder="1" applyAlignment="1">
      <alignment vertical="center"/>
    </xf>
    <xf numFmtId="0" fontId="20" fillId="9" borderId="11" xfId="0" applyFont="1" applyFill="1" applyBorder="1" applyAlignment="1">
      <alignment horizontal="left" vertical="center"/>
    </xf>
    <xf numFmtId="43" fontId="20" fillId="9" borderId="11" xfId="1" applyFont="1" applyFill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43" fontId="12" fillId="0" borderId="14" xfId="1" applyFont="1" applyFill="1" applyBorder="1" applyAlignment="1">
      <alignment vertical="center"/>
    </xf>
    <xf numFmtId="43" fontId="12" fillId="0" borderId="14" xfId="1" applyFont="1" applyBorder="1" applyAlignment="1">
      <alignment vertical="center"/>
    </xf>
    <xf numFmtId="9" fontId="12" fillId="0" borderId="14" xfId="2" applyFont="1" applyBorder="1" applyAlignment="1">
      <alignment vertical="center"/>
    </xf>
    <xf numFmtId="43" fontId="12" fillId="9" borderId="14" xfId="1" applyFont="1" applyFill="1" applyBorder="1" applyAlignment="1">
      <alignment vertical="center"/>
    </xf>
    <xf numFmtId="43" fontId="17" fillId="3" borderId="14" xfId="1" applyFont="1" applyFill="1" applyBorder="1" applyAlignment="1">
      <alignment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>
      <alignment horizontal="center" vertical="center"/>
    </xf>
    <xf numFmtId="0" fontId="20" fillId="9" borderId="14" xfId="0" applyFont="1" applyFill="1" applyBorder="1" applyAlignment="1">
      <alignment vertical="center"/>
    </xf>
    <xf numFmtId="0" fontId="12" fillId="9" borderId="14" xfId="0" applyFont="1" applyFill="1" applyBorder="1" applyAlignment="1">
      <alignment vertical="center"/>
    </xf>
    <xf numFmtId="43" fontId="20" fillId="9" borderId="14" xfId="1" applyFont="1" applyFill="1" applyBorder="1" applyAlignment="1">
      <alignment vertical="center"/>
    </xf>
    <xf numFmtId="43" fontId="20" fillId="9" borderId="14" xfId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43" fontId="12" fillId="0" borderId="14" xfId="1" applyFont="1" applyFill="1" applyBorder="1" applyAlignment="1" applyProtection="1">
      <alignment vertical="center"/>
      <protection locked="0"/>
    </xf>
    <xf numFmtId="0" fontId="20" fillId="9" borderId="14" xfId="0" applyFont="1" applyFill="1" applyBorder="1" applyAlignment="1">
      <alignment horizontal="left" vertical="center"/>
    </xf>
    <xf numFmtId="43" fontId="20" fillId="9" borderId="14" xfId="1" applyFont="1" applyFill="1" applyBorder="1" applyAlignment="1">
      <alignment horizontal="left" vertical="center"/>
    </xf>
    <xf numFmtId="43" fontId="12" fillId="9" borderId="14" xfId="1" applyFont="1" applyFill="1" applyBorder="1" applyAlignment="1">
      <alignment horizontal="left" vertical="center"/>
    </xf>
    <xf numFmtId="0" fontId="12" fillId="0" borderId="14" xfId="0" applyFont="1" applyBorder="1" applyAlignment="1" applyProtection="1">
      <alignment vertical="center"/>
      <protection locked="0"/>
    </xf>
    <xf numFmtId="165" fontId="12" fillId="0" borderId="14" xfId="0" applyNumberFormat="1" applyFont="1" applyBorder="1" applyAlignment="1">
      <alignment vertical="center"/>
    </xf>
    <xf numFmtId="165" fontId="20" fillId="9" borderId="14" xfId="0" applyNumberFormat="1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43" fontId="12" fillId="0" borderId="10" xfId="1" applyFont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43" fontId="12" fillId="4" borderId="10" xfId="1" applyFont="1" applyFill="1" applyBorder="1" applyAlignment="1">
      <alignment vertical="center"/>
    </xf>
    <xf numFmtId="43" fontId="42" fillId="9" borderId="14" xfId="1" applyFont="1" applyFill="1" applyBorder="1" applyAlignment="1">
      <alignment vertical="center"/>
    </xf>
    <xf numFmtId="165" fontId="12" fillId="9" borderId="14" xfId="0" applyNumberFormat="1" applyFont="1" applyFill="1" applyBorder="1" applyAlignment="1">
      <alignment vertical="center"/>
    </xf>
    <xf numFmtId="0" fontId="17" fillId="3" borderId="14" xfId="0" applyFont="1" applyFill="1" applyBorder="1" applyAlignment="1">
      <alignment vertical="center"/>
    </xf>
    <xf numFmtId="165" fontId="17" fillId="3" borderId="14" xfId="0" applyNumberFormat="1" applyFont="1" applyFill="1" applyBorder="1" applyAlignment="1">
      <alignment vertical="center"/>
    </xf>
    <xf numFmtId="0" fontId="12" fillId="0" borderId="14" xfId="0" applyFont="1" applyBorder="1" applyAlignment="1" applyProtection="1">
      <alignment horizontal="left" vertical="center"/>
      <protection locked="0"/>
    </xf>
    <xf numFmtId="165" fontId="12" fillId="0" borderId="14" xfId="1" applyNumberFormat="1" applyFont="1" applyFill="1" applyBorder="1" applyAlignment="1" applyProtection="1">
      <alignment vertical="center"/>
    </xf>
    <xf numFmtId="165" fontId="17" fillId="3" borderId="14" xfId="1" applyNumberFormat="1" applyFont="1" applyFill="1" applyBorder="1" applyAlignment="1">
      <alignment vertical="center"/>
    </xf>
    <xf numFmtId="165" fontId="17" fillId="0" borderId="0" xfId="1" applyNumberFormat="1" applyFont="1" applyFill="1" applyBorder="1" applyAlignment="1">
      <alignment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165" fontId="12" fillId="0" borderId="14" xfId="1" applyNumberFormat="1" applyFont="1" applyBorder="1" applyAlignment="1" applyProtection="1">
      <alignment horizontal="left" vertical="center"/>
    </xf>
    <xf numFmtId="165" fontId="12" fillId="0" borderId="14" xfId="0" applyNumberFormat="1" applyFont="1" applyBorder="1" applyAlignment="1" applyProtection="1">
      <alignment horizontal="center" vertical="center"/>
      <protection locked="0"/>
    </xf>
    <xf numFmtId="0" fontId="12" fillId="9" borderId="14" xfId="0" applyFont="1" applyFill="1" applyBorder="1" applyAlignment="1" applyProtection="1">
      <alignment horizontal="center" vertical="center"/>
      <protection locked="0"/>
    </xf>
    <xf numFmtId="0" fontId="12" fillId="9" borderId="14" xfId="0" applyFont="1" applyFill="1" applyBorder="1" applyAlignment="1" applyProtection="1">
      <alignment horizontal="left" vertical="center"/>
      <protection locked="0"/>
    </xf>
    <xf numFmtId="165" fontId="20" fillId="9" borderId="14" xfId="1" applyNumberFormat="1" applyFont="1" applyFill="1" applyBorder="1" applyAlignment="1" applyProtection="1">
      <alignment horizontal="left" vertical="center"/>
    </xf>
    <xf numFmtId="0" fontId="20" fillId="9" borderId="14" xfId="0" applyFont="1" applyFill="1" applyBorder="1" applyAlignment="1" applyProtection="1">
      <alignment horizontal="center" vertical="center"/>
      <protection locked="0"/>
    </xf>
    <xf numFmtId="0" fontId="12" fillId="9" borderId="14" xfId="0" applyFont="1" applyFill="1" applyBorder="1"/>
    <xf numFmtId="165" fontId="12" fillId="0" borderId="14" xfId="1" applyNumberFormat="1" applyFont="1" applyBorder="1" applyAlignment="1" applyProtection="1">
      <alignment horizontal="center" vertical="center"/>
    </xf>
    <xf numFmtId="173" fontId="12" fillId="0" borderId="14" xfId="1" applyNumberFormat="1" applyFont="1" applyBorder="1" applyAlignment="1" applyProtection="1">
      <alignment horizontal="right" vertical="center"/>
      <protection locked="0"/>
    </xf>
    <xf numFmtId="43" fontId="12" fillId="0" borderId="14" xfId="1" applyFont="1" applyBorder="1" applyAlignment="1" applyProtection="1">
      <alignment horizontal="left" vertical="center"/>
      <protection locked="0"/>
    </xf>
    <xf numFmtId="173" fontId="20" fillId="9" borderId="14" xfId="1" applyNumberFormat="1" applyFont="1" applyFill="1" applyBorder="1" applyAlignment="1" applyProtection="1">
      <alignment horizontal="right" vertical="center"/>
    </xf>
    <xf numFmtId="173" fontId="12" fillId="9" borderId="14" xfId="0" applyNumberFormat="1" applyFont="1" applyFill="1" applyBorder="1" applyAlignment="1" applyProtection="1">
      <alignment horizontal="right" vertical="center"/>
      <protection locked="0"/>
    </xf>
    <xf numFmtId="173" fontId="20" fillId="9" borderId="14" xfId="0" applyNumberFormat="1" applyFont="1" applyFill="1" applyBorder="1" applyAlignment="1" applyProtection="1">
      <alignment horizontal="right" vertical="center"/>
      <protection locked="0"/>
    </xf>
    <xf numFmtId="0" fontId="26" fillId="0" borderId="14" xfId="0" applyFont="1" applyBorder="1" applyAlignment="1" applyProtection="1">
      <alignment horizontal="center" vertical="center"/>
      <protection locked="0"/>
    </xf>
    <xf numFmtId="43" fontId="12" fillId="0" borderId="14" xfId="0" applyNumberFormat="1" applyFont="1" applyBorder="1" applyAlignment="1" applyProtection="1">
      <alignment horizontal="left" vertical="center"/>
      <protection locked="0"/>
    </xf>
    <xf numFmtId="43" fontId="20" fillId="11" borderId="14" xfId="1" applyFont="1" applyFill="1" applyBorder="1" applyAlignment="1" applyProtection="1">
      <alignment horizontal="left" vertical="center"/>
    </xf>
    <xf numFmtId="0" fontId="20" fillId="11" borderId="14" xfId="0" applyFont="1" applyFill="1" applyBorder="1" applyAlignment="1" applyProtection="1">
      <alignment horizontal="center" vertical="center"/>
      <protection locked="0"/>
    </xf>
    <xf numFmtId="0" fontId="12" fillId="11" borderId="14" xfId="0" applyFont="1" applyFill="1" applyBorder="1" applyAlignment="1" applyProtection="1">
      <alignment horizontal="center" vertical="center"/>
      <protection locked="0"/>
    </xf>
    <xf numFmtId="0" fontId="12" fillId="11" borderId="14" xfId="0" applyFont="1" applyFill="1" applyBorder="1" applyAlignment="1" applyProtection="1">
      <alignment horizontal="left" vertical="center"/>
      <protection locked="0"/>
    </xf>
    <xf numFmtId="0" fontId="20" fillId="9" borderId="14" xfId="0" applyFont="1" applyFill="1" applyBorder="1" applyAlignment="1" applyProtection="1">
      <alignment horizontal="left" vertical="center"/>
      <protection locked="0"/>
    </xf>
    <xf numFmtId="165" fontId="20" fillId="0" borderId="14" xfId="0" applyNumberFormat="1" applyFont="1" applyBorder="1" applyAlignment="1" applyProtection="1">
      <alignment horizontal="center" vertical="center"/>
      <protection locked="0"/>
    </xf>
    <xf numFmtId="165" fontId="12" fillId="0" borderId="14" xfId="1" applyNumberFormat="1" applyFont="1" applyFill="1" applyBorder="1" applyAlignment="1" applyProtection="1">
      <alignment horizontal="left" vertical="center"/>
    </xf>
    <xf numFmtId="43" fontId="20" fillId="9" borderId="14" xfId="1" applyFont="1" applyFill="1" applyBorder="1" applyAlignment="1" applyProtection="1">
      <alignment horizontal="left" vertical="center"/>
    </xf>
    <xf numFmtId="165" fontId="20" fillId="11" borderId="14" xfId="1" applyNumberFormat="1" applyFont="1" applyFill="1" applyBorder="1" applyAlignment="1" applyProtection="1">
      <alignment horizontal="left" vertical="center"/>
    </xf>
    <xf numFmtId="165" fontId="12" fillId="9" borderId="14" xfId="1" applyNumberFormat="1" applyFont="1" applyFill="1" applyBorder="1" applyAlignment="1" applyProtection="1">
      <alignment horizontal="left" vertical="center"/>
    </xf>
    <xf numFmtId="9" fontId="12" fillId="0" borderId="14" xfId="2" applyFont="1" applyBorder="1" applyAlignment="1" applyProtection="1">
      <alignment horizontal="right" vertical="center"/>
    </xf>
    <xf numFmtId="165" fontId="12" fillId="9" borderId="14" xfId="0" applyNumberFormat="1" applyFont="1" applyFill="1" applyBorder="1" applyAlignment="1">
      <alignment horizontal="left" vertical="center"/>
    </xf>
    <xf numFmtId="165" fontId="12" fillId="0" borderId="14" xfId="0" applyNumberFormat="1" applyFont="1" applyBorder="1" applyAlignment="1">
      <alignment horizontal="left" vertical="center"/>
    </xf>
    <xf numFmtId="49" fontId="20" fillId="11" borderId="14" xfId="0" applyNumberFormat="1" applyFont="1" applyFill="1" applyBorder="1" applyAlignment="1" applyProtection="1">
      <alignment horizontal="center" vertical="center"/>
      <protection locked="0"/>
    </xf>
    <xf numFmtId="165" fontId="27" fillId="11" borderId="14" xfId="0" applyNumberFormat="1" applyFont="1" applyFill="1" applyBorder="1" applyAlignment="1">
      <alignment horizontal="left" vertical="center"/>
    </xf>
    <xf numFmtId="0" fontId="20" fillId="11" borderId="14" xfId="0" applyFont="1" applyFill="1" applyBorder="1" applyAlignment="1" applyProtection="1">
      <alignment horizontal="left" vertical="center"/>
      <protection locked="0"/>
    </xf>
    <xf numFmtId="0" fontId="27" fillId="11" borderId="14" xfId="0" applyFont="1" applyFill="1" applyBorder="1" applyAlignment="1" applyProtection="1">
      <alignment horizontal="center" vertical="center"/>
      <protection locked="0"/>
    </xf>
    <xf numFmtId="0" fontId="27" fillId="11" borderId="14" xfId="0" applyFont="1" applyFill="1" applyBorder="1" applyAlignment="1" applyProtection="1">
      <alignment horizontal="left" vertical="center"/>
      <protection locked="0"/>
    </xf>
    <xf numFmtId="165" fontId="12" fillId="0" borderId="14" xfId="1" applyNumberFormat="1" applyFont="1" applyFill="1" applyBorder="1" applyAlignment="1" applyProtection="1">
      <alignment horizontal="center" vertical="center"/>
    </xf>
    <xf numFmtId="165" fontId="12" fillId="0" borderId="14" xfId="0" applyNumberFormat="1" applyFont="1" applyBorder="1" applyAlignment="1" applyProtection="1">
      <alignment horizontal="left" vertical="center"/>
      <protection locked="0"/>
    </xf>
    <xf numFmtId="0" fontId="26" fillId="0" borderId="14" xfId="0" applyFont="1" applyBorder="1" applyAlignment="1" applyProtection="1">
      <alignment vertical="center"/>
      <protection locked="0"/>
    </xf>
    <xf numFmtId="165" fontId="12" fillId="0" borderId="14" xfId="1" applyNumberFormat="1" applyFont="1" applyBorder="1" applyAlignment="1" applyProtection="1">
      <alignment horizontal="left" vertical="center"/>
      <protection locked="0"/>
    </xf>
    <xf numFmtId="165" fontId="12" fillId="0" borderId="14" xfId="1" applyNumberFormat="1" applyFont="1" applyBorder="1" applyAlignment="1" applyProtection="1">
      <alignment horizontal="center" vertical="center"/>
      <protection locked="0"/>
    </xf>
    <xf numFmtId="165" fontId="20" fillId="4" borderId="14" xfId="1" applyNumberFormat="1" applyFont="1" applyFill="1" applyBorder="1" applyAlignment="1" applyProtection="1">
      <alignment horizontal="left" vertical="center"/>
      <protection locked="0"/>
    </xf>
    <xf numFmtId="165" fontId="27" fillId="11" borderId="14" xfId="1" applyNumberFormat="1" applyFont="1" applyFill="1" applyBorder="1" applyAlignment="1" applyProtection="1">
      <alignment vertical="center"/>
    </xf>
    <xf numFmtId="0" fontId="20" fillId="8" borderId="14" xfId="0" applyFont="1" applyFill="1" applyBorder="1" applyAlignment="1" applyProtection="1">
      <alignment horizontal="center" vertical="center"/>
      <protection locked="0"/>
    </xf>
    <xf numFmtId="165" fontId="27" fillId="8" borderId="14" xfId="0" applyNumberFormat="1" applyFont="1" applyFill="1" applyBorder="1" applyAlignment="1">
      <alignment horizontal="left" vertical="center"/>
    </xf>
    <xf numFmtId="0" fontId="27" fillId="11" borderId="14" xfId="0" applyFont="1" applyFill="1" applyBorder="1" applyAlignment="1" applyProtection="1">
      <alignment vertical="center"/>
      <protection locked="0"/>
    </xf>
    <xf numFmtId="0" fontId="27" fillId="8" borderId="14" xfId="0" applyFont="1" applyFill="1" applyBorder="1" applyAlignment="1" applyProtection="1">
      <alignment horizontal="center" vertical="center"/>
      <protection locked="0"/>
    </xf>
    <xf numFmtId="0" fontId="27" fillId="8" borderId="14" xfId="0" applyFont="1" applyFill="1" applyBorder="1" applyAlignment="1" applyProtection="1">
      <alignment horizontal="left" vertical="center"/>
      <protection locked="0"/>
    </xf>
    <xf numFmtId="0" fontId="12" fillId="8" borderId="14" xfId="0" applyFont="1" applyFill="1" applyBorder="1" applyAlignment="1" applyProtection="1">
      <alignment horizontal="left" vertical="center"/>
      <protection locked="0"/>
    </xf>
    <xf numFmtId="9" fontId="12" fillId="0" borderId="14" xfId="2" applyFont="1" applyBorder="1" applyAlignment="1" applyProtection="1">
      <alignment horizontal="right" vertical="center"/>
      <protection locked="0"/>
    </xf>
    <xf numFmtId="0" fontId="27" fillId="9" borderId="14" xfId="0" applyFont="1" applyFill="1" applyBorder="1" applyAlignment="1" applyProtection="1">
      <alignment horizontal="center" vertical="center"/>
      <protection locked="0"/>
    </xf>
    <xf numFmtId="0" fontId="27" fillId="9" borderId="14" xfId="0" applyFont="1" applyFill="1" applyBorder="1" applyAlignment="1" applyProtection="1">
      <alignment vertical="center"/>
      <protection locked="0"/>
    </xf>
    <xf numFmtId="165" fontId="27" fillId="9" borderId="14" xfId="1" applyNumberFormat="1" applyFont="1" applyFill="1" applyBorder="1" applyAlignment="1" applyProtection="1">
      <alignment horizontal="left" vertical="center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0" fontId="17" fillId="3" borderId="14" xfId="0" applyFont="1" applyFill="1" applyBorder="1" applyAlignment="1" applyProtection="1">
      <alignment horizontal="left" vertical="center"/>
      <protection locked="0"/>
    </xf>
    <xf numFmtId="0" fontId="16" fillId="3" borderId="14" xfId="0" applyFont="1" applyFill="1" applyBorder="1" applyAlignment="1" applyProtection="1">
      <alignment horizontal="left" vertical="center"/>
      <protection locked="0"/>
    </xf>
    <xf numFmtId="165" fontId="17" fillId="3" borderId="14" xfId="0" applyNumberFormat="1" applyFont="1" applyFill="1" applyBorder="1" applyAlignment="1">
      <alignment horizontal="left" vertical="center"/>
    </xf>
    <xf numFmtId="0" fontId="16" fillId="3" borderId="14" xfId="0" applyFont="1" applyFill="1" applyBorder="1"/>
    <xf numFmtId="165" fontId="26" fillId="0" borderId="14" xfId="1" applyNumberFormat="1" applyFont="1" applyBorder="1" applyAlignment="1" applyProtection="1">
      <alignment vertical="center"/>
    </xf>
    <xf numFmtId="165" fontId="26" fillId="0" borderId="14" xfId="1" applyNumberFormat="1" applyFont="1" applyBorder="1" applyAlignment="1" applyProtection="1">
      <alignment vertical="center"/>
      <protection locked="0"/>
    </xf>
    <xf numFmtId="165" fontId="20" fillId="9" borderId="14" xfId="1" applyNumberFormat="1" applyFont="1" applyFill="1" applyBorder="1" applyAlignment="1" applyProtection="1">
      <alignment horizontal="center" vertical="center"/>
    </xf>
    <xf numFmtId="165" fontId="27" fillId="9" borderId="14" xfId="1" applyNumberFormat="1" applyFont="1" applyFill="1" applyBorder="1" applyAlignment="1" applyProtection="1">
      <alignment vertical="center"/>
    </xf>
    <xf numFmtId="0" fontId="27" fillId="0" borderId="14" xfId="0" applyFont="1" applyBorder="1" applyAlignment="1" applyProtection="1">
      <alignment horizontal="center" vertical="center"/>
      <protection locked="0"/>
    </xf>
    <xf numFmtId="0" fontId="27" fillId="0" borderId="14" xfId="0" applyFont="1" applyBorder="1" applyAlignment="1" applyProtection="1">
      <alignment vertical="center"/>
      <protection locked="0"/>
    </xf>
    <xf numFmtId="165" fontId="27" fillId="0" borderId="14" xfId="1" applyNumberFormat="1" applyFont="1" applyFill="1" applyBorder="1" applyAlignment="1" applyProtection="1">
      <alignment horizontal="left" vertical="center"/>
      <protection locked="0"/>
    </xf>
    <xf numFmtId="0" fontId="12" fillId="0" borderId="14" xfId="0" applyFont="1" applyBorder="1"/>
    <xf numFmtId="0" fontId="27" fillId="16" borderId="14" xfId="0" applyFont="1" applyFill="1" applyBorder="1" applyAlignment="1" applyProtection="1">
      <alignment horizontal="center" vertical="center"/>
      <protection locked="0"/>
    </xf>
    <xf numFmtId="0" fontId="27" fillId="16" borderId="14" xfId="0" applyFont="1" applyFill="1" applyBorder="1" applyAlignment="1" applyProtection="1">
      <alignment vertical="center"/>
      <protection locked="0"/>
    </xf>
    <xf numFmtId="165" fontId="27" fillId="16" borderId="14" xfId="1" applyNumberFormat="1" applyFont="1" applyFill="1" applyBorder="1" applyAlignment="1" applyProtection="1">
      <alignment horizontal="left" vertical="center"/>
    </xf>
    <xf numFmtId="0" fontId="17" fillId="3" borderId="14" xfId="0" applyFont="1" applyFill="1" applyBorder="1" applyAlignment="1" applyProtection="1">
      <alignment vertical="center"/>
      <protection locked="0"/>
    </xf>
    <xf numFmtId="0" fontId="16" fillId="3" borderId="14" xfId="0" applyFont="1" applyFill="1" applyBorder="1" applyAlignment="1">
      <alignment horizontal="center"/>
    </xf>
    <xf numFmtId="165" fontId="17" fillId="3" borderId="14" xfId="1" applyNumberFormat="1" applyFont="1" applyFill="1" applyBorder="1" applyAlignment="1" applyProtection="1">
      <alignment horizontal="left" vertical="center"/>
    </xf>
    <xf numFmtId="165" fontId="26" fillId="0" borderId="14" xfId="7" applyFont="1" applyBorder="1" applyAlignment="1" applyProtection="1">
      <alignment horizontal="center" vertical="center"/>
      <protection locked="0"/>
    </xf>
    <xf numFmtId="43" fontId="12" fillId="0" borderId="14" xfId="1" applyFont="1" applyFill="1" applyBorder="1" applyAlignment="1" applyProtection="1">
      <alignment horizontal="left" vertical="center"/>
    </xf>
    <xf numFmtId="43" fontId="20" fillId="0" borderId="14" xfId="1" applyFont="1" applyFill="1" applyBorder="1" applyAlignment="1" applyProtection="1">
      <alignment horizontal="center" vertical="center"/>
      <protection locked="0"/>
    </xf>
    <xf numFmtId="165" fontId="26" fillId="4" borderId="14" xfId="7" applyFont="1" applyFill="1" applyBorder="1" applyAlignment="1" applyProtection="1">
      <alignment horizontal="center" vertical="center"/>
      <protection locked="0"/>
    </xf>
    <xf numFmtId="0" fontId="12" fillId="4" borderId="14" xfId="0" applyFont="1" applyFill="1" applyBorder="1" applyAlignment="1" applyProtection="1">
      <alignment vertical="center"/>
      <protection locked="0"/>
    </xf>
    <xf numFmtId="0" fontId="20" fillId="4" borderId="14" xfId="0" applyFont="1" applyFill="1" applyBorder="1" applyAlignment="1" applyProtection="1">
      <alignment horizontal="center" vertical="center"/>
      <protection locked="0"/>
    </xf>
    <xf numFmtId="43" fontId="12" fillId="4" borderId="14" xfId="1" applyFont="1" applyFill="1" applyBorder="1" applyAlignment="1" applyProtection="1">
      <alignment horizontal="left" vertical="center"/>
    </xf>
    <xf numFmtId="43" fontId="20" fillId="4" borderId="14" xfId="1" applyFont="1" applyFill="1" applyBorder="1" applyAlignment="1" applyProtection="1">
      <alignment horizontal="center" vertical="center"/>
      <protection locked="0"/>
    </xf>
    <xf numFmtId="43" fontId="12" fillId="4" borderId="14" xfId="0" applyNumberFormat="1" applyFont="1" applyFill="1" applyBorder="1" applyAlignment="1" applyProtection="1">
      <alignment horizontal="left" vertical="center"/>
      <protection locked="0"/>
    </xf>
    <xf numFmtId="165" fontId="26" fillId="0" borderId="14" xfId="7" applyFont="1" applyBorder="1" applyAlignment="1" applyProtection="1">
      <alignment vertical="center"/>
      <protection locked="0"/>
    </xf>
    <xf numFmtId="0" fontId="17" fillId="0" borderId="14" xfId="0" applyFont="1" applyBorder="1" applyAlignment="1" applyProtection="1">
      <alignment vertical="center"/>
      <protection locked="0"/>
    </xf>
    <xf numFmtId="0" fontId="17" fillId="3" borderId="14" xfId="0" applyFont="1" applyFill="1" applyBorder="1" applyAlignment="1" applyProtection="1">
      <alignment vertical="center" wrapText="1"/>
      <protection locked="0"/>
    </xf>
    <xf numFmtId="165" fontId="17" fillId="3" borderId="14" xfId="1" applyNumberFormat="1" applyFont="1" applyFill="1" applyBorder="1" applyAlignment="1" applyProtection="1">
      <alignment vertical="center"/>
    </xf>
    <xf numFmtId="165" fontId="26" fillId="0" borderId="0" xfId="1" applyNumberFormat="1" applyFont="1" applyBorder="1" applyAlignment="1" applyProtection="1">
      <alignment vertical="center"/>
    </xf>
    <xf numFmtId="165" fontId="26" fillId="0" borderId="14" xfId="1" applyNumberFormat="1" applyFont="1" applyFill="1" applyBorder="1" applyAlignment="1" applyProtection="1">
      <alignment vertical="center"/>
    </xf>
    <xf numFmtId="0" fontId="12" fillId="0" borderId="14" xfId="0" applyFont="1" applyBorder="1" applyAlignment="1" applyProtection="1">
      <alignment horizontal="left" vertical="center" wrapText="1"/>
      <protection locked="0"/>
    </xf>
    <xf numFmtId="0" fontId="20" fillId="4" borderId="14" xfId="0" applyFont="1" applyFill="1" applyBorder="1" applyAlignment="1" applyProtection="1">
      <alignment horizontal="left" vertical="center"/>
      <protection locked="0"/>
    </xf>
    <xf numFmtId="0" fontId="12" fillId="4" borderId="14" xfId="0" applyFont="1" applyFill="1" applyBorder="1" applyAlignment="1" applyProtection="1">
      <alignment horizontal="left" vertical="center"/>
      <protection locked="0"/>
    </xf>
    <xf numFmtId="165" fontId="27" fillId="4" borderId="14" xfId="1" applyNumberFormat="1" applyFont="1" applyFill="1" applyBorder="1" applyAlignment="1" applyProtection="1">
      <alignment vertical="center"/>
    </xf>
    <xf numFmtId="165" fontId="26" fillId="4" borderId="14" xfId="1" applyNumberFormat="1" applyFont="1" applyFill="1" applyBorder="1" applyAlignment="1" applyProtection="1">
      <alignment vertical="center"/>
    </xf>
    <xf numFmtId="165" fontId="27" fillId="5" borderId="14" xfId="1" applyNumberFormat="1" applyFont="1" applyFill="1" applyBorder="1" applyAlignment="1" applyProtection="1">
      <alignment vertical="center"/>
    </xf>
    <xf numFmtId="165" fontId="27" fillId="16" borderId="14" xfId="1" applyNumberFormat="1" applyFont="1" applyFill="1" applyBorder="1" applyAlignment="1" applyProtection="1">
      <alignment vertical="center"/>
    </xf>
    <xf numFmtId="0" fontId="44" fillId="0" borderId="14" xfId="0" applyFont="1" applyBorder="1" applyAlignment="1" applyProtection="1">
      <alignment horizontal="center" vertical="center"/>
      <protection locked="0"/>
    </xf>
    <xf numFmtId="0" fontId="44" fillId="0" borderId="14" xfId="0" applyFont="1" applyBorder="1" applyAlignment="1" applyProtection="1">
      <alignment horizontal="left" vertical="center"/>
      <protection locked="0"/>
    </xf>
    <xf numFmtId="0" fontId="20" fillId="5" borderId="14" xfId="0" applyFont="1" applyFill="1" applyBorder="1" applyAlignment="1" applyProtection="1">
      <alignment horizontal="center" vertical="center"/>
      <protection locked="0"/>
    </xf>
    <xf numFmtId="0" fontId="20" fillId="5" borderId="14" xfId="0" applyFont="1" applyFill="1" applyBorder="1" applyAlignment="1" applyProtection="1">
      <alignment horizontal="left" vertical="center"/>
      <protection locked="0"/>
    </xf>
    <xf numFmtId="0" fontId="42" fillId="9" borderId="14" xfId="0" applyFont="1" applyFill="1" applyBorder="1" applyAlignment="1" applyProtection="1">
      <alignment horizontal="center" vertical="center"/>
      <protection locked="0"/>
    </xf>
    <xf numFmtId="0" fontId="44" fillId="9" borderId="14" xfId="0" applyFont="1" applyFill="1" applyBorder="1" applyAlignment="1" applyProtection="1">
      <alignment horizontal="left" vertical="center"/>
      <protection locked="0"/>
    </xf>
    <xf numFmtId="0" fontId="44" fillId="9" borderId="14" xfId="0" applyFont="1" applyFill="1" applyBorder="1" applyAlignment="1" applyProtection="1">
      <alignment horizontal="center" vertical="center"/>
      <protection locked="0"/>
    </xf>
    <xf numFmtId="0" fontId="42" fillId="9" borderId="14" xfId="0" applyFont="1" applyFill="1" applyBorder="1" applyAlignment="1" applyProtection="1">
      <alignment horizontal="left" vertical="center"/>
      <protection locked="0"/>
    </xf>
    <xf numFmtId="0" fontId="42" fillId="0" borderId="14" xfId="0" applyFont="1" applyBorder="1" applyAlignment="1" applyProtection="1">
      <alignment horizontal="center" vertical="center"/>
      <protection locked="0"/>
    </xf>
    <xf numFmtId="0" fontId="42" fillId="0" borderId="14" xfId="0" applyFont="1" applyBorder="1" applyAlignment="1" applyProtection="1">
      <alignment horizontal="left" vertical="center"/>
      <protection locked="0"/>
    </xf>
    <xf numFmtId="0" fontId="44" fillId="10" borderId="14" xfId="0" applyFont="1" applyFill="1" applyBorder="1" applyAlignment="1" applyProtection="1">
      <alignment horizontal="center" vertical="center"/>
      <protection locked="0"/>
    </xf>
    <xf numFmtId="0" fontId="44" fillId="10" borderId="14" xfId="0" applyFont="1" applyFill="1" applyBorder="1" applyAlignment="1" applyProtection="1">
      <alignment horizontal="left" vertical="center"/>
      <protection locked="0"/>
    </xf>
    <xf numFmtId="173" fontId="42" fillId="10" borderId="14" xfId="1" applyNumberFormat="1" applyFont="1" applyFill="1" applyBorder="1" applyAlignment="1" applyProtection="1">
      <alignment horizontal="right" vertical="center"/>
    </xf>
    <xf numFmtId="43" fontId="42" fillId="10" borderId="14" xfId="1" applyFont="1" applyFill="1" applyBorder="1" applyAlignment="1" applyProtection="1">
      <alignment horizontal="left" vertical="center"/>
    </xf>
    <xf numFmtId="165" fontId="44" fillId="9" borderId="14" xfId="1" applyNumberFormat="1" applyFont="1" applyFill="1" applyBorder="1" applyAlignment="1" applyProtection="1">
      <alignment horizontal="left" vertical="center"/>
    </xf>
    <xf numFmtId="165" fontId="44" fillId="0" borderId="14" xfId="1" applyNumberFormat="1" applyFont="1" applyFill="1" applyBorder="1" applyAlignment="1" applyProtection="1">
      <alignment horizontal="left" vertical="center"/>
    </xf>
    <xf numFmtId="0" fontId="42" fillId="8" borderId="14" xfId="0" applyFont="1" applyFill="1" applyBorder="1" applyAlignment="1" applyProtection="1">
      <alignment horizontal="center" vertical="center"/>
      <protection locked="0"/>
    </xf>
    <xf numFmtId="0" fontId="42" fillId="8" borderId="14" xfId="0" applyFont="1" applyFill="1" applyBorder="1" applyAlignment="1" applyProtection="1">
      <alignment horizontal="left" vertical="center"/>
      <protection locked="0"/>
    </xf>
    <xf numFmtId="0" fontId="44" fillId="8" borderId="14" xfId="0" applyFont="1" applyFill="1" applyBorder="1" applyAlignment="1" applyProtection="1">
      <alignment horizontal="center" vertical="center"/>
      <protection locked="0"/>
    </xf>
    <xf numFmtId="0" fontId="44" fillId="8" borderId="14" xfId="0" applyFont="1" applyFill="1" applyBorder="1" applyAlignment="1" applyProtection="1">
      <alignment horizontal="left" vertical="center"/>
      <protection locked="0"/>
    </xf>
    <xf numFmtId="49" fontId="46" fillId="8" borderId="14" xfId="0" applyNumberFormat="1" applyFont="1" applyFill="1" applyBorder="1" applyAlignment="1" applyProtection="1">
      <alignment horizontal="center" vertical="center"/>
      <protection locked="0"/>
    </xf>
    <xf numFmtId="165" fontId="42" fillId="8" borderId="14" xfId="0" applyNumberFormat="1" applyFont="1" applyFill="1" applyBorder="1" applyAlignment="1">
      <alignment horizontal="left" vertical="center"/>
    </xf>
    <xf numFmtId="0" fontId="49" fillId="6" borderId="14" xfId="50" applyFont="1" applyFill="1" applyBorder="1" applyAlignment="1">
      <alignment horizontal="center" vertical="center"/>
    </xf>
    <xf numFmtId="0" fontId="49" fillId="0" borderId="14" xfId="50" applyFont="1" applyBorder="1" applyAlignment="1">
      <alignment horizontal="left" vertical="center"/>
    </xf>
    <xf numFmtId="0" fontId="44" fillId="6" borderId="14" xfId="0" applyFont="1" applyFill="1" applyBorder="1" applyAlignment="1" applyProtection="1">
      <alignment horizontal="left" vertical="center"/>
      <protection locked="0"/>
    </xf>
    <xf numFmtId="0" fontId="44" fillId="6" borderId="14" xfId="0" applyFont="1" applyFill="1" applyBorder="1" applyAlignment="1" applyProtection="1">
      <alignment horizontal="center" vertical="center"/>
      <protection locked="0"/>
    </xf>
    <xf numFmtId="0" fontId="49" fillId="0" borderId="14" xfId="50" applyFont="1" applyBorder="1" applyAlignment="1">
      <alignment horizontal="center" vertical="center"/>
    </xf>
    <xf numFmtId="0" fontId="49" fillId="6" borderId="14" xfId="50" applyFont="1" applyFill="1" applyBorder="1" applyAlignment="1">
      <alignment horizontal="left" vertical="center"/>
    </xf>
    <xf numFmtId="165" fontId="44" fillId="0" borderId="14" xfId="0" applyNumberFormat="1" applyFont="1" applyBorder="1" applyAlignment="1">
      <alignment horizontal="left" vertical="center"/>
    </xf>
    <xf numFmtId="165" fontId="48" fillId="8" borderId="14" xfId="1" applyNumberFormat="1" applyFont="1" applyFill="1" applyBorder="1" applyAlignment="1" applyProtection="1">
      <alignment horizontal="right" vertical="center"/>
    </xf>
    <xf numFmtId="0" fontId="44" fillId="0" borderId="14" xfId="0" applyFont="1" applyBorder="1" applyAlignment="1">
      <alignment horizontal="left" vertical="center"/>
    </xf>
    <xf numFmtId="0" fontId="48" fillId="7" borderId="14" xfId="0" applyFont="1" applyFill="1" applyBorder="1" applyAlignment="1" applyProtection="1">
      <alignment horizontal="center" vertical="center"/>
      <protection locked="0"/>
    </xf>
    <xf numFmtId="0" fontId="48" fillId="7" borderId="14" xfId="0" applyFont="1" applyFill="1" applyBorder="1" applyAlignment="1" applyProtection="1">
      <alignment horizontal="left" vertical="center"/>
      <protection locked="0"/>
    </xf>
    <xf numFmtId="0" fontId="49" fillId="7" borderId="14" xfId="0" applyFont="1" applyFill="1" applyBorder="1" applyAlignment="1" applyProtection="1">
      <alignment horizontal="left" vertical="center"/>
      <protection locked="0"/>
    </xf>
    <xf numFmtId="165" fontId="48" fillId="7" borderId="14" xfId="0" applyNumberFormat="1" applyFont="1" applyFill="1" applyBorder="1" applyAlignment="1">
      <alignment horizontal="left" vertical="center"/>
    </xf>
    <xf numFmtId="0" fontId="50" fillId="0" borderId="14" xfId="0" applyFont="1" applyBorder="1" applyAlignment="1" applyProtection="1">
      <alignment horizontal="center" vertical="center"/>
      <protection locked="0"/>
    </xf>
    <xf numFmtId="0" fontId="50" fillId="0" borderId="14" xfId="0" applyFont="1" applyBorder="1" applyAlignment="1" applyProtection="1">
      <alignment horizontal="left" vertical="center"/>
      <protection locked="0"/>
    </xf>
    <xf numFmtId="0" fontId="49" fillId="7" borderId="14" xfId="0" applyFont="1" applyFill="1" applyBorder="1" applyAlignment="1" applyProtection="1">
      <alignment vertical="center"/>
      <protection locked="0"/>
    </xf>
    <xf numFmtId="0" fontId="42" fillId="7" borderId="14" xfId="0" applyFont="1" applyFill="1" applyBorder="1" applyAlignment="1" applyProtection="1">
      <alignment horizontal="center" vertical="center"/>
      <protection locked="0"/>
    </xf>
    <xf numFmtId="165" fontId="42" fillId="7" borderId="14" xfId="0" applyNumberFormat="1" applyFont="1" applyFill="1" applyBorder="1" applyAlignment="1">
      <alignment horizontal="left" vertical="center"/>
    </xf>
    <xf numFmtId="0" fontId="51" fillId="3" borderId="14" xfId="0" applyFont="1" applyFill="1" applyBorder="1" applyAlignment="1" applyProtection="1">
      <alignment horizontal="center" vertical="center"/>
      <protection locked="0"/>
    </xf>
    <xf numFmtId="0" fontId="50" fillId="3" borderId="14" xfId="0" applyFont="1" applyFill="1" applyBorder="1" applyAlignment="1" applyProtection="1">
      <alignment horizontal="center" vertical="center"/>
      <protection locked="0"/>
    </xf>
    <xf numFmtId="165" fontId="50" fillId="3" borderId="14" xfId="0" applyNumberFormat="1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center" vertical="center"/>
    </xf>
    <xf numFmtId="165" fontId="12" fillId="4" borderId="14" xfId="0" applyNumberFormat="1" applyFont="1" applyFill="1" applyBorder="1" applyAlignment="1">
      <alignment vertical="center" wrapText="1"/>
    </xf>
    <xf numFmtId="0" fontId="12" fillId="4" borderId="14" xfId="0" applyFont="1" applyFill="1" applyBorder="1"/>
    <xf numFmtId="0" fontId="12" fillId="4" borderId="14" xfId="0" applyFont="1" applyFill="1" applyBorder="1" applyAlignment="1">
      <alignment vertical="center" wrapText="1"/>
    </xf>
    <xf numFmtId="0" fontId="20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/>
    </xf>
    <xf numFmtId="0" fontId="22" fillId="5" borderId="14" xfId="0" applyFont="1" applyFill="1" applyBorder="1" applyAlignment="1" applyProtection="1">
      <alignment horizontal="center" vertical="center"/>
      <protection locked="0"/>
    </xf>
    <xf numFmtId="0" fontId="25" fillId="5" borderId="14" xfId="0" applyFont="1" applyFill="1" applyBorder="1" applyAlignment="1" applyProtection="1">
      <alignment horizontal="left" vertical="center"/>
      <protection locked="0"/>
    </xf>
    <xf numFmtId="165" fontId="22" fillId="5" borderId="14" xfId="1" applyNumberFormat="1" applyFont="1" applyFill="1" applyBorder="1" applyAlignment="1" applyProtection="1">
      <alignment horizontal="center" vertical="center" wrapText="1"/>
    </xf>
    <xf numFmtId="0" fontId="17" fillId="3" borderId="14" xfId="0" applyFont="1" applyFill="1" applyBorder="1"/>
    <xf numFmtId="0" fontId="20" fillId="0" borderId="14" xfId="0" applyFont="1" applyBorder="1" applyAlignment="1">
      <alignment horizontal="left" vertical="center"/>
    </xf>
    <xf numFmtId="165" fontId="42" fillId="9" borderId="14" xfId="1" applyNumberFormat="1" applyFont="1" applyFill="1" applyBorder="1" applyAlignment="1" applyProtection="1">
      <alignment horizontal="left" vertical="center"/>
    </xf>
    <xf numFmtId="165" fontId="44" fillId="0" borderId="14" xfId="1" applyNumberFormat="1" applyFont="1" applyBorder="1" applyAlignment="1" applyProtection="1">
      <alignment horizontal="left" vertical="center"/>
    </xf>
    <xf numFmtId="165" fontId="44" fillId="0" borderId="14" xfId="1" applyNumberFormat="1" applyFont="1" applyFill="1" applyBorder="1" applyAlignment="1" applyProtection="1">
      <alignment horizontal="center" vertical="center"/>
    </xf>
    <xf numFmtId="165" fontId="44" fillId="0" borderId="14" xfId="1" applyNumberFormat="1" applyFont="1" applyBorder="1" applyAlignment="1" applyProtection="1">
      <alignment horizontal="left" vertical="center"/>
      <protection locked="0"/>
    </xf>
    <xf numFmtId="43" fontId="44" fillId="0" borderId="14" xfId="1" applyFont="1" applyBorder="1" applyAlignment="1" applyProtection="1">
      <alignment horizontal="center" vertical="center"/>
      <protection locked="0"/>
    </xf>
    <xf numFmtId="43" fontId="44" fillId="0" borderId="14" xfId="1" applyFont="1" applyBorder="1" applyAlignment="1" applyProtection="1">
      <alignment horizontal="left" vertical="center"/>
      <protection locked="0"/>
    </xf>
    <xf numFmtId="173" fontId="12" fillId="0" borderId="14" xfId="1" applyNumberFormat="1" applyFont="1" applyFill="1" applyBorder="1" applyAlignment="1" applyProtection="1">
      <alignment vertical="center"/>
      <protection locked="0"/>
    </xf>
    <xf numFmtId="0" fontId="20" fillId="9" borderId="14" xfId="0" applyFont="1" applyFill="1" applyBorder="1" applyAlignment="1">
      <alignment horizontal="right" vertical="center"/>
    </xf>
    <xf numFmtId="173" fontId="20" fillId="9" borderId="14" xfId="1" applyNumberFormat="1" applyFont="1" applyFill="1" applyBorder="1" applyAlignment="1">
      <alignment vertical="center"/>
    </xf>
    <xf numFmtId="173" fontId="12" fillId="0" borderId="14" xfId="0" applyNumberFormat="1" applyFont="1" applyBorder="1" applyAlignment="1">
      <alignment vertical="center"/>
    </xf>
    <xf numFmtId="0" fontId="17" fillId="3" borderId="14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vertical="center"/>
    </xf>
    <xf numFmtId="39" fontId="17" fillId="3" borderId="14" xfId="1" applyNumberFormat="1" applyFont="1" applyFill="1" applyBorder="1" applyAlignment="1">
      <alignment vertical="center"/>
    </xf>
    <xf numFmtId="173" fontId="17" fillId="3" borderId="14" xfId="1" applyNumberFormat="1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43" fontId="16" fillId="3" borderId="14" xfId="1" applyFont="1" applyFill="1" applyBorder="1" applyAlignment="1">
      <alignment vertical="center"/>
    </xf>
    <xf numFmtId="173" fontId="12" fillId="0" borderId="14" xfId="1" applyNumberFormat="1" applyFont="1" applyBorder="1" applyAlignment="1">
      <alignment vertical="center"/>
    </xf>
    <xf numFmtId="0" fontId="25" fillId="3" borderId="14" xfId="0" applyFont="1" applyFill="1" applyBorder="1" applyAlignment="1">
      <alignment vertical="center"/>
    </xf>
    <xf numFmtId="174" fontId="25" fillId="3" borderId="14" xfId="0" applyNumberFormat="1" applyFont="1" applyFill="1" applyBorder="1" applyAlignment="1">
      <alignment vertical="center"/>
    </xf>
    <xf numFmtId="165" fontId="12" fillId="0" borderId="14" xfId="0" applyNumberFormat="1" applyFont="1" applyBorder="1" applyAlignment="1">
      <alignment horizontal="center" vertical="center"/>
    </xf>
    <xf numFmtId="0" fontId="17" fillId="11" borderId="14" xfId="0" applyFont="1" applyFill="1" applyBorder="1" applyAlignment="1">
      <alignment vertical="center"/>
    </xf>
    <xf numFmtId="0" fontId="27" fillId="11" borderId="14" xfId="0" applyFont="1" applyFill="1" applyBorder="1" applyAlignment="1">
      <alignment vertical="center"/>
    </xf>
    <xf numFmtId="0" fontId="27" fillId="11" borderId="14" xfId="0" applyFont="1" applyFill="1" applyBorder="1" applyAlignment="1">
      <alignment horizontal="right" vertical="center"/>
    </xf>
    <xf numFmtId="43" fontId="20" fillId="11" borderId="14" xfId="1" applyFont="1" applyFill="1" applyBorder="1" applyAlignment="1">
      <alignment vertical="center"/>
    </xf>
    <xf numFmtId="165" fontId="20" fillId="11" borderId="14" xfId="0" applyNumberFormat="1" applyFont="1" applyFill="1" applyBorder="1" applyAlignment="1">
      <alignment vertical="center"/>
    </xf>
    <xf numFmtId="165" fontId="16" fillId="3" borderId="14" xfId="0" applyNumberFormat="1" applyFont="1" applyFill="1" applyBorder="1" applyAlignment="1">
      <alignment vertical="center"/>
    </xf>
    <xf numFmtId="0" fontId="20" fillId="4" borderId="14" xfId="0" applyFont="1" applyFill="1" applyBorder="1" applyAlignment="1">
      <alignment horizontal="right" vertical="center"/>
    </xf>
    <xf numFmtId="165" fontId="20" fillId="4" borderId="14" xfId="0" applyNumberFormat="1" applyFont="1" applyFill="1" applyBorder="1" applyAlignment="1">
      <alignment vertical="center"/>
    </xf>
    <xf numFmtId="0" fontId="20" fillId="4" borderId="14" xfId="0" applyFont="1" applyFill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2" fillId="0" borderId="0" xfId="1" applyNumberFormat="1" applyFont="1" applyFill="1" applyBorder="1" applyAlignment="1">
      <alignment vertical="center"/>
    </xf>
    <xf numFmtId="165" fontId="12" fillId="0" borderId="0" xfId="1" applyNumberFormat="1" applyFont="1" applyFill="1" applyBorder="1" applyAlignment="1">
      <alignment horizontal="right" vertical="center"/>
    </xf>
    <xf numFmtId="0" fontId="50" fillId="3" borderId="14" xfId="0" applyFont="1" applyFill="1" applyBorder="1" applyAlignment="1">
      <alignment horizontal="right" vertical="center"/>
    </xf>
    <xf numFmtId="165" fontId="12" fillId="9" borderId="2" xfId="0" applyNumberFormat="1" applyFont="1" applyFill="1" applyBorder="1" applyAlignment="1">
      <alignment horizontal="left" vertical="center"/>
    </xf>
    <xf numFmtId="165" fontId="49" fillId="11" borderId="2" xfId="0" applyNumberFormat="1" applyFont="1" applyFill="1" applyBorder="1" applyAlignment="1">
      <alignment horizontal="left" vertical="center"/>
    </xf>
    <xf numFmtId="165" fontId="57" fillId="0" borderId="0" xfId="0" applyNumberFormat="1" applyFont="1" applyAlignment="1" applyProtection="1">
      <alignment horizontal="left" vertical="center"/>
      <protection locked="0"/>
    </xf>
    <xf numFmtId="171" fontId="12" fillId="0" borderId="14" xfId="0" applyNumberFormat="1" applyFont="1" applyBorder="1" applyAlignment="1" applyProtection="1">
      <alignment horizontal="center" vertical="center"/>
      <protection locked="0"/>
    </xf>
    <xf numFmtId="44" fontId="12" fillId="0" borderId="14" xfId="9" applyFont="1" applyFill="1" applyBorder="1" applyAlignment="1">
      <alignment vertical="center"/>
    </xf>
    <xf numFmtId="0" fontId="26" fillId="0" borderId="14" xfId="0" applyFont="1" applyBorder="1" applyAlignment="1">
      <alignment horizontal="right" vertical="center"/>
    </xf>
    <xf numFmtId="43" fontId="26" fillId="0" borderId="14" xfId="1" applyFont="1" applyFill="1" applyBorder="1" applyAlignment="1">
      <alignment vertical="center"/>
    </xf>
    <xf numFmtId="0" fontId="26" fillId="9" borderId="14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center" vertical="center"/>
    </xf>
    <xf numFmtId="43" fontId="26" fillId="0" borderId="3" xfId="1" applyFont="1" applyFill="1" applyBorder="1" applyAlignment="1">
      <alignment horizontal="center" vertical="center"/>
    </xf>
    <xf numFmtId="165" fontId="12" fillId="0" borderId="3" xfId="9" applyNumberFormat="1" applyFont="1" applyBorder="1" applyAlignment="1">
      <alignment vertical="center"/>
    </xf>
    <xf numFmtId="165" fontId="12" fillId="0" borderId="14" xfId="1" applyNumberFormat="1" applyFont="1" applyBorder="1" applyAlignment="1">
      <alignment vertical="center"/>
    </xf>
    <xf numFmtId="165" fontId="12" fillId="0" borderId="14" xfId="9" applyNumberFormat="1" applyFont="1" applyBorder="1" applyAlignment="1">
      <alignment vertical="center"/>
    </xf>
    <xf numFmtId="0" fontId="17" fillId="3" borderId="14" xfId="0" applyFont="1" applyFill="1" applyBorder="1" applyAlignment="1">
      <alignment horizontal="center" vertical="center"/>
    </xf>
    <xf numFmtId="173" fontId="17" fillId="3" borderId="14" xfId="1" applyNumberFormat="1" applyFont="1" applyFill="1" applyBorder="1" applyAlignment="1">
      <alignment vertical="center" wrapText="1"/>
    </xf>
    <xf numFmtId="43" fontId="12" fillId="3" borderId="14" xfId="1" applyFont="1" applyFill="1" applyBorder="1" applyAlignment="1" applyProtection="1">
      <alignment vertical="center"/>
      <protection locked="0"/>
    </xf>
    <xf numFmtId="165" fontId="50" fillId="3" borderId="14" xfId="0" applyNumberFormat="1" applyFont="1" applyFill="1" applyBorder="1" applyAlignment="1">
      <alignment vertical="center"/>
    </xf>
    <xf numFmtId="170" fontId="12" fillId="0" borderId="14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78" fontId="12" fillId="0" borderId="0" xfId="0" applyNumberFormat="1" applyFont="1" applyAlignment="1">
      <alignment horizontal="center"/>
    </xf>
    <xf numFmtId="43" fontId="12" fillId="0" borderId="0" xfId="1" applyFont="1" applyFill="1" applyBorder="1"/>
    <xf numFmtId="43" fontId="12" fillId="0" borderId="0" xfId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43" fontId="12" fillId="0" borderId="8" xfId="1" applyFont="1" applyBorder="1" applyAlignment="1">
      <alignment horizontal="center"/>
    </xf>
    <xf numFmtId="0" fontId="12" fillId="0" borderId="13" xfId="0" applyFont="1" applyBorder="1"/>
    <xf numFmtId="0" fontId="48" fillId="7" borderId="14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left" vertical="center"/>
    </xf>
    <xf numFmtId="0" fontId="49" fillId="7" borderId="14" xfId="0" applyFont="1" applyFill="1" applyBorder="1" applyAlignment="1">
      <alignment horizontal="left" vertical="center"/>
    </xf>
    <xf numFmtId="43" fontId="44" fillId="9" borderId="14" xfId="1" applyFont="1" applyFill="1" applyBorder="1" applyAlignment="1" applyProtection="1">
      <alignment horizontal="center" vertical="center"/>
    </xf>
    <xf numFmtId="0" fontId="44" fillId="0" borderId="14" xfId="0" applyFont="1" applyBorder="1" applyAlignment="1">
      <alignment horizontal="center" vertical="center"/>
    </xf>
    <xf numFmtId="43" fontId="44" fillId="0" borderId="14" xfId="1" applyFont="1" applyFill="1" applyBorder="1" applyAlignment="1" applyProtection="1">
      <alignment horizontal="center" vertical="center"/>
    </xf>
    <xf numFmtId="165" fontId="44" fillId="9" borderId="14" xfId="0" applyNumberFormat="1" applyFont="1" applyFill="1" applyBorder="1" applyAlignment="1">
      <alignment horizontal="center" vertical="center"/>
    </xf>
    <xf numFmtId="0" fontId="44" fillId="9" borderId="14" xfId="0" applyFont="1" applyFill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165" fontId="44" fillId="6" borderId="14" xfId="0" applyNumberFormat="1" applyFont="1" applyFill="1" applyBorder="1" applyAlignment="1">
      <alignment horizontal="center" vertical="center"/>
    </xf>
    <xf numFmtId="43" fontId="12" fillId="0" borderId="14" xfId="0" applyNumberFormat="1" applyFont="1" applyBorder="1" applyAlignment="1">
      <alignment vertical="center"/>
    </xf>
    <xf numFmtId="43" fontId="12" fillId="0" borderId="14" xfId="1" applyFont="1" applyBorder="1" applyAlignment="1">
      <alignment horizontal="right" vertical="center"/>
    </xf>
    <xf numFmtId="43" fontId="12" fillId="9" borderId="14" xfId="0" applyNumberFormat="1" applyFont="1" applyFill="1" applyBorder="1" applyAlignment="1">
      <alignment vertical="center"/>
    </xf>
    <xf numFmtId="43" fontId="12" fillId="0" borderId="0" xfId="0" applyNumberFormat="1" applyFont="1" applyAlignment="1">
      <alignment vertical="center"/>
    </xf>
    <xf numFmtId="43" fontId="12" fillId="0" borderId="14" xfId="1" applyFont="1" applyBorder="1" applyAlignment="1">
      <alignment horizontal="left" vertical="center"/>
    </xf>
    <xf numFmtId="43" fontId="17" fillId="3" borderId="14" xfId="0" applyNumberFormat="1" applyFont="1" applyFill="1" applyBorder="1" applyAlignment="1">
      <alignment vertical="center"/>
    </xf>
    <xf numFmtId="0" fontId="58" fillId="0" borderId="0" xfId="0" applyFont="1" applyAlignment="1">
      <alignment horizontal="center" vertical="center"/>
    </xf>
    <xf numFmtId="43" fontId="12" fillId="0" borderId="14" xfId="1" applyFont="1" applyFill="1" applyBorder="1" applyAlignment="1" applyProtection="1">
      <alignment horizontal="left" vertical="center"/>
      <protection locked="0"/>
    </xf>
    <xf numFmtId="0" fontId="40" fillId="0" borderId="0" xfId="0" applyFont="1"/>
    <xf numFmtId="0" fontId="59" fillId="0" borderId="0" xfId="0" applyFont="1"/>
    <xf numFmtId="0" fontId="12" fillId="18" borderId="14" xfId="0" applyFont="1" applyFill="1" applyBorder="1" applyAlignment="1" applyProtection="1">
      <alignment horizontal="left" vertical="center"/>
      <protection locked="0"/>
    </xf>
    <xf numFmtId="0" fontId="12" fillId="18" borderId="14" xfId="0" applyFont="1" applyFill="1" applyBorder="1" applyAlignment="1" applyProtection="1">
      <alignment horizontal="center" vertical="center"/>
      <protection locked="0"/>
    </xf>
    <xf numFmtId="43" fontId="12" fillId="18" borderId="14" xfId="1" applyFont="1" applyFill="1" applyBorder="1" applyAlignment="1" applyProtection="1">
      <alignment vertical="center"/>
      <protection locked="0"/>
    </xf>
    <xf numFmtId="43" fontId="12" fillId="18" borderId="14" xfId="1" applyFont="1" applyFill="1" applyBorder="1" applyAlignment="1">
      <alignment vertical="center"/>
    </xf>
    <xf numFmtId="43" fontId="12" fillId="18" borderId="0" xfId="1" applyFont="1" applyFill="1" applyAlignment="1" applyProtection="1">
      <alignment vertical="center"/>
      <protection locked="0"/>
    </xf>
    <xf numFmtId="43" fontId="12" fillId="18" borderId="0" xfId="1" applyFont="1" applyFill="1" applyBorder="1" applyAlignment="1" applyProtection="1">
      <alignment vertical="center"/>
      <protection locked="0"/>
    </xf>
    <xf numFmtId="165" fontId="12" fillId="18" borderId="14" xfId="0" applyNumberFormat="1" applyFont="1" applyFill="1" applyBorder="1" applyAlignment="1" applyProtection="1">
      <alignment vertical="center"/>
      <protection locked="0"/>
    </xf>
    <xf numFmtId="165" fontId="12" fillId="18" borderId="14" xfId="0" applyNumberFormat="1" applyFont="1" applyFill="1" applyBorder="1" applyAlignment="1">
      <alignment vertical="center"/>
    </xf>
    <xf numFmtId="165" fontId="12" fillId="18" borderId="2" xfId="0" applyNumberFormat="1" applyFont="1" applyFill="1" applyBorder="1" applyAlignment="1" applyProtection="1">
      <alignment vertical="center"/>
      <protection locked="0"/>
    </xf>
    <xf numFmtId="165" fontId="12" fillId="18" borderId="2" xfId="0" applyNumberFormat="1" applyFont="1" applyFill="1" applyBorder="1" applyAlignment="1">
      <alignment vertical="center"/>
    </xf>
    <xf numFmtId="43" fontId="12" fillId="18" borderId="14" xfId="1" applyFont="1" applyFill="1" applyBorder="1" applyAlignment="1" applyProtection="1">
      <alignment horizontal="center" vertical="center"/>
      <protection locked="0"/>
    </xf>
    <xf numFmtId="0" fontId="12" fillId="18" borderId="14" xfId="0" applyFont="1" applyFill="1" applyBorder="1" applyAlignment="1" applyProtection="1">
      <alignment vertical="center"/>
      <protection locked="0"/>
    </xf>
    <xf numFmtId="0" fontId="12" fillId="18" borderId="14" xfId="0" applyFont="1" applyFill="1" applyBorder="1" applyAlignment="1">
      <alignment vertical="center"/>
    </xf>
    <xf numFmtId="0" fontId="12" fillId="18" borderId="0" xfId="0" applyFont="1" applyFill="1" applyAlignment="1" applyProtection="1">
      <alignment vertical="center"/>
      <protection locked="0"/>
    </xf>
    <xf numFmtId="0" fontId="12" fillId="18" borderId="0" xfId="0" applyFont="1" applyFill="1" applyAlignment="1">
      <alignment vertical="center"/>
    </xf>
    <xf numFmtId="173" fontId="12" fillId="18" borderId="14" xfId="1" applyNumberFormat="1" applyFont="1" applyFill="1" applyBorder="1" applyAlignment="1" applyProtection="1">
      <alignment vertical="center"/>
      <protection locked="0"/>
    </xf>
    <xf numFmtId="39" fontId="12" fillId="18" borderId="14" xfId="1" applyNumberFormat="1" applyFont="1" applyFill="1" applyBorder="1" applyAlignment="1" applyProtection="1">
      <alignment vertical="center"/>
      <protection locked="0"/>
    </xf>
    <xf numFmtId="166" fontId="12" fillId="18" borderId="14" xfId="0" applyNumberFormat="1" applyFont="1" applyFill="1" applyBorder="1" applyAlignment="1" applyProtection="1">
      <alignment vertical="center"/>
      <protection locked="0"/>
    </xf>
    <xf numFmtId="0" fontId="27" fillId="18" borderId="3" xfId="0" applyFont="1" applyFill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43" fontId="26" fillId="18" borderId="3" xfId="1" applyFont="1" applyFill="1" applyBorder="1" applyAlignment="1">
      <alignment horizontal="center" vertical="center"/>
    </xf>
    <xf numFmtId="43" fontId="26" fillId="18" borderId="14" xfId="1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vertical="center"/>
    </xf>
    <xf numFmtId="43" fontId="12" fillId="18" borderId="3" xfId="1" applyFont="1" applyFill="1" applyBorder="1" applyAlignment="1">
      <alignment vertical="center"/>
    </xf>
    <xf numFmtId="165" fontId="12" fillId="18" borderId="3" xfId="9" applyNumberFormat="1" applyFont="1" applyFill="1" applyBorder="1" applyAlignment="1">
      <alignment vertical="center"/>
    </xf>
    <xf numFmtId="165" fontId="12" fillId="18" borderId="14" xfId="1" applyNumberFormat="1" applyFont="1" applyFill="1" applyBorder="1" applyAlignment="1">
      <alignment vertical="center"/>
    </xf>
    <xf numFmtId="165" fontId="12" fillId="18" borderId="14" xfId="9" applyNumberFormat="1" applyFont="1" applyFill="1" applyBorder="1" applyAlignment="1">
      <alignment vertical="center"/>
    </xf>
    <xf numFmtId="171" fontId="12" fillId="18" borderId="14" xfId="0" applyNumberFormat="1" applyFont="1" applyFill="1" applyBorder="1" applyAlignment="1" applyProtection="1">
      <alignment horizontal="center" vertical="center"/>
      <protection locked="0"/>
    </xf>
    <xf numFmtId="0" fontId="12" fillId="18" borderId="2" xfId="0" applyFont="1" applyFill="1" applyBorder="1" applyAlignment="1" applyProtection="1">
      <alignment vertical="center"/>
      <protection locked="0"/>
    </xf>
    <xf numFmtId="0" fontId="12" fillId="18" borderId="2" xfId="0" applyFont="1" applyFill="1" applyBorder="1" applyAlignment="1" applyProtection="1">
      <alignment horizontal="center" vertical="center"/>
      <protection locked="0"/>
    </xf>
    <xf numFmtId="43" fontId="12" fillId="18" borderId="2" xfId="1" applyFont="1" applyFill="1" applyBorder="1" applyAlignment="1" applyProtection="1">
      <alignment vertical="center"/>
      <protection locked="0"/>
    </xf>
    <xf numFmtId="0" fontId="12" fillId="4" borderId="2" xfId="0" applyFont="1" applyFill="1" applyBorder="1" applyAlignment="1" applyProtection="1">
      <alignment vertical="center"/>
      <protection locked="0"/>
    </xf>
    <xf numFmtId="0" fontId="12" fillId="4" borderId="2" xfId="0" applyFont="1" applyFill="1" applyBorder="1" applyAlignment="1" applyProtection="1">
      <alignment horizontal="center" vertical="center"/>
      <protection locked="0"/>
    </xf>
    <xf numFmtId="43" fontId="12" fillId="4" borderId="2" xfId="1" applyFont="1" applyFill="1" applyBorder="1" applyAlignment="1" applyProtection="1">
      <alignment vertical="center"/>
      <protection locked="0"/>
    </xf>
    <xf numFmtId="43" fontId="12" fillId="4" borderId="2" xfId="1" applyFont="1" applyFill="1" applyBorder="1" applyAlignment="1">
      <alignment vertical="center"/>
    </xf>
    <xf numFmtId="0" fontId="12" fillId="18" borderId="2" xfId="0" applyFont="1" applyFill="1" applyBorder="1" applyAlignment="1">
      <alignment vertical="center"/>
    </xf>
    <xf numFmtId="0" fontId="12" fillId="18" borderId="2" xfId="0" applyFont="1" applyFill="1" applyBorder="1" applyAlignment="1">
      <alignment horizontal="center" vertical="center"/>
    </xf>
    <xf numFmtId="43" fontId="12" fillId="18" borderId="2" xfId="1" applyFont="1" applyFill="1" applyBorder="1" applyAlignment="1">
      <alignment vertical="center"/>
    </xf>
    <xf numFmtId="0" fontId="50" fillId="3" borderId="2" xfId="0" applyFont="1" applyFill="1" applyBorder="1" applyAlignment="1">
      <alignment horizontal="right" vertical="center"/>
    </xf>
    <xf numFmtId="43" fontId="21" fillId="19" borderId="2" xfId="0" applyNumberFormat="1" applyFont="1" applyFill="1" applyBorder="1"/>
    <xf numFmtId="43" fontId="12" fillId="19" borderId="2" xfId="1" applyFont="1" applyFill="1" applyBorder="1" applyAlignment="1">
      <alignment vertical="center"/>
    </xf>
    <xf numFmtId="171" fontId="12" fillId="19" borderId="2" xfId="0" applyNumberFormat="1" applyFont="1" applyFill="1" applyBorder="1" applyAlignment="1">
      <alignment horizontal="center"/>
    </xf>
    <xf numFmtId="43" fontId="12" fillId="19" borderId="2" xfId="1" applyFont="1" applyFill="1" applyBorder="1"/>
    <xf numFmtId="0" fontId="60" fillId="0" borderId="0" xfId="0" applyFont="1"/>
    <xf numFmtId="4" fontId="60" fillId="0" borderId="0" xfId="0" applyNumberFormat="1" applyFont="1"/>
    <xf numFmtId="0" fontId="20" fillId="0" borderId="14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8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left" vertical="center"/>
    </xf>
    <xf numFmtId="0" fontId="12" fillId="9" borderId="14" xfId="0" applyFont="1" applyFill="1" applyBorder="1" applyAlignment="1">
      <alignment horizontal="right" vertical="center"/>
    </xf>
    <xf numFmtId="0" fontId="17" fillId="3" borderId="14" xfId="0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172" fontId="12" fillId="0" borderId="0" xfId="0" applyNumberFormat="1" applyFont="1" applyAlignment="1">
      <alignment horizontal="center" vertical="center"/>
    </xf>
    <xf numFmtId="0" fontId="46" fillId="0" borderId="0" xfId="0" applyFont="1"/>
    <xf numFmtId="43" fontId="61" fillId="19" borderId="2" xfId="0" applyNumberFormat="1" applyFont="1" applyFill="1" applyBorder="1"/>
    <xf numFmtId="43" fontId="62" fillId="19" borderId="2" xfId="0" applyNumberFormat="1" applyFont="1" applyFill="1" applyBorder="1"/>
    <xf numFmtId="43" fontId="12" fillId="3" borderId="5" xfId="1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49" fontId="12" fillId="4" borderId="12" xfId="0" applyNumberFormat="1" applyFont="1" applyFill="1" applyBorder="1" applyAlignment="1">
      <alignment horizontal="center"/>
    </xf>
    <xf numFmtId="43" fontId="12" fillId="4" borderId="12" xfId="1" applyFont="1" applyFill="1" applyBorder="1"/>
    <xf numFmtId="0" fontId="0" fillId="0" borderId="12" xfId="0" applyBorder="1"/>
    <xf numFmtId="0" fontId="12" fillId="0" borderId="0" xfId="1" applyNumberFormat="1" applyFont="1" applyFill="1" applyBorder="1" applyAlignment="1">
      <alignment horizontal="center"/>
    </xf>
    <xf numFmtId="43" fontId="12" fillId="0" borderId="12" xfId="1" applyFont="1" applyFill="1" applyBorder="1"/>
    <xf numFmtId="43" fontId="12" fillId="3" borderId="12" xfId="1" applyFont="1" applyFill="1" applyBorder="1" applyAlignment="1">
      <alignment horizontal="center"/>
    </xf>
    <xf numFmtId="0" fontId="56" fillId="15" borderId="0" xfId="0" applyFont="1" applyFill="1" applyAlignment="1">
      <alignment vertical="center"/>
    </xf>
    <xf numFmtId="0" fontId="16" fillId="15" borderId="0" xfId="0" applyFont="1" applyFill="1" applyAlignment="1">
      <alignment vertical="center"/>
    </xf>
    <xf numFmtId="0" fontId="26" fillId="16" borderId="14" xfId="0" applyFont="1" applyFill="1" applyBorder="1" applyAlignment="1">
      <alignment vertical="center"/>
    </xf>
    <xf numFmtId="0" fontId="26" fillId="16" borderId="14" xfId="0" applyFont="1" applyFill="1" applyBorder="1" applyAlignment="1">
      <alignment horizontal="center" vertical="center"/>
    </xf>
    <xf numFmtId="0" fontId="50" fillId="15" borderId="0" xfId="0" applyFont="1" applyFill="1" applyAlignment="1">
      <alignment vertical="center"/>
    </xf>
    <xf numFmtId="0" fontId="16" fillId="3" borderId="14" xfId="0" applyFont="1" applyFill="1" applyBorder="1" applyAlignment="1">
      <alignment horizontal="center" vertical="center"/>
    </xf>
    <xf numFmtId="0" fontId="25" fillId="12" borderId="0" xfId="0" applyFont="1" applyFill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0" fillId="0" borderId="14" xfId="0" applyFont="1" applyBorder="1" applyAlignment="1" applyProtection="1">
      <alignment horizontal="left" vertical="center"/>
      <protection locked="0"/>
    </xf>
    <xf numFmtId="0" fontId="20" fillId="0" borderId="14" xfId="0" applyFont="1" applyBorder="1" applyAlignment="1" applyProtection="1">
      <alignment horizontal="left" vertical="center" wrapText="1"/>
      <protection locked="0"/>
    </xf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0" fillId="3" borderId="14" xfId="0" applyFont="1" applyFill="1" applyBorder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44" fillId="0" borderId="0" xfId="0" applyFont="1" applyAlignment="1" applyProtection="1">
      <alignment horizontal="left" vertical="center" wrapText="1"/>
      <protection locked="0"/>
    </xf>
    <xf numFmtId="0" fontId="48" fillId="8" borderId="14" xfId="0" applyFont="1" applyFill="1" applyBorder="1" applyAlignment="1" applyProtection="1">
      <alignment horizontal="left" vertical="center" wrapText="1"/>
      <protection locked="0"/>
    </xf>
    <xf numFmtId="0" fontId="3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8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>
      <alignment horizontal="left" vertical="center" wrapText="1"/>
    </xf>
    <xf numFmtId="0" fontId="30" fillId="12" borderId="0" xfId="0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right" vertical="center" wrapText="1"/>
    </xf>
    <xf numFmtId="0" fontId="12" fillId="9" borderId="2" xfId="0" applyFont="1" applyFill="1" applyBorder="1" applyAlignment="1">
      <alignment horizontal="right" vertical="center" wrapText="1"/>
    </xf>
    <xf numFmtId="0" fontId="20" fillId="5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12" fillId="9" borderId="14" xfId="0" applyFont="1" applyFill="1" applyBorder="1" applyAlignment="1">
      <alignment horizontal="right" vertical="center"/>
    </xf>
    <xf numFmtId="0" fontId="17" fillId="3" borderId="14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right" vertical="center"/>
    </xf>
    <xf numFmtId="0" fontId="20" fillId="5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20" fillId="8" borderId="0" xfId="0" applyFont="1" applyFill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52">
    <cellStyle name="Comma" xfId="1" builtinId="3"/>
    <cellStyle name="Currency" xfId="9" builtinId="4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43" builtinId="9" hidden="1"/>
    <cellStyle name="Followed Hyperlink" xfId="35" builtinId="9" hidden="1"/>
    <cellStyle name="Followed Hyperlink" xfId="27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19" builtinId="9" hidden="1"/>
    <cellStyle name="Followed Hyperlink" xfId="11" builtinId="9" hidden="1"/>
    <cellStyle name="Followed Hyperlink" xfId="13" builtinId="9" hidden="1"/>
    <cellStyle name="Followed Hyperlink" xfId="6" builtinId="9" hidden="1"/>
    <cellStyle name="Followed Hyperlink" xfId="4" builtinId="9" hidden="1"/>
    <cellStyle name="Hyperlink" xfId="46" builtinId="8" hidden="1"/>
    <cellStyle name="Hyperlink" xfId="48" builtinId="8" hidden="1"/>
    <cellStyle name="Hyperlink" xfId="22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2" builtinId="8" hidden="1"/>
    <cellStyle name="Hyperlink" xfId="26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5" builtinId="8" hidden="1"/>
    <cellStyle name="Hyperlink" xfId="12" builtinId="8" hidden="1"/>
    <cellStyle name="Hyperlink" xfId="10" builtinId="8" hidden="1"/>
    <cellStyle name="Hyperlink" xfId="3" builtinId="8" hidden="1"/>
    <cellStyle name="Millares 12 3 31" xfId="7" xr:uid="{00000000-0005-0000-0000-00002E000000}"/>
    <cellStyle name="Normal" xfId="0" builtinId="0"/>
    <cellStyle name="Normal 15" xfId="50" xr:uid="{D3561507-3FAC-8948-8DD7-02D4BEC75D31}"/>
    <cellStyle name="Percent" xfId="2" builtinId="5"/>
    <cellStyle name="Percent 2" xfId="51" xr:uid="{B82AC780-5A07-DC47-8E35-C984D3C35C18}"/>
    <cellStyle name="Porcentual 2 2" xfId="8" xr:uid="{00000000-0005-0000-0000-000031000000}"/>
  </cellStyles>
  <dxfs count="0"/>
  <tableStyles count="0" defaultTableStyle="TableStyleMedium9" defaultPivotStyle="PivotStyleMedium7"/>
  <colors>
    <mruColors>
      <color rgb="FFFF3F59"/>
      <color rgb="FFD2FFDE"/>
      <color rgb="FFD5FC79"/>
      <color rgb="FF8BC2FF"/>
      <color rgb="FF8AC1FF"/>
      <color rgb="FF8BC1FF"/>
      <color rgb="FF76D6FF"/>
      <color rgb="FF5BCFFF"/>
      <color rgb="FF468694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649111</xdr:colOff>
      <xdr:row>99</xdr:row>
      <xdr:rowOff>155222</xdr:rowOff>
    </xdr:from>
    <xdr:to>
      <xdr:col>12</xdr:col>
      <xdr:colOff>660400</xdr:colOff>
      <xdr:row>114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692CB-36D4-6F4C-A70A-9207784B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36333" y="29492222"/>
          <a:ext cx="7772400" cy="43831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Users/jorgerizo/Box%20Sync%20(WealthWise)/01%20FILE%20ELECTRONICO/27%20FAM%20COPPEL/04%20CALCULOS%20GENERALES/O:/Eguzman/HSalazar/2003/Fiscal/PROMOTUR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710%20Conciliaci&#243;n%20contable%20fiscal%20al%2031%20de%20diciembre%20de%20199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yuda"/>
      <sheetName val="Menú"/>
      <sheetName val="Deterefis"/>
      <sheetName val="Concil"/>
      <sheetName val="Edoresfiscont"/>
      <sheetName val="Deducción"/>
      <sheetName val="IngISR"/>
      <sheetName val="IngIVA"/>
      <sheetName val="Cpras"/>
      <sheetName val="Difeinvent"/>
      <sheetName val="CIC"/>
      <sheetName val="CICE"/>
      <sheetName val="CID"/>
      <sheetName val="CIDE"/>
      <sheetName val="IntsFavor"/>
      <sheetName val="IntsCargo"/>
      <sheetName val="No deducibles"/>
      <sheetName val="Pagoprov"/>
      <sheetName val="Reg_Bonos"/>
      <sheetName val="DepFisc"/>
      <sheetName val="Sheet19"/>
      <sheetName val="Hon"/>
      <sheetName val="Sheet22"/>
      <sheetName val="Anexo_31"/>
      <sheetName val="XREF"/>
      <sheetName val="Tickmarks"/>
      <sheetName val="Module2"/>
      <sheetName val="Module1"/>
      <sheetName val="Calculos I.S.R."/>
      <sheetName val="INPC"/>
      <sheetName val="Perdidas fiscales"/>
      <sheetName val="BALANZA  2006"/>
      <sheetName val="bm_gcons2008"/>
      <sheetName val="Links"/>
      <sheetName val="Worksheet in 8710 Conciliación "/>
      <sheetName val="Lead"/>
      <sheetName val="Pagos Provisionales IVA 2006"/>
      <sheetName val="ANALITICO"/>
      <sheetName val="TC USD 2011"/>
      <sheetName val="TIPO CAMBIO"/>
      <sheetName val="ENERO"/>
      <sheetName val="balance"/>
      <sheetName val="Perdidas_fiscales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dof.terra.com.mx/servicios/serie.asp?Folio=607&amp;An=2014" TargetMode="External"/><Relationship Id="rId2" Type="http://schemas.openxmlformats.org/officeDocument/2006/relationships/hyperlink" Target="http://dof.terra.com.mx/servicios/serie.asp?Folio=607&amp;An=2014" TargetMode="External"/><Relationship Id="rId1" Type="http://schemas.openxmlformats.org/officeDocument/2006/relationships/hyperlink" Target="https://dof.terra.com.mx/servicios/serie.asp?Folio=607&amp;An=2014" TargetMode="External"/><Relationship Id="rId4" Type="http://schemas.openxmlformats.org/officeDocument/2006/relationships/hyperlink" Target="http://dof.terra.com.mx/servicios/serie.asp?Folio=607&amp;An=2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G41"/>
  <sheetViews>
    <sheetView zoomScaleNormal="100" zoomScaleSheetLayoutView="90" workbookViewId="0">
      <selection activeCell="C8" sqref="C8:G8"/>
    </sheetView>
  </sheetViews>
  <sheetFormatPr defaultColWidth="10.796875" defaultRowHeight="22.05" customHeight="1"/>
  <cols>
    <col min="1" max="1" width="10.796875" style="41"/>
    <col min="2" max="2" width="14.19921875" style="41" customWidth="1"/>
    <col min="3" max="3" width="29.296875" style="41" customWidth="1"/>
    <col min="4" max="4" width="33.69921875" style="41" customWidth="1"/>
    <col min="5" max="7" width="23" style="41" customWidth="1"/>
    <col min="8" max="16384" width="10.796875" style="41"/>
  </cols>
  <sheetData>
    <row r="4" spans="2:7" ht="22.05" customHeight="1">
      <c r="B4" s="640" t="s">
        <v>0</v>
      </c>
      <c r="C4" s="640"/>
      <c r="D4" s="640"/>
      <c r="E4" s="640"/>
      <c r="F4" s="640"/>
      <c r="G4" s="640"/>
    </row>
    <row r="6" spans="2:7" ht="31.05" customHeight="1">
      <c r="B6" s="486" t="s">
        <v>1</v>
      </c>
      <c r="C6" s="641" t="s">
        <v>817</v>
      </c>
      <c r="D6" s="641"/>
      <c r="E6" s="641"/>
      <c r="F6" s="641"/>
      <c r="G6" s="641"/>
    </row>
    <row r="7" spans="2:7" ht="31.05" customHeight="1">
      <c r="B7" s="486" t="s">
        <v>2</v>
      </c>
      <c r="C7" s="641"/>
      <c r="D7" s="641"/>
      <c r="E7" s="641"/>
      <c r="F7" s="641"/>
      <c r="G7" s="641"/>
    </row>
    <row r="8" spans="2:7" ht="31.05" customHeight="1">
      <c r="B8" s="486" t="s">
        <v>3</v>
      </c>
      <c r="C8" s="641"/>
      <c r="D8" s="641"/>
      <c r="E8" s="641"/>
      <c r="F8" s="641"/>
      <c r="G8" s="641"/>
    </row>
    <row r="9" spans="2:7" ht="31.05" customHeight="1">
      <c r="B9" s="486" t="s">
        <v>4</v>
      </c>
      <c r="C9" s="642"/>
      <c r="D9" s="641"/>
      <c r="E9" s="641"/>
      <c r="F9" s="641"/>
      <c r="G9" s="641"/>
    </row>
    <row r="10" spans="2:7" ht="31.05" customHeight="1"/>
    <row r="15" spans="2:7" ht="31.95" customHeight="1">
      <c r="B15" s="42" t="s">
        <v>5</v>
      </c>
    </row>
    <row r="16" spans="2:7" ht="31.95" customHeight="1">
      <c r="B16" s="43" t="s">
        <v>6</v>
      </c>
      <c r="D16" s="44"/>
      <c r="E16" s="44"/>
      <c r="F16" s="44"/>
      <c r="G16" s="44"/>
    </row>
    <row r="17" spans="2:7" ht="31.95" customHeight="1">
      <c r="B17" s="43" t="s">
        <v>7</v>
      </c>
      <c r="D17" s="44"/>
      <c r="E17" s="44"/>
      <c r="F17" s="44"/>
      <c r="G17" s="44"/>
    </row>
    <row r="18" spans="2:7" ht="31.95" customHeight="1">
      <c r="B18" s="43" t="s">
        <v>8</v>
      </c>
      <c r="D18" s="43"/>
      <c r="E18" s="43"/>
      <c r="F18" s="43"/>
      <c r="G18" s="43"/>
    </row>
    <row r="19" spans="2:7" ht="31.95" customHeight="1">
      <c r="B19" s="193" t="s">
        <v>9</v>
      </c>
      <c r="D19" s="43"/>
      <c r="E19" s="43"/>
      <c r="F19" s="43"/>
      <c r="G19" s="43"/>
    </row>
    <row r="21" spans="2:7" ht="22.05" customHeight="1">
      <c r="B21" s="639" t="s">
        <v>10</v>
      </c>
      <c r="C21" s="639"/>
      <c r="D21" s="639"/>
      <c r="E21" s="639"/>
      <c r="F21" s="639"/>
      <c r="G21" s="639"/>
    </row>
    <row r="23" spans="2:7" ht="22.05" customHeight="1">
      <c r="B23" s="39">
        <v>1</v>
      </c>
      <c r="C23" s="39" t="s">
        <v>11</v>
      </c>
      <c r="D23" s="39" t="s">
        <v>12</v>
      </c>
      <c r="E23" s="39"/>
      <c r="F23" s="39"/>
      <c r="G23" s="39"/>
    </row>
    <row r="24" spans="2:7" ht="22.05" customHeight="1">
      <c r="B24" s="39">
        <v>2</v>
      </c>
      <c r="C24" s="39" t="s">
        <v>13</v>
      </c>
      <c r="D24" s="39" t="s">
        <v>14</v>
      </c>
      <c r="E24" s="39"/>
      <c r="F24" s="39"/>
      <c r="G24" s="39"/>
    </row>
    <row r="25" spans="2:7" ht="22.05" customHeight="1">
      <c r="B25" s="39">
        <v>3</v>
      </c>
      <c r="C25" s="39" t="s">
        <v>13</v>
      </c>
      <c r="D25" s="45" t="s">
        <v>815</v>
      </c>
      <c r="E25" s="39"/>
      <c r="F25" s="39"/>
      <c r="G25" s="39"/>
    </row>
    <row r="26" spans="2:7" ht="22.05" customHeight="1">
      <c r="B26" s="39">
        <v>4</v>
      </c>
      <c r="C26" s="39" t="s">
        <v>13</v>
      </c>
      <c r="D26" s="45" t="s">
        <v>15</v>
      </c>
      <c r="E26" s="39"/>
      <c r="F26" s="39"/>
      <c r="G26" s="39"/>
    </row>
    <row r="27" spans="2:7" ht="22.05" customHeight="1">
      <c r="B27" s="39">
        <v>5</v>
      </c>
      <c r="C27" s="39" t="s">
        <v>13</v>
      </c>
      <c r="D27" s="45" t="s">
        <v>16</v>
      </c>
      <c r="E27" s="39"/>
      <c r="F27" s="39"/>
      <c r="G27" s="39"/>
    </row>
    <row r="28" spans="2:7" ht="22.05" customHeight="1">
      <c r="B28" s="39">
        <v>6</v>
      </c>
      <c r="C28" s="39" t="s">
        <v>13</v>
      </c>
      <c r="D28" s="45" t="s">
        <v>17</v>
      </c>
      <c r="E28" s="39"/>
      <c r="F28" s="39"/>
      <c r="G28" s="39"/>
    </row>
    <row r="29" spans="2:7" ht="22.05" customHeight="1">
      <c r="B29" s="39">
        <v>7</v>
      </c>
      <c r="C29" s="39" t="s">
        <v>18</v>
      </c>
      <c r="D29" s="45" t="s">
        <v>816</v>
      </c>
      <c r="E29" s="39"/>
      <c r="F29" s="39"/>
      <c r="G29" s="39"/>
    </row>
    <row r="30" spans="2:7" ht="22.05" customHeight="1">
      <c r="B30" s="39">
        <v>8</v>
      </c>
      <c r="C30" s="39" t="s">
        <v>18</v>
      </c>
      <c r="D30" s="45" t="s">
        <v>19</v>
      </c>
      <c r="E30" s="39"/>
      <c r="F30" s="39"/>
      <c r="G30" s="39"/>
    </row>
    <row r="31" spans="2:7" ht="22.05" customHeight="1">
      <c r="B31" s="39">
        <v>9</v>
      </c>
      <c r="C31" s="39" t="s">
        <v>18</v>
      </c>
      <c r="D31" s="45" t="s">
        <v>20</v>
      </c>
      <c r="E31" s="39"/>
      <c r="F31" s="39"/>
      <c r="G31" s="39"/>
    </row>
    <row r="32" spans="2:7" ht="22.05" customHeight="1">
      <c r="B32" s="39">
        <v>10</v>
      </c>
      <c r="C32" s="39" t="s">
        <v>18</v>
      </c>
      <c r="D32" s="45" t="s">
        <v>21</v>
      </c>
      <c r="E32" s="39"/>
      <c r="F32" s="39"/>
      <c r="G32" s="39"/>
    </row>
    <row r="35" spans="2:7" ht="22.05" customHeight="1">
      <c r="B35" s="639" t="s">
        <v>22</v>
      </c>
      <c r="C35" s="639"/>
      <c r="D35" s="639"/>
      <c r="E35" s="639"/>
      <c r="F35" s="639"/>
      <c r="G35" s="639"/>
    </row>
    <row r="37" spans="2:7" ht="22.05" customHeight="1">
      <c r="B37" s="39"/>
      <c r="C37" s="46" t="s">
        <v>23</v>
      </c>
      <c r="D37" s="39" t="s">
        <v>24</v>
      </c>
      <c r="E37" s="39"/>
      <c r="F37" s="39"/>
      <c r="G37" s="39"/>
    </row>
    <row r="38" spans="2:7" ht="22.05" customHeight="1">
      <c r="B38" s="39">
        <v>1</v>
      </c>
      <c r="C38" s="39" t="s">
        <v>25</v>
      </c>
      <c r="D38" s="39"/>
      <c r="E38" s="39"/>
      <c r="F38" s="39"/>
      <c r="G38" s="39"/>
    </row>
    <row r="39" spans="2:7" ht="22.05" customHeight="1">
      <c r="B39" s="39">
        <v>2</v>
      </c>
      <c r="C39" s="39" t="s">
        <v>26</v>
      </c>
      <c r="D39" s="39"/>
      <c r="E39" s="39"/>
      <c r="F39" s="39"/>
      <c r="G39" s="39"/>
    </row>
    <row r="40" spans="2:7" ht="22.05" customHeight="1">
      <c r="B40" s="39">
        <v>3</v>
      </c>
      <c r="C40" s="39" t="s">
        <v>23</v>
      </c>
      <c r="D40" s="39"/>
      <c r="E40" s="39"/>
      <c r="F40" s="39"/>
      <c r="G40" s="39"/>
    </row>
    <row r="41" spans="2:7" ht="22.05" customHeight="1">
      <c r="B41" s="39">
        <v>4</v>
      </c>
      <c r="C41" s="39" t="s">
        <v>27</v>
      </c>
      <c r="D41" s="39"/>
      <c r="E41" s="39"/>
      <c r="F41" s="39"/>
      <c r="G41" s="39"/>
    </row>
  </sheetData>
  <mergeCells count="7">
    <mergeCell ref="B35:G35"/>
    <mergeCell ref="B21:G21"/>
    <mergeCell ref="B4:G4"/>
    <mergeCell ref="C6:G6"/>
    <mergeCell ref="C7:G7"/>
    <mergeCell ref="C8:G8"/>
    <mergeCell ref="C9:G9"/>
  </mergeCells>
  <phoneticPr fontId="7" type="noConversion"/>
  <dataValidations count="1">
    <dataValidation type="list" errorStyle="warning" allowBlank="1" showInputMessage="1" showErrorMessage="1" promptTitle="Selección" prompt="Selecciona una opción" sqref="C37" xr:uid="{BB96F630-8896-E645-ADDC-81F9972230E3}">
      <formula1>$C$38:$C$41</formula1>
    </dataValidation>
  </dataValidations>
  <printOptions horizontalCentered="1"/>
  <pageMargins left="0.7" right="0.7" top="0.75" bottom="0.75" header="0.3" footer="0.3"/>
  <pageSetup scale="5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260"/>
  <sheetViews>
    <sheetView showGridLines="0" topLeftCell="A254" zoomScale="110" zoomScaleNormal="110" zoomScaleSheetLayoutView="100" zoomScalePageLayoutView="90" workbookViewId="0">
      <selection activeCell="E30" sqref="E30"/>
    </sheetView>
  </sheetViews>
  <sheetFormatPr defaultColWidth="10.796875" defaultRowHeight="19.2"/>
  <cols>
    <col min="1" max="1" width="10.796875" style="41"/>
    <col min="2" max="2" width="18.69921875" style="41" customWidth="1"/>
    <col min="3" max="3" width="22.69921875" style="41" customWidth="1"/>
    <col min="4" max="4" width="25" style="41" customWidth="1"/>
    <col min="5" max="5" width="19.69921875" style="41" customWidth="1"/>
    <col min="6" max="6" width="3.5" style="41" customWidth="1"/>
    <col min="7" max="8" width="30.5" style="41" customWidth="1"/>
    <col min="9" max="9" width="2.796875" style="41" customWidth="1"/>
    <col min="10" max="11" width="27.19921875" style="41" customWidth="1"/>
    <col min="12" max="13" width="26" style="41" customWidth="1"/>
    <col min="14" max="14" width="23.19921875" style="41" customWidth="1"/>
    <col min="15" max="15" width="20.5" style="41" customWidth="1"/>
    <col min="16" max="16384" width="10.796875" style="41"/>
  </cols>
  <sheetData>
    <row r="2" spans="2:11" ht="24.6">
      <c r="B2" s="640" t="str">
        <f>Datos!C6</f>
        <v>NOMBRE EN MAYUSCULAS</v>
      </c>
      <c r="C2" s="640"/>
      <c r="D2" s="640"/>
      <c r="E2" s="640"/>
      <c r="F2" s="640"/>
      <c r="G2" s="640"/>
      <c r="H2" s="640"/>
      <c r="I2" s="640"/>
      <c r="J2" s="640"/>
      <c r="K2" s="640"/>
    </row>
    <row r="3" spans="2:11" ht="18.75" customHeight="1">
      <c r="B3" s="652" t="s">
        <v>301</v>
      </c>
      <c r="C3" s="652"/>
      <c r="D3" s="652"/>
      <c r="E3" s="652"/>
      <c r="F3" s="652"/>
      <c r="G3" s="652"/>
      <c r="H3" s="652"/>
      <c r="I3" s="652"/>
      <c r="J3" s="652"/>
      <c r="K3" s="652"/>
    </row>
    <row r="4" spans="2:11" ht="20.399999999999999">
      <c r="B4" s="653" t="s">
        <v>302</v>
      </c>
      <c r="C4" s="653"/>
      <c r="D4" s="653"/>
      <c r="E4" s="653"/>
      <c r="F4" s="653"/>
      <c r="G4" s="653"/>
      <c r="H4" s="653"/>
      <c r="I4" s="653"/>
      <c r="J4" s="653"/>
      <c r="K4" s="653"/>
    </row>
    <row r="5" spans="2:11">
      <c r="B5" s="158"/>
      <c r="C5" s="158"/>
      <c r="D5" s="158"/>
      <c r="E5" s="158"/>
      <c r="F5" s="158"/>
      <c r="G5" s="158"/>
      <c r="H5" s="158"/>
      <c r="I5" s="158"/>
      <c r="J5" s="158"/>
      <c r="K5" s="158"/>
    </row>
    <row r="6" spans="2:11" ht="21" customHeight="1">
      <c r="C6" s="658" t="s">
        <v>223</v>
      </c>
      <c r="D6" s="658"/>
      <c r="E6" s="658"/>
      <c r="F6" s="95"/>
      <c r="G6" s="658" t="s">
        <v>303</v>
      </c>
      <c r="H6" s="658"/>
      <c r="I6" s="95"/>
      <c r="J6" s="658" t="s">
        <v>304</v>
      </c>
      <c r="K6" s="658"/>
    </row>
    <row r="7" spans="2:11" ht="21" customHeight="1">
      <c r="B7" s="95" t="s">
        <v>192</v>
      </c>
      <c r="C7" s="95" t="s">
        <v>227</v>
      </c>
      <c r="D7" s="95" t="s">
        <v>228</v>
      </c>
      <c r="E7" s="95" t="s">
        <v>213</v>
      </c>
      <c r="F7" s="95"/>
      <c r="G7" s="95" t="s">
        <v>280</v>
      </c>
      <c r="H7" s="95" t="s">
        <v>229</v>
      </c>
      <c r="I7" s="95"/>
      <c r="J7" s="95" t="s">
        <v>228</v>
      </c>
      <c r="K7" s="95" t="s">
        <v>229</v>
      </c>
    </row>
    <row r="8" spans="2:11" ht="22.05" customHeight="1">
      <c r="B8" s="307" t="s">
        <v>232</v>
      </c>
      <c r="C8" s="308">
        <f t="shared" ref="C8:D19" si="0">+C55+C73+C92+C110+C133+C151+C169+C187+C211+C229+C247</f>
        <v>0</v>
      </c>
      <c r="D8" s="308">
        <f t="shared" si="0"/>
        <v>0</v>
      </c>
      <c r="E8" s="308">
        <f t="shared" ref="E8:E19" si="1">+C8+D8</f>
        <v>0</v>
      </c>
      <c r="F8" s="104"/>
      <c r="G8" s="308">
        <f t="shared" ref="G8:H19" si="2">+G55+G73+G92+G110+G133+G151+G169+G187+G211+G229+G247</f>
        <v>0</v>
      </c>
      <c r="H8" s="308">
        <f t="shared" si="2"/>
        <v>0</v>
      </c>
      <c r="I8" s="104"/>
      <c r="J8" s="571"/>
      <c r="K8" s="571"/>
    </row>
    <row r="9" spans="2:11" ht="22.05" customHeight="1">
      <c r="B9" s="307" t="s">
        <v>235</v>
      </c>
      <c r="C9" s="308">
        <f t="shared" si="0"/>
        <v>0</v>
      </c>
      <c r="D9" s="308">
        <f t="shared" si="0"/>
        <v>0</v>
      </c>
      <c r="E9" s="308">
        <f t="shared" si="1"/>
        <v>0</v>
      </c>
      <c r="F9" s="104"/>
      <c r="G9" s="308">
        <f t="shared" si="2"/>
        <v>0</v>
      </c>
      <c r="H9" s="308">
        <f t="shared" si="2"/>
        <v>0</v>
      </c>
      <c r="I9" s="104"/>
      <c r="J9" s="571"/>
      <c r="K9" s="571"/>
    </row>
    <row r="10" spans="2:11" ht="22.05" customHeight="1">
      <c r="B10" s="307" t="s">
        <v>238</v>
      </c>
      <c r="C10" s="308">
        <f t="shared" si="0"/>
        <v>0</v>
      </c>
      <c r="D10" s="308">
        <f t="shared" si="0"/>
        <v>0</v>
      </c>
      <c r="E10" s="308">
        <f t="shared" si="1"/>
        <v>0</v>
      </c>
      <c r="F10" s="104"/>
      <c r="G10" s="308">
        <f t="shared" si="2"/>
        <v>0</v>
      </c>
      <c r="H10" s="308">
        <f t="shared" si="2"/>
        <v>0</v>
      </c>
      <c r="I10" s="104"/>
      <c r="J10" s="571"/>
      <c r="K10" s="571"/>
    </row>
    <row r="11" spans="2:11" ht="22.05" customHeight="1">
      <c r="B11" s="307" t="s">
        <v>241</v>
      </c>
      <c r="C11" s="308">
        <f t="shared" si="0"/>
        <v>0</v>
      </c>
      <c r="D11" s="308">
        <f t="shared" si="0"/>
        <v>0</v>
      </c>
      <c r="E11" s="308">
        <f t="shared" si="1"/>
        <v>0</v>
      </c>
      <c r="F11" s="104"/>
      <c r="G11" s="308">
        <f t="shared" si="2"/>
        <v>0</v>
      </c>
      <c r="H11" s="308">
        <f t="shared" si="2"/>
        <v>0</v>
      </c>
      <c r="I11" s="104"/>
      <c r="J11" s="571"/>
      <c r="K11" s="571"/>
    </row>
    <row r="12" spans="2:11" ht="22.05" customHeight="1">
      <c r="B12" s="307" t="s">
        <v>244</v>
      </c>
      <c r="C12" s="308">
        <f t="shared" si="0"/>
        <v>0</v>
      </c>
      <c r="D12" s="308">
        <f t="shared" si="0"/>
        <v>0</v>
      </c>
      <c r="E12" s="308">
        <f t="shared" si="1"/>
        <v>0</v>
      </c>
      <c r="F12" s="104"/>
      <c r="G12" s="308">
        <f t="shared" si="2"/>
        <v>0</v>
      </c>
      <c r="H12" s="308">
        <f t="shared" si="2"/>
        <v>0</v>
      </c>
      <c r="I12" s="104"/>
      <c r="J12" s="571"/>
      <c r="K12" s="571"/>
    </row>
    <row r="13" spans="2:11" ht="22.05" customHeight="1">
      <c r="B13" s="307" t="s">
        <v>246</v>
      </c>
      <c r="C13" s="308">
        <f t="shared" si="0"/>
        <v>0</v>
      </c>
      <c r="D13" s="308">
        <f t="shared" si="0"/>
        <v>0</v>
      </c>
      <c r="E13" s="308">
        <f t="shared" si="1"/>
        <v>0</v>
      </c>
      <c r="F13" s="104"/>
      <c r="G13" s="308">
        <f t="shared" si="2"/>
        <v>0</v>
      </c>
      <c r="H13" s="308">
        <f t="shared" si="2"/>
        <v>0</v>
      </c>
      <c r="I13" s="104"/>
      <c r="J13" s="571"/>
      <c r="K13" s="571"/>
    </row>
    <row r="14" spans="2:11" ht="22.05" customHeight="1">
      <c r="B14" s="307" t="s">
        <v>249</v>
      </c>
      <c r="C14" s="308">
        <f t="shared" si="0"/>
        <v>0</v>
      </c>
      <c r="D14" s="308">
        <f t="shared" si="0"/>
        <v>0</v>
      </c>
      <c r="E14" s="308">
        <f t="shared" si="1"/>
        <v>0</v>
      </c>
      <c r="F14" s="104"/>
      <c r="G14" s="308">
        <f t="shared" si="2"/>
        <v>0</v>
      </c>
      <c r="H14" s="308">
        <f t="shared" si="2"/>
        <v>0</v>
      </c>
      <c r="I14" s="104"/>
      <c r="J14" s="571"/>
      <c r="K14" s="571"/>
    </row>
    <row r="15" spans="2:11" ht="22.05" customHeight="1">
      <c r="B15" s="307" t="s">
        <v>252</v>
      </c>
      <c r="C15" s="308">
        <f t="shared" si="0"/>
        <v>0</v>
      </c>
      <c r="D15" s="308">
        <f t="shared" si="0"/>
        <v>0</v>
      </c>
      <c r="E15" s="308">
        <f t="shared" si="1"/>
        <v>0</v>
      </c>
      <c r="F15" s="104"/>
      <c r="G15" s="308">
        <f t="shared" si="2"/>
        <v>0</v>
      </c>
      <c r="H15" s="308">
        <f t="shared" si="2"/>
        <v>0</v>
      </c>
      <c r="I15" s="104"/>
      <c r="J15" s="571"/>
      <c r="K15" s="571"/>
    </row>
    <row r="16" spans="2:11" ht="22.05" customHeight="1">
      <c r="B16" s="307" t="s">
        <v>255</v>
      </c>
      <c r="C16" s="308">
        <f t="shared" si="0"/>
        <v>0</v>
      </c>
      <c r="D16" s="308">
        <f t="shared" si="0"/>
        <v>0</v>
      </c>
      <c r="E16" s="308">
        <f t="shared" si="1"/>
        <v>0</v>
      </c>
      <c r="F16" s="104"/>
      <c r="G16" s="308">
        <f t="shared" si="2"/>
        <v>0</v>
      </c>
      <c r="H16" s="308">
        <f t="shared" si="2"/>
        <v>0</v>
      </c>
      <c r="I16" s="104"/>
      <c r="J16" s="571"/>
      <c r="K16" s="571"/>
    </row>
    <row r="17" spans="2:11" ht="22.05" customHeight="1">
      <c r="B17" s="307" t="s">
        <v>258</v>
      </c>
      <c r="C17" s="308">
        <f t="shared" si="0"/>
        <v>0</v>
      </c>
      <c r="D17" s="308">
        <f t="shared" si="0"/>
        <v>0</v>
      </c>
      <c r="E17" s="308">
        <f t="shared" si="1"/>
        <v>0</v>
      </c>
      <c r="F17" s="104"/>
      <c r="G17" s="308">
        <f t="shared" si="2"/>
        <v>0</v>
      </c>
      <c r="H17" s="308">
        <f t="shared" si="2"/>
        <v>0</v>
      </c>
      <c r="I17" s="104"/>
      <c r="J17" s="571"/>
      <c r="K17" s="571"/>
    </row>
    <row r="18" spans="2:11" ht="22.05" customHeight="1">
      <c r="B18" s="307" t="s">
        <v>261</v>
      </c>
      <c r="C18" s="308">
        <f t="shared" si="0"/>
        <v>0</v>
      </c>
      <c r="D18" s="308">
        <f t="shared" si="0"/>
        <v>0</v>
      </c>
      <c r="E18" s="308">
        <f t="shared" si="1"/>
        <v>0</v>
      </c>
      <c r="F18" s="104"/>
      <c r="G18" s="308">
        <f t="shared" si="2"/>
        <v>0</v>
      </c>
      <c r="H18" s="308">
        <f t="shared" si="2"/>
        <v>0</v>
      </c>
      <c r="I18" s="104"/>
      <c r="J18" s="571"/>
      <c r="K18" s="571"/>
    </row>
    <row r="19" spans="2:11" ht="22.05" customHeight="1">
      <c r="B19" s="307" t="s">
        <v>264</v>
      </c>
      <c r="C19" s="308">
        <f t="shared" si="0"/>
        <v>0</v>
      </c>
      <c r="D19" s="308">
        <f t="shared" si="0"/>
        <v>0</v>
      </c>
      <c r="E19" s="308">
        <f t="shared" si="1"/>
        <v>0</v>
      </c>
      <c r="F19" s="104"/>
      <c r="G19" s="308">
        <f t="shared" si="2"/>
        <v>0</v>
      </c>
      <c r="H19" s="308">
        <f t="shared" si="2"/>
        <v>0</v>
      </c>
      <c r="I19" s="104"/>
      <c r="J19" s="571"/>
      <c r="K19" s="571"/>
    </row>
    <row r="20" spans="2:11" ht="21" customHeight="1">
      <c r="B20" s="305" t="s">
        <v>213</v>
      </c>
      <c r="C20" s="306">
        <f>+SUM(C8:C19)</f>
        <v>0</v>
      </c>
      <c r="D20" s="306">
        <f>+SUM(D8:D19)</f>
        <v>0</v>
      </c>
      <c r="E20" s="306">
        <f>+SUM(E8:E19)</f>
        <v>0</v>
      </c>
      <c r="F20" s="104"/>
      <c r="G20" s="306">
        <f>+SUM(G8:G19)</f>
        <v>0</v>
      </c>
      <c r="H20" s="306">
        <f>+SUM(H8:H19)</f>
        <v>0</v>
      </c>
      <c r="I20" s="104"/>
      <c r="J20" s="306">
        <f>+SUM(J8:J19)</f>
        <v>0</v>
      </c>
      <c r="K20" s="306">
        <f>+SUM(K8:K19)</f>
        <v>0</v>
      </c>
    </row>
    <row r="23" spans="2:11" ht="22.05" customHeight="1"/>
    <row r="24" spans="2:11" ht="22.05" customHeight="1">
      <c r="B24" s="661" t="s">
        <v>305</v>
      </c>
      <c r="C24" s="661"/>
      <c r="D24" s="661"/>
      <c r="G24" s="667" t="s">
        <v>306</v>
      </c>
      <c r="H24" s="667"/>
    </row>
    <row r="25" spans="2:11" ht="22.05" customHeight="1">
      <c r="B25" s="666" t="s">
        <v>307</v>
      </c>
      <c r="C25" s="666"/>
      <c r="D25" s="309">
        <f>C20</f>
        <v>0</v>
      </c>
      <c r="G25" s="319" t="s">
        <v>307</v>
      </c>
      <c r="H25" s="558">
        <f>+D25</f>
        <v>0</v>
      </c>
    </row>
    <row r="26" spans="2:11" ht="22.05" customHeight="1">
      <c r="B26" s="666" t="s">
        <v>308</v>
      </c>
      <c r="C26" s="666"/>
      <c r="D26" s="310">
        <v>0.35</v>
      </c>
      <c r="G26" s="319" t="s">
        <v>308</v>
      </c>
      <c r="H26" s="559">
        <v>0</v>
      </c>
    </row>
    <row r="27" spans="2:11" ht="22.05" customHeight="1">
      <c r="B27" s="664" t="s">
        <v>309</v>
      </c>
      <c r="C27" s="664"/>
      <c r="D27" s="311">
        <f>D25*D26</f>
        <v>0</v>
      </c>
      <c r="G27" s="316" t="s">
        <v>310</v>
      </c>
      <c r="H27" s="560">
        <f>+J67+J85+J104+J122+J145+J163+J181+J199+J223+J241+J259</f>
        <v>0</v>
      </c>
      <c r="J27" s="561"/>
    </row>
    <row r="28" spans="2:11" ht="22.05" customHeight="1">
      <c r="B28" s="666" t="s">
        <v>311</v>
      </c>
      <c r="C28" s="666"/>
      <c r="D28" s="309">
        <f>O68</f>
        <v>0</v>
      </c>
      <c r="G28" s="319" t="s">
        <v>312</v>
      </c>
      <c r="H28" s="562">
        <v>0</v>
      </c>
    </row>
    <row r="29" spans="2:11" ht="22.05" customHeight="1">
      <c r="B29" s="664" t="s">
        <v>313</v>
      </c>
      <c r="C29" s="664"/>
      <c r="D29" s="311">
        <f>+D27+D28</f>
        <v>0</v>
      </c>
      <c r="G29" s="316" t="s">
        <v>313</v>
      </c>
      <c r="H29" s="560">
        <f>+H27+H28</f>
        <v>0</v>
      </c>
    </row>
    <row r="30" spans="2:11" ht="22.05" customHeight="1">
      <c r="B30" s="665" t="s">
        <v>314</v>
      </c>
      <c r="C30" s="665"/>
      <c r="D30" s="312">
        <f>+D25-D29</f>
        <v>0</v>
      </c>
      <c r="E30" s="564" t="str">
        <f>+IF(D30&gt;H30,"&gt;","&lt;")</f>
        <v>&lt;</v>
      </c>
      <c r="G30" s="334" t="s">
        <v>315</v>
      </c>
      <c r="H30" s="563">
        <f>+H25-H29</f>
        <v>0</v>
      </c>
    </row>
    <row r="31" spans="2:11" ht="22.05" customHeight="1"/>
    <row r="32" spans="2:11">
      <c r="G32" s="41" t="s">
        <v>316</v>
      </c>
    </row>
    <row r="33" spans="2:7" ht="22.05" customHeight="1">
      <c r="B33" s="614" t="s">
        <v>317</v>
      </c>
      <c r="C33" s="614"/>
      <c r="D33" s="614"/>
      <c r="E33" s="614"/>
      <c r="F33" s="614"/>
      <c r="G33" s="614"/>
    </row>
    <row r="34" spans="2:7" ht="13.05" customHeight="1">
      <c r="B34" s="158"/>
      <c r="C34" s="158"/>
      <c r="D34" s="158"/>
      <c r="E34" s="158"/>
      <c r="F34" s="158"/>
      <c r="G34" s="158"/>
    </row>
    <row r="35" spans="2:7" ht="34.950000000000003" customHeight="1">
      <c r="B35" s="128" t="s">
        <v>318</v>
      </c>
      <c r="C35" s="95" t="s">
        <v>191</v>
      </c>
      <c r="D35" s="95" t="s">
        <v>319</v>
      </c>
      <c r="E35" s="128" t="s">
        <v>320</v>
      </c>
      <c r="F35" s="95"/>
      <c r="G35" s="95" t="s">
        <v>321</v>
      </c>
    </row>
    <row r="36" spans="2:7">
      <c r="B36" s="15"/>
      <c r="C36" s="15"/>
      <c r="G36" s="15"/>
    </row>
    <row r="37" spans="2:7" ht="21" customHeight="1">
      <c r="B37" s="313" t="s">
        <v>199</v>
      </c>
      <c r="C37" s="569"/>
      <c r="D37" s="570"/>
      <c r="E37" s="570"/>
      <c r="F37" s="103"/>
      <c r="G37" s="578"/>
    </row>
    <row r="38" spans="2:7" ht="21" hidden="1" customHeight="1">
      <c r="B38" s="313" t="s">
        <v>200</v>
      </c>
      <c r="C38" s="569"/>
      <c r="D38" s="570"/>
      <c r="E38" s="570"/>
      <c r="F38" s="103"/>
      <c r="G38" s="578"/>
    </row>
    <row r="39" spans="2:7" ht="21" hidden="1" customHeight="1">
      <c r="B39" s="313" t="s">
        <v>201</v>
      </c>
      <c r="C39" s="569"/>
      <c r="D39" s="570"/>
      <c r="E39" s="570"/>
      <c r="F39" s="103"/>
      <c r="G39" s="578"/>
    </row>
    <row r="40" spans="2:7" ht="21" hidden="1" customHeight="1">
      <c r="B40" s="314" t="s">
        <v>202</v>
      </c>
      <c r="C40" s="569"/>
      <c r="D40" s="570"/>
      <c r="E40" s="570"/>
      <c r="F40" s="103"/>
      <c r="G40" s="578"/>
    </row>
    <row r="41" spans="2:7" ht="21" customHeight="1">
      <c r="B41" s="315" t="s">
        <v>322</v>
      </c>
      <c r="C41" s="316"/>
      <c r="D41" s="317">
        <f>SUM(D37:D40)</f>
        <v>0</v>
      </c>
      <c r="E41" s="317">
        <f>SUM(E37:E40)</f>
        <v>0</v>
      </c>
      <c r="F41" s="84"/>
      <c r="G41" s="318">
        <f>SUM(G37:G40)</f>
        <v>0</v>
      </c>
    </row>
    <row r="42" spans="2:7">
      <c r="D42" s="92"/>
      <c r="E42" s="92"/>
      <c r="F42" s="83"/>
      <c r="G42" s="92"/>
    </row>
    <row r="43" spans="2:7">
      <c r="D43" s="92"/>
      <c r="E43" s="92"/>
      <c r="F43" s="83"/>
      <c r="G43" s="92"/>
    </row>
    <row r="44" spans="2:7" ht="22.05" customHeight="1">
      <c r="B44" s="334"/>
      <c r="C44" s="334"/>
      <c r="D44" s="619" t="s">
        <v>323</v>
      </c>
      <c r="E44" s="312">
        <f>+E41+IF(D30&lt;H30,D30,H30)</f>
        <v>0</v>
      </c>
      <c r="F44" s="83"/>
      <c r="G44" s="92"/>
    </row>
    <row r="49" spans="2:15" ht="21" customHeight="1">
      <c r="B49" s="662" t="str">
        <f>+B2</f>
        <v>NOMBRE EN MAYUSCULAS</v>
      </c>
      <c r="C49" s="662"/>
      <c r="D49" s="662"/>
      <c r="E49" s="662"/>
      <c r="F49" s="662"/>
      <c r="G49" s="662"/>
      <c r="H49" s="662"/>
      <c r="I49" s="154"/>
      <c r="J49" s="67"/>
      <c r="K49" s="67"/>
      <c r="L49" s="662" t="str">
        <f>B49</f>
        <v>NOMBRE EN MAYUSCULAS</v>
      </c>
      <c r="M49" s="662"/>
      <c r="N49" s="662"/>
      <c r="O49" s="662"/>
    </row>
    <row r="50" spans="2:15" ht="39" customHeight="1">
      <c r="B50" s="663" t="s">
        <v>301</v>
      </c>
      <c r="C50" s="663"/>
      <c r="D50" s="663"/>
      <c r="E50" s="663"/>
      <c r="F50" s="663"/>
      <c r="G50" s="663"/>
      <c r="H50" s="663"/>
      <c r="I50" s="154"/>
      <c r="J50" s="67"/>
      <c r="K50" s="67"/>
      <c r="L50" s="663" t="str">
        <f>B50</f>
        <v>CAPÍTULO III - "DE LOS INGRESOS POR ARRENDAMIENTO Y EN GENERAL POR OTORGAR EL USO O GOCE TEMPORAL DE BIENES INMUEBLES"</v>
      </c>
      <c r="M50" s="663"/>
      <c r="N50" s="663"/>
      <c r="O50" s="663"/>
    </row>
    <row r="51" spans="2:15" ht="21" customHeight="1"/>
    <row r="52" spans="2:15" ht="21" customHeight="1">
      <c r="B52" s="105" t="s">
        <v>324</v>
      </c>
      <c r="C52" s="581" t="s">
        <v>199</v>
      </c>
      <c r="D52" s="43"/>
      <c r="E52" s="43"/>
      <c r="F52" s="43"/>
      <c r="G52" s="43"/>
      <c r="H52" s="43"/>
      <c r="I52" s="43"/>
      <c r="L52" s="43" t="s">
        <v>325</v>
      </c>
    </row>
    <row r="53" spans="2:15" ht="21" customHeight="1">
      <c r="B53" s="105" t="s">
        <v>326</v>
      </c>
      <c r="C53" s="582"/>
      <c r="D53" s="43"/>
      <c r="E53" s="43"/>
      <c r="F53" s="43"/>
      <c r="G53" s="43"/>
      <c r="H53" s="43"/>
      <c r="I53" s="43"/>
      <c r="M53" s="43"/>
      <c r="N53" s="43"/>
      <c r="O53" s="43"/>
    </row>
    <row r="54" spans="2:15" ht="21" customHeight="1">
      <c r="B54" s="95" t="s">
        <v>192</v>
      </c>
      <c r="C54" s="95" t="s">
        <v>227</v>
      </c>
      <c r="D54" s="95" t="s">
        <v>228</v>
      </c>
      <c r="E54" s="95" t="s">
        <v>327</v>
      </c>
      <c r="F54" s="95"/>
      <c r="G54" s="95" t="s">
        <v>328</v>
      </c>
      <c r="H54" s="95" t="s">
        <v>329</v>
      </c>
      <c r="I54" s="95"/>
      <c r="J54" s="95" t="s">
        <v>330</v>
      </c>
      <c r="L54" s="95" t="s">
        <v>331</v>
      </c>
      <c r="M54" s="95" t="s">
        <v>332</v>
      </c>
      <c r="N54" s="95" t="s">
        <v>333</v>
      </c>
      <c r="O54" s="95" t="s">
        <v>334</v>
      </c>
    </row>
    <row r="55" spans="2:15" ht="21" customHeight="1">
      <c r="B55" s="319" t="s">
        <v>232</v>
      </c>
      <c r="C55" s="570"/>
      <c r="D55" s="308">
        <f t="shared" ref="D55:D66" si="3">+C55*0.16</f>
        <v>0</v>
      </c>
      <c r="E55" s="308">
        <f>+C55+D55</f>
        <v>0</v>
      </c>
      <c r="F55" s="308"/>
      <c r="G55" s="308">
        <f>(D55/3)*2</f>
        <v>0</v>
      </c>
      <c r="H55" s="308">
        <f t="shared" ref="H55:H66" si="4">+C55*0.1</f>
        <v>0</v>
      </c>
      <c r="I55" s="104"/>
      <c r="J55" s="308">
        <v>0</v>
      </c>
      <c r="L55" s="579" t="s">
        <v>199</v>
      </c>
      <c r="M55" s="580"/>
      <c r="N55" s="580"/>
      <c r="O55" s="309">
        <f>+M55-N55</f>
        <v>0</v>
      </c>
    </row>
    <row r="56" spans="2:15" ht="21" customHeight="1">
      <c r="B56" s="319" t="s">
        <v>235</v>
      </c>
      <c r="C56" s="570"/>
      <c r="D56" s="308">
        <f t="shared" si="3"/>
        <v>0</v>
      </c>
      <c r="E56" s="308">
        <f t="shared" ref="E56:E66" si="5">+C56+D56</f>
        <v>0</v>
      </c>
      <c r="F56" s="308"/>
      <c r="G56" s="308">
        <f t="shared" ref="G56:G66" si="6">(D56/3)*2</f>
        <v>0</v>
      </c>
      <c r="H56" s="308">
        <f t="shared" si="4"/>
        <v>0</v>
      </c>
      <c r="I56" s="104"/>
      <c r="J56" s="308">
        <v>0</v>
      </c>
      <c r="L56" s="579" t="s">
        <v>200</v>
      </c>
      <c r="M56" s="574"/>
      <c r="N56" s="574"/>
      <c r="O56" s="309">
        <f>+M56-N56</f>
        <v>0</v>
      </c>
    </row>
    <row r="57" spans="2:15" ht="21" customHeight="1">
      <c r="B57" s="319" t="s">
        <v>238</v>
      </c>
      <c r="C57" s="570"/>
      <c r="D57" s="308">
        <f t="shared" si="3"/>
        <v>0</v>
      </c>
      <c r="E57" s="308">
        <f t="shared" si="5"/>
        <v>0</v>
      </c>
      <c r="F57" s="308"/>
      <c r="G57" s="308">
        <f t="shared" si="6"/>
        <v>0</v>
      </c>
      <c r="H57" s="308">
        <f t="shared" si="4"/>
        <v>0</v>
      </c>
      <c r="I57" s="104"/>
      <c r="J57" s="308">
        <v>0</v>
      </c>
      <c r="L57" s="579" t="s">
        <v>201</v>
      </c>
      <c r="M57" s="574"/>
      <c r="N57" s="574"/>
      <c r="O57" s="309">
        <f>+M57-N57</f>
        <v>0</v>
      </c>
    </row>
    <row r="58" spans="2:15" ht="21" customHeight="1">
      <c r="B58" s="319" t="s">
        <v>241</v>
      </c>
      <c r="C58" s="570"/>
      <c r="D58" s="308">
        <f t="shared" si="3"/>
        <v>0</v>
      </c>
      <c r="E58" s="308">
        <f t="shared" si="5"/>
        <v>0</v>
      </c>
      <c r="F58" s="308"/>
      <c r="G58" s="308">
        <f t="shared" si="6"/>
        <v>0</v>
      </c>
      <c r="H58" s="308">
        <f t="shared" si="4"/>
        <v>0</v>
      </c>
      <c r="I58" s="104"/>
      <c r="J58" s="308">
        <v>0</v>
      </c>
      <c r="L58" s="579" t="s">
        <v>202</v>
      </c>
      <c r="M58" s="574"/>
      <c r="N58" s="574"/>
      <c r="O58" s="309">
        <f>+M58-N58</f>
        <v>0</v>
      </c>
    </row>
    <row r="59" spans="2:15" ht="21" customHeight="1">
      <c r="B59" s="319" t="s">
        <v>244</v>
      </c>
      <c r="C59" s="570"/>
      <c r="D59" s="308">
        <f t="shared" si="3"/>
        <v>0</v>
      </c>
      <c r="E59" s="308">
        <f t="shared" si="5"/>
        <v>0</v>
      </c>
      <c r="F59" s="308"/>
      <c r="G59" s="308">
        <f t="shared" si="6"/>
        <v>0</v>
      </c>
      <c r="H59" s="308">
        <f t="shared" si="4"/>
        <v>0</v>
      </c>
      <c r="I59" s="104"/>
      <c r="J59" s="308">
        <v>0</v>
      </c>
      <c r="L59" s="579" t="s">
        <v>203</v>
      </c>
      <c r="M59" s="574"/>
      <c r="N59" s="574"/>
      <c r="O59" s="309">
        <f>+M59-N59</f>
        <v>0</v>
      </c>
    </row>
    <row r="60" spans="2:15" ht="21" customHeight="1">
      <c r="B60" s="319" t="s">
        <v>246</v>
      </c>
      <c r="C60" s="570"/>
      <c r="D60" s="308">
        <f t="shared" si="3"/>
        <v>0</v>
      </c>
      <c r="E60" s="308">
        <f t="shared" si="5"/>
        <v>0</v>
      </c>
      <c r="F60" s="308"/>
      <c r="G60" s="308">
        <f t="shared" si="6"/>
        <v>0</v>
      </c>
      <c r="H60" s="308">
        <f t="shared" si="4"/>
        <v>0</v>
      </c>
      <c r="I60" s="104"/>
      <c r="J60" s="308">
        <v>0</v>
      </c>
      <c r="L60" s="579" t="s">
        <v>204</v>
      </c>
      <c r="M60" s="575"/>
      <c r="N60" s="575"/>
      <c r="O60" s="309">
        <f t="shared" ref="O60:O67" si="7">+M60-N60</f>
        <v>0</v>
      </c>
    </row>
    <row r="61" spans="2:15" ht="21" customHeight="1">
      <c r="B61" s="319" t="s">
        <v>249</v>
      </c>
      <c r="C61" s="570"/>
      <c r="D61" s="308">
        <f t="shared" si="3"/>
        <v>0</v>
      </c>
      <c r="E61" s="308">
        <f t="shared" si="5"/>
        <v>0</v>
      </c>
      <c r="F61" s="308"/>
      <c r="G61" s="308">
        <f t="shared" si="6"/>
        <v>0</v>
      </c>
      <c r="H61" s="308">
        <f t="shared" si="4"/>
        <v>0</v>
      </c>
      <c r="I61" s="104"/>
      <c r="J61" s="308">
        <v>0</v>
      </c>
      <c r="L61" s="579" t="s">
        <v>205</v>
      </c>
      <c r="M61" s="580"/>
      <c r="N61" s="580"/>
      <c r="O61" s="309">
        <f t="shared" si="7"/>
        <v>0</v>
      </c>
    </row>
    <row r="62" spans="2:15" ht="21" customHeight="1">
      <c r="B62" s="319" t="s">
        <v>252</v>
      </c>
      <c r="C62" s="570"/>
      <c r="D62" s="308">
        <f t="shared" si="3"/>
        <v>0</v>
      </c>
      <c r="E62" s="308">
        <f t="shared" si="5"/>
        <v>0</v>
      </c>
      <c r="F62" s="308"/>
      <c r="G62" s="308">
        <f t="shared" si="6"/>
        <v>0</v>
      </c>
      <c r="H62" s="308">
        <f t="shared" si="4"/>
        <v>0</v>
      </c>
      <c r="I62" s="104"/>
      <c r="J62" s="308">
        <v>0</v>
      </c>
      <c r="L62" s="579" t="s">
        <v>206</v>
      </c>
      <c r="M62" s="580"/>
      <c r="N62" s="580"/>
      <c r="O62" s="309">
        <f t="shared" si="7"/>
        <v>0</v>
      </c>
    </row>
    <row r="63" spans="2:15" ht="21" customHeight="1">
      <c r="B63" s="319" t="s">
        <v>255</v>
      </c>
      <c r="C63" s="570"/>
      <c r="D63" s="308">
        <f t="shared" si="3"/>
        <v>0</v>
      </c>
      <c r="E63" s="308">
        <f t="shared" si="5"/>
        <v>0</v>
      </c>
      <c r="F63" s="308"/>
      <c r="G63" s="308">
        <f t="shared" si="6"/>
        <v>0</v>
      </c>
      <c r="H63" s="308">
        <f t="shared" si="4"/>
        <v>0</v>
      </c>
      <c r="I63" s="104"/>
      <c r="J63" s="308">
        <v>0</v>
      </c>
      <c r="L63" s="579" t="s">
        <v>207</v>
      </c>
      <c r="M63" s="580"/>
      <c r="N63" s="580"/>
      <c r="O63" s="309">
        <f t="shared" si="7"/>
        <v>0</v>
      </c>
    </row>
    <row r="64" spans="2:15" ht="21" customHeight="1">
      <c r="B64" s="319" t="s">
        <v>258</v>
      </c>
      <c r="C64" s="570"/>
      <c r="D64" s="308">
        <f t="shared" si="3"/>
        <v>0</v>
      </c>
      <c r="E64" s="308">
        <f t="shared" si="5"/>
        <v>0</v>
      </c>
      <c r="F64" s="308"/>
      <c r="G64" s="308">
        <f t="shared" si="6"/>
        <v>0</v>
      </c>
      <c r="H64" s="308">
        <f t="shared" si="4"/>
        <v>0</v>
      </c>
      <c r="I64" s="104"/>
      <c r="J64" s="308">
        <v>0</v>
      </c>
      <c r="L64" s="579" t="s">
        <v>208</v>
      </c>
      <c r="M64" s="580"/>
      <c r="N64" s="580"/>
      <c r="O64" s="309">
        <f t="shared" si="7"/>
        <v>0</v>
      </c>
    </row>
    <row r="65" spans="2:15" ht="21" customHeight="1">
      <c r="B65" s="319" t="s">
        <v>261</v>
      </c>
      <c r="C65" s="570"/>
      <c r="D65" s="308">
        <f t="shared" si="3"/>
        <v>0</v>
      </c>
      <c r="E65" s="308">
        <f t="shared" si="5"/>
        <v>0</v>
      </c>
      <c r="F65" s="308"/>
      <c r="G65" s="308">
        <f t="shared" si="6"/>
        <v>0</v>
      </c>
      <c r="H65" s="308">
        <f t="shared" si="4"/>
        <v>0</v>
      </c>
      <c r="I65" s="104"/>
      <c r="J65" s="308">
        <v>0</v>
      </c>
      <c r="L65" s="579" t="s">
        <v>209</v>
      </c>
      <c r="M65" s="580"/>
      <c r="N65" s="580"/>
      <c r="O65" s="309">
        <f t="shared" si="7"/>
        <v>0</v>
      </c>
    </row>
    <row r="66" spans="2:15" ht="21" customHeight="1">
      <c r="B66" s="319" t="s">
        <v>264</v>
      </c>
      <c r="C66" s="570"/>
      <c r="D66" s="308">
        <f t="shared" si="3"/>
        <v>0</v>
      </c>
      <c r="E66" s="308">
        <f t="shared" si="5"/>
        <v>0</v>
      </c>
      <c r="F66" s="308"/>
      <c r="G66" s="308">
        <f t="shared" si="6"/>
        <v>0</v>
      </c>
      <c r="H66" s="308">
        <f t="shared" si="4"/>
        <v>0</v>
      </c>
      <c r="I66" s="104"/>
      <c r="J66" s="308">
        <v>0</v>
      </c>
      <c r="L66" s="579" t="s">
        <v>210</v>
      </c>
      <c r="M66" s="580"/>
      <c r="N66" s="580"/>
      <c r="O66" s="309">
        <f t="shared" si="7"/>
        <v>0</v>
      </c>
    </row>
    <row r="67" spans="2:15" ht="21" customHeight="1">
      <c r="B67" s="321" t="s">
        <v>213</v>
      </c>
      <c r="C67" s="322">
        <f>+SUM(C55:C66)</f>
        <v>0</v>
      </c>
      <c r="D67" s="322">
        <f>+SUM(D55:D66)</f>
        <v>0</v>
      </c>
      <c r="E67" s="322">
        <f>+SUM(E55:E66)</f>
        <v>0</v>
      </c>
      <c r="F67" s="323"/>
      <c r="G67" s="322">
        <f>+SUM(G55:G66)</f>
        <v>0</v>
      </c>
      <c r="H67" s="322">
        <f>+SUM(H55:H66)</f>
        <v>0</v>
      </c>
      <c r="I67" s="104"/>
      <c r="J67" s="322">
        <f>+SUM(J55:J66)</f>
        <v>0</v>
      </c>
      <c r="L67" s="580" t="s">
        <v>211</v>
      </c>
      <c r="M67" s="580"/>
      <c r="N67" s="580"/>
      <c r="O67" s="309">
        <f t="shared" si="7"/>
        <v>0</v>
      </c>
    </row>
    <row r="68" spans="2:15" ht="21" customHeight="1">
      <c r="L68" s="321" t="s">
        <v>213</v>
      </c>
      <c r="M68" s="326">
        <f>+SUM(M55:M67)</f>
        <v>0</v>
      </c>
      <c r="N68" s="326">
        <f>+SUM(N55:N67)</f>
        <v>0</v>
      </c>
      <c r="O68" s="326">
        <f>+SUM(O55:O67)</f>
        <v>0</v>
      </c>
    </row>
    <row r="69" spans="2:15" ht="21" customHeight="1"/>
    <row r="70" spans="2:15" ht="21" customHeight="1">
      <c r="B70" s="105" t="s">
        <v>324</v>
      </c>
      <c r="C70" s="581" t="s">
        <v>200</v>
      </c>
      <c r="D70" s="43"/>
      <c r="E70" s="43"/>
      <c r="F70" s="43"/>
      <c r="G70" s="43"/>
      <c r="H70" s="43"/>
    </row>
    <row r="71" spans="2:15" ht="21" customHeight="1">
      <c r="B71" s="105" t="s">
        <v>326</v>
      </c>
      <c r="C71" s="582"/>
      <c r="D71" s="43"/>
      <c r="E71" s="43"/>
      <c r="F71" s="43"/>
      <c r="G71" s="43"/>
      <c r="H71" s="43"/>
    </row>
    <row r="72" spans="2:15" ht="21" customHeight="1">
      <c r="B72" s="95" t="s">
        <v>192</v>
      </c>
      <c r="C72" s="95" t="s">
        <v>227</v>
      </c>
      <c r="D72" s="95" t="s">
        <v>228</v>
      </c>
      <c r="E72" s="95" t="s">
        <v>327</v>
      </c>
      <c r="F72" s="95"/>
      <c r="G72" s="95" t="s">
        <v>328</v>
      </c>
      <c r="H72" s="95" t="s">
        <v>329</v>
      </c>
      <c r="J72" s="95" t="s">
        <v>330</v>
      </c>
    </row>
    <row r="73" spans="2:15" ht="21" customHeight="1">
      <c r="B73" s="319" t="s">
        <v>232</v>
      </c>
      <c r="C73" s="570"/>
      <c r="D73" s="308">
        <f t="shared" ref="D73:D84" si="8">+C73*0.16</f>
        <v>0</v>
      </c>
      <c r="E73" s="308">
        <f t="shared" ref="E73:E84" si="9">+C73+D73</f>
        <v>0</v>
      </c>
      <c r="F73" s="308"/>
      <c r="G73" s="308">
        <f>+(D73/3)*2</f>
        <v>0</v>
      </c>
      <c r="H73" s="308">
        <f t="shared" ref="H73:H84" si="10">+C73*0.1</f>
        <v>0</v>
      </c>
      <c r="J73" s="308">
        <v>0</v>
      </c>
    </row>
    <row r="74" spans="2:15" ht="21" customHeight="1">
      <c r="B74" s="319" t="s">
        <v>235</v>
      </c>
      <c r="C74" s="570"/>
      <c r="D74" s="308">
        <f t="shared" si="8"/>
        <v>0</v>
      </c>
      <c r="E74" s="308">
        <f t="shared" si="9"/>
        <v>0</v>
      </c>
      <c r="F74" s="308"/>
      <c r="G74" s="308">
        <f t="shared" ref="G74:G84" si="11">+(D74/3)*2</f>
        <v>0</v>
      </c>
      <c r="H74" s="308">
        <f t="shared" si="10"/>
        <v>0</v>
      </c>
      <c r="J74" s="308">
        <v>0</v>
      </c>
    </row>
    <row r="75" spans="2:15" ht="21" customHeight="1">
      <c r="B75" s="319" t="s">
        <v>238</v>
      </c>
      <c r="C75" s="570"/>
      <c r="D75" s="308">
        <f t="shared" si="8"/>
        <v>0</v>
      </c>
      <c r="E75" s="308">
        <f t="shared" si="9"/>
        <v>0</v>
      </c>
      <c r="F75" s="308"/>
      <c r="G75" s="308">
        <f t="shared" si="11"/>
        <v>0</v>
      </c>
      <c r="H75" s="308">
        <f t="shared" si="10"/>
        <v>0</v>
      </c>
      <c r="J75" s="308">
        <v>0</v>
      </c>
    </row>
    <row r="76" spans="2:15" ht="21" customHeight="1">
      <c r="B76" s="319" t="s">
        <v>241</v>
      </c>
      <c r="C76" s="570"/>
      <c r="D76" s="308">
        <f t="shared" si="8"/>
        <v>0</v>
      </c>
      <c r="E76" s="308">
        <f t="shared" si="9"/>
        <v>0</v>
      </c>
      <c r="F76" s="308"/>
      <c r="G76" s="308">
        <f t="shared" si="11"/>
        <v>0</v>
      </c>
      <c r="H76" s="308">
        <f t="shared" si="10"/>
        <v>0</v>
      </c>
      <c r="J76" s="308">
        <v>0</v>
      </c>
    </row>
    <row r="77" spans="2:15" ht="21" customHeight="1">
      <c r="B77" s="319" t="s">
        <v>244</v>
      </c>
      <c r="C77" s="570"/>
      <c r="D77" s="308">
        <f t="shared" si="8"/>
        <v>0</v>
      </c>
      <c r="E77" s="308">
        <f t="shared" si="9"/>
        <v>0</v>
      </c>
      <c r="F77" s="308"/>
      <c r="G77" s="308">
        <f t="shared" si="11"/>
        <v>0</v>
      </c>
      <c r="H77" s="308">
        <f t="shared" si="10"/>
        <v>0</v>
      </c>
      <c r="J77" s="308">
        <v>0</v>
      </c>
    </row>
    <row r="78" spans="2:15" ht="21" customHeight="1">
      <c r="B78" s="319" t="s">
        <v>246</v>
      </c>
      <c r="C78" s="570"/>
      <c r="D78" s="308">
        <f t="shared" si="8"/>
        <v>0</v>
      </c>
      <c r="E78" s="308">
        <f t="shared" si="9"/>
        <v>0</v>
      </c>
      <c r="F78" s="308"/>
      <c r="G78" s="308">
        <f t="shared" si="11"/>
        <v>0</v>
      </c>
      <c r="H78" s="308">
        <f t="shared" si="10"/>
        <v>0</v>
      </c>
      <c r="J78" s="308">
        <v>0</v>
      </c>
    </row>
    <row r="79" spans="2:15" ht="21" customHeight="1">
      <c r="B79" s="319" t="s">
        <v>249</v>
      </c>
      <c r="C79" s="570"/>
      <c r="D79" s="308">
        <f t="shared" si="8"/>
        <v>0</v>
      </c>
      <c r="E79" s="308">
        <f t="shared" si="9"/>
        <v>0</v>
      </c>
      <c r="F79" s="308"/>
      <c r="G79" s="308">
        <f t="shared" si="11"/>
        <v>0</v>
      </c>
      <c r="H79" s="308">
        <f t="shared" si="10"/>
        <v>0</v>
      </c>
      <c r="J79" s="308">
        <v>0</v>
      </c>
    </row>
    <row r="80" spans="2:15" ht="21" customHeight="1">
      <c r="B80" s="319" t="s">
        <v>252</v>
      </c>
      <c r="C80" s="570"/>
      <c r="D80" s="308">
        <f t="shared" si="8"/>
        <v>0</v>
      </c>
      <c r="E80" s="308">
        <f t="shared" si="9"/>
        <v>0</v>
      </c>
      <c r="F80" s="308"/>
      <c r="G80" s="308">
        <f t="shared" si="11"/>
        <v>0</v>
      </c>
      <c r="H80" s="308">
        <f t="shared" si="10"/>
        <v>0</v>
      </c>
      <c r="J80" s="308">
        <v>0</v>
      </c>
    </row>
    <row r="81" spans="2:10" ht="21" customHeight="1">
      <c r="B81" s="319" t="s">
        <v>255</v>
      </c>
      <c r="C81" s="570"/>
      <c r="D81" s="308">
        <f t="shared" si="8"/>
        <v>0</v>
      </c>
      <c r="E81" s="308">
        <f t="shared" si="9"/>
        <v>0</v>
      </c>
      <c r="F81" s="308"/>
      <c r="G81" s="308">
        <f t="shared" si="11"/>
        <v>0</v>
      </c>
      <c r="H81" s="308">
        <f t="shared" si="10"/>
        <v>0</v>
      </c>
      <c r="J81" s="308">
        <v>0</v>
      </c>
    </row>
    <row r="82" spans="2:10" ht="21" customHeight="1">
      <c r="B82" s="319" t="s">
        <v>258</v>
      </c>
      <c r="C82" s="570"/>
      <c r="D82" s="308">
        <f t="shared" si="8"/>
        <v>0</v>
      </c>
      <c r="E82" s="308">
        <f t="shared" si="9"/>
        <v>0</v>
      </c>
      <c r="F82" s="308"/>
      <c r="G82" s="308">
        <f t="shared" si="11"/>
        <v>0</v>
      </c>
      <c r="H82" s="308">
        <f t="shared" si="10"/>
        <v>0</v>
      </c>
      <c r="J82" s="308">
        <v>0</v>
      </c>
    </row>
    <row r="83" spans="2:10" ht="21" customHeight="1">
      <c r="B83" s="319" t="s">
        <v>261</v>
      </c>
      <c r="C83" s="570"/>
      <c r="D83" s="308">
        <f t="shared" si="8"/>
        <v>0</v>
      </c>
      <c r="E83" s="308">
        <f t="shared" si="9"/>
        <v>0</v>
      </c>
      <c r="F83" s="308"/>
      <c r="G83" s="308">
        <f t="shared" si="11"/>
        <v>0</v>
      </c>
      <c r="H83" s="308">
        <f t="shared" si="10"/>
        <v>0</v>
      </c>
      <c r="J83" s="308">
        <v>0</v>
      </c>
    </row>
    <row r="84" spans="2:10" ht="21" customHeight="1">
      <c r="B84" s="319" t="s">
        <v>264</v>
      </c>
      <c r="C84" s="570"/>
      <c r="D84" s="308">
        <f t="shared" si="8"/>
        <v>0</v>
      </c>
      <c r="E84" s="308">
        <f t="shared" si="9"/>
        <v>0</v>
      </c>
      <c r="F84" s="308"/>
      <c r="G84" s="308">
        <f t="shared" si="11"/>
        <v>0</v>
      </c>
      <c r="H84" s="308">
        <f t="shared" si="10"/>
        <v>0</v>
      </c>
      <c r="J84" s="308">
        <v>0</v>
      </c>
    </row>
    <row r="85" spans="2:10" ht="21" customHeight="1">
      <c r="B85" s="321" t="s">
        <v>213</v>
      </c>
      <c r="C85" s="322">
        <f>+SUM(C73:C84)</f>
        <v>0</v>
      </c>
      <c r="D85" s="322">
        <f>+SUM(D73:D84)</f>
        <v>0</v>
      </c>
      <c r="E85" s="322">
        <f>+SUM(E73:E84)</f>
        <v>0</v>
      </c>
      <c r="F85" s="323"/>
      <c r="G85" s="322">
        <f>+SUM(G73:G84)</f>
        <v>0</v>
      </c>
      <c r="H85" s="322">
        <f>+SUM(H73:H84)</f>
        <v>0</v>
      </c>
      <c r="J85" s="322">
        <f>+SUM(J73:J84)</f>
        <v>0</v>
      </c>
    </row>
    <row r="86" spans="2:10" ht="21" customHeight="1"/>
    <row r="87" spans="2:10" ht="21" customHeight="1"/>
    <row r="88" spans="2:10" ht="21" customHeight="1"/>
    <row r="89" spans="2:10" ht="21" customHeight="1">
      <c r="B89" s="105" t="s">
        <v>324</v>
      </c>
      <c r="C89" s="581" t="s">
        <v>201</v>
      </c>
      <c r="D89" s="43"/>
      <c r="E89" s="43"/>
      <c r="F89" s="43"/>
      <c r="G89" s="43"/>
      <c r="H89" s="43"/>
      <c r="I89" s="43"/>
    </row>
    <row r="90" spans="2:10" ht="21" customHeight="1">
      <c r="B90" s="105" t="s">
        <v>326</v>
      </c>
      <c r="C90" s="582"/>
      <c r="D90" s="43"/>
      <c r="E90" s="43"/>
      <c r="F90" s="43"/>
      <c r="G90" s="43"/>
      <c r="H90" s="43"/>
      <c r="I90" s="43"/>
    </row>
    <row r="91" spans="2:10" ht="21" customHeight="1">
      <c r="B91" s="95" t="s">
        <v>192</v>
      </c>
      <c r="C91" s="95" t="s">
        <v>227</v>
      </c>
      <c r="D91" s="95" t="s">
        <v>228</v>
      </c>
      <c r="E91" s="95" t="s">
        <v>327</v>
      </c>
      <c r="F91" s="95"/>
      <c r="G91" s="95" t="s">
        <v>328</v>
      </c>
      <c r="H91" s="95" t="s">
        <v>329</v>
      </c>
      <c r="I91" s="95"/>
      <c r="J91" s="95" t="s">
        <v>330</v>
      </c>
    </row>
    <row r="92" spans="2:10" ht="21" customHeight="1">
      <c r="B92" s="319" t="s">
        <v>232</v>
      </c>
      <c r="C92" s="570"/>
      <c r="D92" s="308">
        <f t="shared" ref="D92:D103" si="12">+C92*0.16</f>
        <v>0</v>
      </c>
      <c r="E92" s="308">
        <f t="shared" ref="E92:E103" si="13">+C92+D92</f>
        <v>0</v>
      </c>
      <c r="F92" s="308"/>
      <c r="G92" s="308">
        <f t="shared" ref="G92:G102" si="14">(D92/3)*2</f>
        <v>0</v>
      </c>
      <c r="H92" s="308">
        <f t="shared" ref="H92:H103" si="15">+C92*0.1</f>
        <v>0</v>
      </c>
      <c r="I92" s="104"/>
      <c r="J92" s="308">
        <v>0</v>
      </c>
    </row>
    <row r="93" spans="2:10" ht="21" customHeight="1">
      <c r="B93" s="319" t="s">
        <v>235</v>
      </c>
      <c r="C93" s="570"/>
      <c r="D93" s="308">
        <f t="shared" si="12"/>
        <v>0</v>
      </c>
      <c r="E93" s="308">
        <f t="shared" si="13"/>
        <v>0</v>
      </c>
      <c r="F93" s="308"/>
      <c r="G93" s="308">
        <f t="shared" si="14"/>
        <v>0</v>
      </c>
      <c r="H93" s="308">
        <f t="shared" si="15"/>
        <v>0</v>
      </c>
      <c r="I93" s="104"/>
      <c r="J93" s="308">
        <v>0</v>
      </c>
    </row>
    <row r="94" spans="2:10" ht="21" customHeight="1">
      <c r="B94" s="319" t="s">
        <v>238</v>
      </c>
      <c r="C94" s="570"/>
      <c r="D94" s="308">
        <f t="shared" si="12"/>
        <v>0</v>
      </c>
      <c r="E94" s="308">
        <f t="shared" si="13"/>
        <v>0</v>
      </c>
      <c r="F94" s="308"/>
      <c r="G94" s="308">
        <f t="shared" si="14"/>
        <v>0</v>
      </c>
      <c r="H94" s="308">
        <f t="shared" si="15"/>
        <v>0</v>
      </c>
      <c r="I94" s="104"/>
      <c r="J94" s="308">
        <v>0</v>
      </c>
    </row>
    <row r="95" spans="2:10" ht="21" customHeight="1">
      <c r="B95" s="319" t="s">
        <v>241</v>
      </c>
      <c r="C95" s="570"/>
      <c r="D95" s="308">
        <f t="shared" si="12"/>
        <v>0</v>
      </c>
      <c r="E95" s="308">
        <f t="shared" si="13"/>
        <v>0</v>
      </c>
      <c r="F95" s="308"/>
      <c r="G95" s="308">
        <f t="shared" si="14"/>
        <v>0</v>
      </c>
      <c r="H95" s="308">
        <f t="shared" si="15"/>
        <v>0</v>
      </c>
      <c r="I95" s="104"/>
      <c r="J95" s="308">
        <v>0</v>
      </c>
    </row>
    <row r="96" spans="2:10" ht="21" customHeight="1">
      <c r="B96" s="319" t="s">
        <v>244</v>
      </c>
      <c r="C96" s="570"/>
      <c r="D96" s="308">
        <f t="shared" si="12"/>
        <v>0</v>
      </c>
      <c r="E96" s="308">
        <f t="shared" si="13"/>
        <v>0</v>
      </c>
      <c r="F96" s="308"/>
      <c r="G96" s="308">
        <f t="shared" si="14"/>
        <v>0</v>
      </c>
      <c r="H96" s="308">
        <f t="shared" si="15"/>
        <v>0</v>
      </c>
      <c r="I96" s="104"/>
      <c r="J96" s="308">
        <v>0</v>
      </c>
    </row>
    <row r="97" spans="2:10" ht="21" customHeight="1">
      <c r="B97" s="319" t="s">
        <v>246</v>
      </c>
      <c r="C97" s="570"/>
      <c r="D97" s="308">
        <f t="shared" si="12"/>
        <v>0</v>
      </c>
      <c r="E97" s="308">
        <f t="shared" si="13"/>
        <v>0</v>
      </c>
      <c r="F97" s="308"/>
      <c r="G97" s="308">
        <f t="shared" si="14"/>
        <v>0</v>
      </c>
      <c r="H97" s="308">
        <f t="shared" si="15"/>
        <v>0</v>
      </c>
      <c r="I97" s="104"/>
      <c r="J97" s="308">
        <v>0</v>
      </c>
    </row>
    <row r="98" spans="2:10" ht="21" customHeight="1">
      <c r="B98" s="319" t="s">
        <v>249</v>
      </c>
      <c r="C98" s="570"/>
      <c r="D98" s="308">
        <f t="shared" si="12"/>
        <v>0</v>
      </c>
      <c r="E98" s="308">
        <f t="shared" si="13"/>
        <v>0</v>
      </c>
      <c r="F98" s="308"/>
      <c r="G98" s="308">
        <f t="shared" si="14"/>
        <v>0</v>
      </c>
      <c r="H98" s="308">
        <f t="shared" si="15"/>
        <v>0</v>
      </c>
      <c r="I98" s="104"/>
      <c r="J98" s="308">
        <v>0</v>
      </c>
    </row>
    <row r="99" spans="2:10" ht="21" customHeight="1">
      <c r="B99" s="319" t="s">
        <v>252</v>
      </c>
      <c r="C99" s="570"/>
      <c r="D99" s="308">
        <f t="shared" si="12"/>
        <v>0</v>
      </c>
      <c r="E99" s="308">
        <f t="shared" si="13"/>
        <v>0</v>
      </c>
      <c r="F99" s="308"/>
      <c r="G99" s="308">
        <f t="shared" si="14"/>
        <v>0</v>
      </c>
      <c r="H99" s="308">
        <f t="shared" si="15"/>
        <v>0</v>
      </c>
      <c r="I99" s="104"/>
      <c r="J99" s="308">
        <v>0</v>
      </c>
    </row>
    <row r="100" spans="2:10" ht="21" customHeight="1">
      <c r="B100" s="319" t="s">
        <v>255</v>
      </c>
      <c r="C100" s="570"/>
      <c r="D100" s="308">
        <f t="shared" si="12"/>
        <v>0</v>
      </c>
      <c r="E100" s="308">
        <f t="shared" si="13"/>
        <v>0</v>
      </c>
      <c r="F100" s="308"/>
      <c r="G100" s="308">
        <f t="shared" si="14"/>
        <v>0</v>
      </c>
      <c r="H100" s="308">
        <f t="shared" si="15"/>
        <v>0</v>
      </c>
      <c r="I100" s="104"/>
      <c r="J100" s="308">
        <v>0</v>
      </c>
    </row>
    <row r="101" spans="2:10" ht="21" customHeight="1">
      <c r="B101" s="319" t="s">
        <v>258</v>
      </c>
      <c r="C101" s="570"/>
      <c r="D101" s="308">
        <f t="shared" si="12"/>
        <v>0</v>
      </c>
      <c r="E101" s="308">
        <f t="shared" si="13"/>
        <v>0</v>
      </c>
      <c r="F101" s="308"/>
      <c r="G101" s="308">
        <f t="shared" si="14"/>
        <v>0</v>
      </c>
      <c r="H101" s="308">
        <f t="shared" si="15"/>
        <v>0</v>
      </c>
      <c r="I101" s="104"/>
      <c r="J101" s="308">
        <v>0</v>
      </c>
    </row>
    <row r="102" spans="2:10" ht="21" customHeight="1">
      <c r="B102" s="319" t="s">
        <v>261</v>
      </c>
      <c r="C102" s="570"/>
      <c r="D102" s="308">
        <f t="shared" si="12"/>
        <v>0</v>
      </c>
      <c r="E102" s="308">
        <f t="shared" si="13"/>
        <v>0</v>
      </c>
      <c r="F102" s="308"/>
      <c r="G102" s="308">
        <f t="shared" si="14"/>
        <v>0</v>
      </c>
      <c r="H102" s="308">
        <f t="shared" si="15"/>
        <v>0</v>
      </c>
      <c r="I102" s="104"/>
      <c r="J102" s="308">
        <v>0</v>
      </c>
    </row>
    <row r="103" spans="2:10" ht="21" customHeight="1">
      <c r="B103" s="319" t="s">
        <v>264</v>
      </c>
      <c r="C103" s="570"/>
      <c r="D103" s="308">
        <f t="shared" si="12"/>
        <v>0</v>
      </c>
      <c r="E103" s="308">
        <f t="shared" si="13"/>
        <v>0</v>
      </c>
      <c r="F103" s="308"/>
      <c r="G103" s="308">
        <f t="shared" ref="G103" si="16">(D103/3)*2</f>
        <v>0</v>
      </c>
      <c r="H103" s="308">
        <f t="shared" si="15"/>
        <v>0</v>
      </c>
      <c r="I103" s="104"/>
      <c r="J103" s="308">
        <v>0</v>
      </c>
    </row>
    <row r="104" spans="2:10" ht="21" customHeight="1">
      <c r="B104" s="321" t="s">
        <v>213</v>
      </c>
      <c r="C104" s="322">
        <f>+SUM(C92:C103)</f>
        <v>0</v>
      </c>
      <c r="D104" s="322">
        <f>+SUM(D92:D103)</f>
        <v>0</v>
      </c>
      <c r="E104" s="322">
        <f>+SUM(E92:E103)</f>
        <v>0</v>
      </c>
      <c r="F104" s="323"/>
      <c r="G104" s="322">
        <f>+SUM(G92:G103)</f>
        <v>0</v>
      </c>
      <c r="H104" s="322">
        <f>+SUM(H92:H103)</f>
        <v>0</v>
      </c>
      <c r="I104" s="104"/>
      <c r="J104" s="322">
        <f>+SUM(J92:J103)</f>
        <v>0</v>
      </c>
    </row>
    <row r="105" spans="2:10" ht="21" customHeight="1"/>
    <row r="106" spans="2:10" ht="21" customHeight="1"/>
    <row r="107" spans="2:10" ht="21" customHeight="1">
      <c r="B107" s="105" t="s">
        <v>324</v>
      </c>
      <c r="C107" s="581" t="s">
        <v>202</v>
      </c>
      <c r="D107" s="43"/>
      <c r="E107" s="43"/>
      <c r="F107" s="43"/>
      <c r="G107" s="43"/>
      <c r="H107" s="43"/>
    </row>
    <row r="108" spans="2:10" ht="21" customHeight="1">
      <c r="B108" s="105" t="s">
        <v>326</v>
      </c>
      <c r="C108" s="582"/>
      <c r="D108" s="43"/>
      <c r="E108" s="43"/>
      <c r="F108" s="43"/>
      <c r="G108" s="43"/>
      <c r="H108" s="43"/>
    </row>
    <row r="109" spans="2:10" ht="21" customHeight="1">
      <c r="B109" s="95" t="s">
        <v>192</v>
      </c>
      <c r="C109" s="95" t="s">
        <v>227</v>
      </c>
      <c r="D109" s="95" t="s">
        <v>228</v>
      </c>
      <c r="E109" s="95" t="s">
        <v>327</v>
      </c>
      <c r="F109" s="95"/>
      <c r="G109" s="95" t="s">
        <v>328</v>
      </c>
      <c r="H109" s="95" t="s">
        <v>329</v>
      </c>
      <c r="J109" s="95" t="s">
        <v>330</v>
      </c>
    </row>
    <row r="110" spans="2:10" ht="22.2" customHeight="1">
      <c r="B110" s="319" t="s">
        <v>232</v>
      </c>
      <c r="C110" s="570"/>
      <c r="D110" s="308">
        <f t="shared" ref="D110:D121" si="17">+C110*0.16</f>
        <v>0</v>
      </c>
      <c r="E110" s="308">
        <f t="shared" ref="E110:E121" si="18">+C110+D110</f>
        <v>0</v>
      </c>
      <c r="F110" s="308"/>
      <c r="G110" s="308">
        <f>+(D110/3)*2</f>
        <v>0</v>
      </c>
      <c r="H110" s="308">
        <f t="shared" ref="H110:H121" si="19">+C110*0.1</f>
        <v>0</v>
      </c>
      <c r="J110" s="308">
        <v>0</v>
      </c>
    </row>
    <row r="111" spans="2:10" ht="22.2" customHeight="1">
      <c r="B111" s="319" t="s">
        <v>235</v>
      </c>
      <c r="C111" s="570"/>
      <c r="D111" s="308">
        <f t="shared" si="17"/>
        <v>0</v>
      </c>
      <c r="E111" s="308">
        <f t="shared" si="18"/>
        <v>0</v>
      </c>
      <c r="F111" s="308"/>
      <c r="G111" s="308">
        <f t="shared" ref="G111:G121" si="20">+(D111/3)*2</f>
        <v>0</v>
      </c>
      <c r="H111" s="308">
        <f t="shared" si="19"/>
        <v>0</v>
      </c>
      <c r="J111" s="308">
        <v>0</v>
      </c>
    </row>
    <row r="112" spans="2:10" ht="22.2" customHeight="1">
      <c r="B112" s="319" t="s">
        <v>238</v>
      </c>
      <c r="C112" s="570"/>
      <c r="D112" s="308">
        <f t="shared" si="17"/>
        <v>0</v>
      </c>
      <c r="E112" s="308">
        <f t="shared" si="18"/>
        <v>0</v>
      </c>
      <c r="F112" s="308"/>
      <c r="G112" s="308">
        <f t="shared" si="20"/>
        <v>0</v>
      </c>
      <c r="H112" s="308">
        <f t="shared" si="19"/>
        <v>0</v>
      </c>
      <c r="J112" s="308">
        <v>0</v>
      </c>
    </row>
    <row r="113" spans="2:10" ht="22.2" customHeight="1">
      <c r="B113" s="319" t="s">
        <v>241</v>
      </c>
      <c r="C113" s="570"/>
      <c r="D113" s="308">
        <f t="shared" si="17"/>
        <v>0</v>
      </c>
      <c r="E113" s="308">
        <f t="shared" si="18"/>
        <v>0</v>
      </c>
      <c r="F113" s="308"/>
      <c r="G113" s="308">
        <f t="shared" si="20"/>
        <v>0</v>
      </c>
      <c r="H113" s="308">
        <f t="shared" si="19"/>
        <v>0</v>
      </c>
      <c r="J113" s="308">
        <v>0</v>
      </c>
    </row>
    <row r="114" spans="2:10" ht="22.2" customHeight="1">
      <c r="B114" s="319" t="s">
        <v>244</v>
      </c>
      <c r="C114" s="570"/>
      <c r="D114" s="308">
        <f t="shared" si="17"/>
        <v>0</v>
      </c>
      <c r="E114" s="308">
        <f t="shared" si="18"/>
        <v>0</v>
      </c>
      <c r="F114" s="308"/>
      <c r="G114" s="308">
        <f t="shared" si="20"/>
        <v>0</v>
      </c>
      <c r="H114" s="308">
        <f t="shared" si="19"/>
        <v>0</v>
      </c>
      <c r="J114" s="308">
        <v>0</v>
      </c>
    </row>
    <row r="115" spans="2:10" ht="22.2" customHeight="1">
      <c r="B115" s="319" t="s">
        <v>246</v>
      </c>
      <c r="C115" s="570"/>
      <c r="D115" s="308">
        <f t="shared" si="17"/>
        <v>0</v>
      </c>
      <c r="E115" s="308">
        <f t="shared" si="18"/>
        <v>0</v>
      </c>
      <c r="F115" s="308"/>
      <c r="G115" s="308">
        <f t="shared" si="20"/>
        <v>0</v>
      </c>
      <c r="H115" s="308">
        <f t="shared" si="19"/>
        <v>0</v>
      </c>
      <c r="J115" s="308">
        <v>0</v>
      </c>
    </row>
    <row r="116" spans="2:10" ht="22.2" customHeight="1">
      <c r="B116" s="319" t="s">
        <v>249</v>
      </c>
      <c r="C116" s="570"/>
      <c r="D116" s="308">
        <f t="shared" si="17"/>
        <v>0</v>
      </c>
      <c r="E116" s="308">
        <f t="shared" si="18"/>
        <v>0</v>
      </c>
      <c r="F116" s="308"/>
      <c r="G116" s="308">
        <f t="shared" si="20"/>
        <v>0</v>
      </c>
      <c r="H116" s="308">
        <f t="shared" si="19"/>
        <v>0</v>
      </c>
      <c r="J116" s="308">
        <v>0</v>
      </c>
    </row>
    <row r="117" spans="2:10" ht="22.2" customHeight="1">
      <c r="B117" s="319" t="s">
        <v>252</v>
      </c>
      <c r="C117" s="570"/>
      <c r="D117" s="308">
        <f t="shared" si="17"/>
        <v>0</v>
      </c>
      <c r="E117" s="308">
        <f t="shared" si="18"/>
        <v>0</v>
      </c>
      <c r="F117" s="308"/>
      <c r="G117" s="308">
        <f t="shared" si="20"/>
        <v>0</v>
      </c>
      <c r="H117" s="308">
        <f t="shared" si="19"/>
        <v>0</v>
      </c>
      <c r="J117" s="308">
        <v>0</v>
      </c>
    </row>
    <row r="118" spans="2:10" ht="22.2" customHeight="1">
      <c r="B118" s="319" t="s">
        <v>255</v>
      </c>
      <c r="C118" s="570"/>
      <c r="D118" s="308">
        <f t="shared" si="17"/>
        <v>0</v>
      </c>
      <c r="E118" s="308">
        <f t="shared" si="18"/>
        <v>0</v>
      </c>
      <c r="F118" s="308"/>
      <c r="G118" s="308">
        <f t="shared" si="20"/>
        <v>0</v>
      </c>
      <c r="H118" s="308">
        <f t="shared" si="19"/>
        <v>0</v>
      </c>
      <c r="J118" s="308">
        <v>0</v>
      </c>
    </row>
    <row r="119" spans="2:10" ht="22.2" customHeight="1">
      <c r="B119" s="319" t="s">
        <v>258</v>
      </c>
      <c r="C119" s="570"/>
      <c r="D119" s="308">
        <f t="shared" si="17"/>
        <v>0</v>
      </c>
      <c r="E119" s="308">
        <f t="shared" si="18"/>
        <v>0</v>
      </c>
      <c r="F119" s="308"/>
      <c r="G119" s="308">
        <f t="shared" si="20"/>
        <v>0</v>
      </c>
      <c r="H119" s="308">
        <f t="shared" si="19"/>
        <v>0</v>
      </c>
      <c r="J119" s="308">
        <v>0</v>
      </c>
    </row>
    <row r="120" spans="2:10" ht="22.2" customHeight="1">
      <c r="B120" s="319" t="s">
        <v>261</v>
      </c>
      <c r="C120" s="570"/>
      <c r="D120" s="308">
        <f t="shared" si="17"/>
        <v>0</v>
      </c>
      <c r="E120" s="308">
        <f t="shared" si="18"/>
        <v>0</v>
      </c>
      <c r="F120" s="308"/>
      <c r="G120" s="308">
        <f t="shared" si="20"/>
        <v>0</v>
      </c>
      <c r="H120" s="308">
        <f t="shared" si="19"/>
        <v>0</v>
      </c>
      <c r="J120" s="308">
        <v>0</v>
      </c>
    </row>
    <row r="121" spans="2:10" ht="22.2" customHeight="1">
      <c r="B121" s="319" t="s">
        <v>264</v>
      </c>
      <c r="C121" s="570"/>
      <c r="D121" s="308">
        <f t="shared" si="17"/>
        <v>0</v>
      </c>
      <c r="E121" s="308">
        <f t="shared" si="18"/>
        <v>0</v>
      </c>
      <c r="F121" s="308"/>
      <c r="G121" s="308">
        <f t="shared" si="20"/>
        <v>0</v>
      </c>
      <c r="H121" s="308">
        <f t="shared" si="19"/>
        <v>0</v>
      </c>
      <c r="J121" s="308">
        <v>0</v>
      </c>
    </row>
    <row r="122" spans="2:10" ht="22.2" customHeight="1">
      <c r="B122" s="321" t="s">
        <v>213</v>
      </c>
      <c r="C122" s="322">
        <f>+SUM(C110:C121)</f>
        <v>0</v>
      </c>
      <c r="D122" s="322">
        <f>+SUM(D110:D121)</f>
        <v>0</v>
      </c>
      <c r="E122" s="322">
        <f>+SUM(E110:E121)</f>
        <v>0</v>
      </c>
      <c r="F122" s="323"/>
      <c r="G122" s="322">
        <f>+SUM(G110:G121)</f>
        <v>0</v>
      </c>
      <c r="H122" s="322">
        <f>+SUM(H110:H121)</f>
        <v>0</v>
      </c>
      <c r="J122" s="322">
        <f>+SUM(J110:J121)</f>
        <v>0</v>
      </c>
    </row>
    <row r="123" spans="2:10" ht="22.2" customHeight="1"/>
    <row r="124" spans="2:10" ht="22.2" customHeight="1"/>
    <row r="125" spans="2:10" ht="22.2" customHeight="1"/>
    <row r="126" spans="2:10" ht="22.2" customHeight="1"/>
    <row r="127" spans="2:10" ht="22.2" customHeight="1">
      <c r="B127" s="662" t="str">
        <f>B49</f>
        <v>NOMBRE EN MAYUSCULAS</v>
      </c>
      <c r="C127" s="662"/>
      <c r="D127" s="662"/>
      <c r="E127" s="662"/>
      <c r="F127" s="662"/>
      <c r="G127" s="662"/>
      <c r="H127" s="662"/>
    </row>
    <row r="128" spans="2:10" ht="22.2" customHeight="1">
      <c r="B128" s="663" t="s">
        <v>301</v>
      </c>
      <c r="C128" s="663"/>
      <c r="D128" s="663"/>
      <c r="E128" s="663"/>
      <c r="F128" s="663"/>
      <c r="G128" s="663"/>
      <c r="H128" s="663"/>
    </row>
    <row r="129" spans="2:10" ht="22.2" customHeight="1"/>
    <row r="130" spans="2:10" ht="22.2" customHeight="1">
      <c r="B130" s="105" t="s">
        <v>324</v>
      </c>
      <c r="C130" s="581"/>
      <c r="D130" s="43"/>
      <c r="E130" s="43"/>
      <c r="F130" s="43"/>
      <c r="G130" s="43"/>
      <c r="H130" s="43"/>
    </row>
    <row r="131" spans="2:10" ht="22.2" customHeight="1">
      <c r="B131" s="105" t="s">
        <v>326</v>
      </c>
      <c r="C131" s="582"/>
      <c r="D131" s="43"/>
      <c r="E131" s="43"/>
      <c r="F131" s="43"/>
      <c r="G131" s="43"/>
      <c r="H131" s="43"/>
    </row>
    <row r="132" spans="2:10" ht="22.2" customHeight="1">
      <c r="B132" s="95" t="s">
        <v>192</v>
      </c>
      <c r="C132" s="95" t="s">
        <v>227</v>
      </c>
      <c r="D132" s="95" t="s">
        <v>228</v>
      </c>
      <c r="E132" s="95" t="s">
        <v>327</v>
      </c>
      <c r="F132" s="95"/>
      <c r="G132" s="95" t="s">
        <v>328</v>
      </c>
      <c r="H132" s="95" t="s">
        <v>329</v>
      </c>
      <c r="J132" s="95" t="s">
        <v>330</v>
      </c>
    </row>
    <row r="133" spans="2:10" ht="22.2" customHeight="1">
      <c r="B133" s="319" t="s">
        <v>232</v>
      </c>
      <c r="C133" s="570"/>
      <c r="D133" s="308">
        <f t="shared" ref="D133:D144" si="21">+C133*0.16</f>
        <v>0</v>
      </c>
      <c r="E133" s="308">
        <f t="shared" ref="E133:E144" si="22">+C133+D133</f>
        <v>0</v>
      </c>
      <c r="F133" s="308"/>
      <c r="G133" s="308">
        <f>+(D133/3)*2</f>
        <v>0</v>
      </c>
      <c r="H133" s="308">
        <f t="shared" ref="H133:H144" si="23">+C133*0.1</f>
        <v>0</v>
      </c>
      <c r="J133" s="308">
        <v>0</v>
      </c>
    </row>
    <row r="134" spans="2:10" ht="22.2" customHeight="1">
      <c r="B134" s="319" t="s">
        <v>235</v>
      </c>
      <c r="C134" s="570"/>
      <c r="D134" s="308">
        <f t="shared" si="21"/>
        <v>0</v>
      </c>
      <c r="E134" s="308">
        <f t="shared" si="22"/>
        <v>0</v>
      </c>
      <c r="F134" s="308"/>
      <c r="G134" s="308">
        <f t="shared" ref="G134:G144" si="24">+(D134/3)*2</f>
        <v>0</v>
      </c>
      <c r="H134" s="308">
        <f t="shared" si="23"/>
        <v>0</v>
      </c>
      <c r="J134" s="308">
        <v>0</v>
      </c>
    </row>
    <row r="135" spans="2:10" ht="22.2" customHeight="1">
      <c r="B135" s="319" t="s">
        <v>238</v>
      </c>
      <c r="C135" s="570"/>
      <c r="D135" s="308">
        <f t="shared" si="21"/>
        <v>0</v>
      </c>
      <c r="E135" s="308">
        <f t="shared" si="22"/>
        <v>0</v>
      </c>
      <c r="F135" s="308"/>
      <c r="G135" s="308">
        <f t="shared" si="24"/>
        <v>0</v>
      </c>
      <c r="H135" s="308">
        <f t="shared" si="23"/>
        <v>0</v>
      </c>
      <c r="J135" s="308">
        <v>0</v>
      </c>
    </row>
    <row r="136" spans="2:10" ht="22.2" customHeight="1">
      <c r="B136" s="319" t="s">
        <v>241</v>
      </c>
      <c r="C136" s="570"/>
      <c r="D136" s="308">
        <f t="shared" si="21"/>
        <v>0</v>
      </c>
      <c r="E136" s="308">
        <f t="shared" si="22"/>
        <v>0</v>
      </c>
      <c r="F136" s="308"/>
      <c r="G136" s="308">
        <f t="shared" si="24"/>
        <v>0</v>
      </c>
      <c r="H136" s="308">
        <f t="shared" si="23"/>
        <v>0</v>
      </c>
      <c r="J136" s="308">
        <v>0</v>
      </c>
    </row>
    <row r="137" spans="2:10" ht="22.2" customHeight="1">
      <c r="B137" s="319" t="s">
        <v>244</v>
      </c>
      <c r="C137" s="570"/>
      <c r="D137" s="308">
        <f t="shared" si="21"/>
        <v>0</v>
      </c>
      <c r="E137" s="308">
        <f t="shared" si="22"/>
        <v>0</v>
      </c>
      <c r="F137" s="308"/>
      <c r="G137" s="308">
        <f t="shared" si="24"/>
        <v>0</v>
      </c>
      <c r="H137" s="308">
        <f t="shared" si="23"/>
        <v>0</v>
      </c>
      <c r="J137" s="308">
        <v>0</v>
      </c>
    </row>
    <row r="138" spans="2:10" ht="22.2" customHeight="1">
      <c r="B138" s="319" t="s">
        <v>246</v>
      </c>
      <c r="C138" s="570"/>
      <c r="D138" s="308">
        <f t="shared" si="21"/>
        <v>0</v>
      </c>
      <c r="E138" s="308">
        <f t="shared" si="22"/>
        <v>0</v>
      </c>
      <c r="F138" s="308"/>
      <c r="G138" s="308">
        <f t="shared" si="24"/>
        <v>0</v>
      </c>
      <c r="H138" s="308">
        <f t="shared" si="23"/>
        <v>0</v>
      </c>
      <c r="J138" s="308">
        <v>0</v>
      </c>
    </row>
    <row r="139" spans="2:10" ht="22.2" customHeight="1">
      <c r="B139" s="319" t="s">
        <v>249</v>
      </c>
      <c r="C139" s="570"/>
      <c r="D139" s="308">
        <f t="shared" si="21"/>
        <v>0</v>
      </c>
      <c r="E139" s="308">
        <f t="shared" si="22"/>
        <v>0</v>
      </c>
      <c r="F139" s="308"/>
      <c r="G139" s="308">
        <f t="shared" si="24"/>
        <v>0</v>
      </c>
      <c r="H139" s="308">
        <f t="shared" si="23"/>
        <v>0</v>
      </c>
      <c r="J139" s="308">
        <v>0</v>
      </c>
    </row>
    <row r="140" spans="2:10" ht="22.2" customHeight="1">
      <c r="B140" s="319" t="s">
        <v>252</v>
      </c>
      <c r="C140" s="570"/>
      <c r="D140" s="308">
        <f t="shared" si="21"/>
        <v>0</v>
      </c>
      <c r="E140" s="308">
        <f t="shared" si="22"/>
        <v>0</v>
      </c>
      <c r="F140" s="308"/>
      <c r="G140" s="308">
        <f t="shared" si="24"/>
        <v>0</v>
      </c>
      <c r="H140" s="308">
        <f t="shared" si="23"/>
        <v>0</v>
      </c>
      <c r="J140" s="308">
        <v>0</v>
      </c>
    </row>
    <row r="141" spans="2:10" ht="22.2" customHeight="1">
      <c r="B141" s="319" t="s">
        <v>255</v>
      </c>
      <c r="C141" s="570"/>
      <c r="D141" s="308">
        <f t="shared" si="21"/>
        <v>0</v>
      </c>
      <c r="E141" s="308">
        <f t="shared" si="22"/>
        <v>0</v>
      </c>
      <c r="F141" s="308"/>
      <c r="G141" s="308">
        <f t="shared" si="24"/>
        <v>0</v>
      </c>
      <c r="H141" s="308">
        <f t="shared" si="23"/>
        <v>0</v>
      </c>
      <c r="J141" s="308">
        <v>0</v>
      </c>
    </row>
    <row r="142" spans="2:10" ht="22.2" customHeight="1">
      <c r="B142" s="319" t="s">
        <v>258</v>
      </c>
      <c r="C142" s="570"/>
      <c r="D142" s="308">
        <f t="shared" si="21"/>
        <v>0</v>
      </c>
      <c r="E142" s="308">
        <f t="shared" si="22"/>
        <v>0</v>
      </c>
      <c r="F142" s="308"/>
      <c r="G142" s="308">
        <f t="shared" si="24"/>
        <v>0</v>
      </c>
      <c r="H142" s="308">
        <f t="shared" si="23"/>
        <v>0</v>
      </c>
      <c r="J142" s="308">
        <v>0</v>
      </c>
    </row>
    <row r="143" spans="2:10" ht="22.2" customHeight="1">
      <c r="B143" s="319" t="s">
        <v>261</v>
      </c>
      <c r="C143" s="570"/>
      <c r="D143" s="308">
        <f t="shared" si="21"/>
        <v>0</v>
      </c>
      <c r="E143" s="308">
        <f t="shared" si="22"/>
        <v>0</v>
      </c>
      <c r="F143" s="308"/>
      <c r="G143" s="308">
        <f t="shared" si="24"/>
        <v>0</v>
      </c>
      <c r="H143" s="308">
        <f t="shared" si="23"/>
        <v>0</v>
      </c>
      <c r="J143" s="308">
        <v>0</v>
      </c>
    </row>
    <row r="144" spans="2:10" ht="22.2" customHeight="1">
      <c r="B144" s="319" t="s">
        <v>264</v>
      </c>
      <c r="C144" s="570"/>
      <c r="D144" s="308">
        <f t="shared" si="21"/>
        <v>0</v>
      </c>
      <c r="E144" s="308">
        <f t="shared" si="22"/>
        <v>0</v>
      </c>
      <c r="F144" s="308"/>
      <c r="G144" s="308">
        <f t="shared" si="24"/>
        <v>0</v>
      </c>
      <c r="H144" s="308">
        <f t="shared" si="23"/>
        <v>0</v>
      </c>
      <c r="J144" s="308">
        <v>0</v>
      </c>
    </row>
    <row r="145" spans="2:10" ht="22.2" customHeight="1">
      <c r="B145" s="321" t="s">
        <v>213</v>
      </c>
      <c r="C145" s="322">
        <f>+SUM(C133:C144)</f>
        <v>0</v>
      </c>
      <c r="D145" s="322">
        <f>+SUM(D133:D144)</f>
        <v>0</v>
      </c>
      <c r="E145" s="322">
        <f>+SUM(E133:E144)</f>
        <v>0</v>
      </c>
      <c r="F145" s="323"/>
      <c r="G145" s="322">
        <f>+SUM(G133:G144)</f>
        <v>0</v>
      </c>
      <c r="H145" s="322">
        <f>+SUM(H133:H144)</f>
        <v>0</v>
      </c>
      <c r="J145" s="322">
        <f>+SUM(J133:J144)</f>
        <v>0</v>
      </c>
    </row>
    <row r="146" spans="2:10" ht="22.2" customHeight="1"/>
    <row r="147" spans="2:10" ht="22.2" customHeight="1"/>
    <row r="148" spans="2:10" ht="22.2" customHeight="1">
      <c r="B148" s="105" t="s">
        <v>324</v>
      </c>
      <c r="C148" s="581"/>
      <c r="D148" s="43"/>
      <c r="E148" s="43"/>
      <c r="F148" s="43"/>
      <c r="G148" s="43"/>
      <c r="H148" s="43"/>
    </row>
    <row r="149" spans="2:10" ht="22.2" customHeight="1">
      <c r="B149" s="105" t="s">
        <v>326</v>
      </c>
      <c r="C149" s="582"/>
      <c r="D149" s="43"/>
      <c r="E149" s="43"/>
      <c r="F149" s="43"/>
      <c r="G149" s="43"/>
      <c r="H149" s="43"/>
    </row>
    <row r="150" spans="2:10" ht="22.2" customHeight="1">
      <c r="B150" s="95" t="s">
        <v>192</v>
      </c>
      <c r="C150" s="95" t="s">
        <v>227</v>
      </c>
      <c r="D150" s="95" t="s">
        <v>228</v>
      </c>
      <c r="E150" s="95" t="s">
        <v>327</v>
      </c>
      <c r="F150" s="95"/>
      <c r="G150" s="95" t="s">
        <v>328</v>
      </c>
      <c r="H150" s="95" t="s">
        <v>329</v>
      </c>
      <c r="J150" s="95" t="s">
        <v>330</v>
      </c>
    </row>
    <row r="151" spans="2:10" ht="22.2" customHeight="1">
      <c r="B151" s="319" t="s">
        <v>232</v>
      </c>
      <c r="C151" s="570"/>
      <c r="D151" s="308">
        <f t="shared" ref="D151:D162" si="25">+C151*0.16</f>
        <v>0</v>
      </c>
      <c r="E151" s="308">
        <f t="shared" ref="E151:E162" si="26">+C151+D151</f>
        <v>0</v>
      </c>
      <c r="F151" s="308"/>
      <c r="G151" s="308">
        <f>+(D151/3)*2</f>
        <v>0</v>
      </c>
      <c r="H151" s="308">
        <f t="shared" ref="H151:H162" si="27">+C151*0.1</f>
        <v>0</v>
      </c>
      <c r="J151" s="308">
        <v>0</v>
      </c>
    </row>
    <row r="152" spans="2:10" ht="22.2" customHeight="1">
      <c r="B152" s="319" t="s">
        <v>235</v>
      </c>
      <c r="C152" s="570"/>
      <c r="D152" s="308">
        <f t="shared" si="25"/>
        <v>0</v>
      </c>
      <c r="E152" s="308">
        <f t="shared" si="26"/>
        <v>0</v>
      </c>
      <c r="F152" s="308"/>
      <c r="G152" s="308">
        <f t="shared" ref="G152:G162" si="28">+(D152/3)*2</f>
        <v>0</v>
      </c>
      <c r="H152" s="308">
        <f t="shared" si="27"/>
        <v>0</v>
      </c>
      <c r="J152" s="308">
        <v>0</v>
      </c>
    </row>
    <row r="153" spans="2:10" ht="22.2" customHeight="1">
      <c r="B153" s="319" t="s">
        <v>238</v>
      </c>
      <c r="C153" s="570"/>
      <c r="D153" s="308">
        <f t="shared" si="25"/>
        <v>0</v>
      </c>
      <c r="E153" s="308">
        <f t="shared" si="26"/>
        <v>0</v>
      </c>
      <c r="F153" s="308"/>
      <c r="G153" s="308">
        <f t="shared" si="28"/>
        <v>0</v>
      </c>
      <c r="H153" s="308">
        <f t="shared" si="27"/>
        <v>0</v>
      </c>
      <c r="J153" s="308">
        <v>0</v>
      </c>
    </row>
    <row r="154" spans="2:10" ht="22.2" customHeight="1">
      <c r="B154" s="319" t="s">
        <v>241</v>
      </c>
      <c r="C154" s="570"/>
      <c r="D154" s="308">
        <f t="shared" si="25"/>
        <v>0</v>
      </c>
      <c r="E154" s="308">
        <f t="shared" si="26"/>
        <v>0</v>
      </c>
      <c r="F154" s="308"/>
      <c r="G154" s="308">
        <f t="shared" si="28"/>
        <v>0</v>
      </c>
      <c r="H154" s="308">
        <f t="shared" si="27"/>
        <v>0</v>
      </c>
      <c r="J154" s="308">
        <v>0</v>
      </c>
    </row>
    <row r="155" spans="2:10" ht="22.2" customHeight="1">
      <c r="B155" s="319" t="s">
        <v>244</v>
      </c>
      <c r="C155" s="570"/>
      <c r="D155" s="308">
        <f t="shared" si="25"/>
        <v>0</v>
      </c>
      <c r="E155" s="308">
        <f t="shared" si="26"/>
        <v>0</v>
      </c>
      <c r="F155" s="308"/>
      <c r="G155" s="308">
        <f t="shared" si="28"/>
        <v>0</v>
      </c>
      <c r="H155" s="308">
        <f t="shared" si="27"/>
        <v>0</v>
      </c>
      <c r="J155" s="308">
        <v>0</v>
      </c>
    </row>
    <row r="156" spans="2:10" ht="22.2" customHeight="1">
      <c r="B156" s="319" t="s">
        <v>246</v>
      </c>
      <c r="C156" s="570"/>
      <c r="D156" s="308">
        <f t="shared" si="25"/>
        <v>0</v>
      </c>
      <c r="E156" s="308">
        <f t="shared" si="26"/>
        <v>0</v>
      </c>
      <c r="F156" s="308"/>
      <c r="G156" s="308">
        <f t="shared" si="28"/>
        <v>0</v>
      </c>
      <c r="H156" s="308">
        <f t="shared" si="27"/>
        <v>0</v>
      </c>
      <c r="J156" s="308">
        <v>0</v>
      </c>
    </row>
    <row r="157" spans="2:10" ht="22.2" customHeight="1">
      <c r="B157" s="319" t="s">
        <v>249</v>
      </c>
      <c r="C157" s="570"/>
      <c r="D157" s="308">
        <f t="shared" si="25"/>
        <v>0</v>
      </c>
      <c r="E157" s="308">
        <f t="shared" si="26"/>
        <v>0</v>
      </c>
      <c r="F157" s="308"/>
      <c r="G157" s="308">
        <f t="shared" si="28"/>
        <v>0</v>
      </c>
      <c r="H157" s="308">
        <f t="shared" si="27"/>
        <v>0</v>
      </c>
      <c r="J157" s="308">
        <v>0</v>
      </c>
    </row>
    <row r="158" spans="2:10" ht="22.2" customHeight="1">
      <c r="B158" s="319" t="s">
        <v>252</v>
      </c>
      <c r="C158" s="570"/>
      <c r="D158" s="308">
        <f t="shared" si="25"/>
        <v>0</v>
      </c>
      <c r="E158" s="308">
        <f t="shared" si="26"/>
        <v>0</v>
      </c>
      <c r="F158" s="308"/>
      <c r="G158" s="308">
        <f t="shared" si="28"/>
        <v>0</v>
      </c>
      <c r="H158" s="308">
        <f t="shared" si="27"/>
        <v>0</v>
      </c>
      <c r="J158" s="308">
        <v>0</v>
      </c>
    </row>
    <row r="159" spans="2:10" ht="22.2" customHeight="1">
      <c r="B159" s="319" t="s">
        <v>255</v>
      </c>
      <c r="C159" s="570"/>
      <c r="D159" s="308">
        <f t="shared" si="25"/>
        <v>0</v>
      </c>
      <c r="E159" s="308">
        <f t="shared" si="26"/>
        <v>0</v>
      </c>
      <c r="F159" s="308"/>
      <c r="G159" s="308">
        <f t="shared" si="28"/>
        <v>0</v>
      </c>
      <c r="H159" s="308">
        <f t="shared" si="27"/>
        <v>0</v>
      </c>
      <c r="J159" s="308">
        <v>0</v>
      </c>
    </row>
    <row r="160" spans="2:10" ht="22.2" customHeight="1">
      <c r="B160" s="319" t="s">
        <v>258</v>
      </c>
      <c r="C160" s="570"/>
      <c r="D160" s="308">
        <f t="shared" si="25"/>
        <v>0</v>
      </c>
      <c r="E160" s="308">
        <f t="shared" si="26"/>
        <v>0</v>
      </c>
      <c r="F160" s="308"/>
      <c r="G160" s="308">
        <f t="shared" si="28"/>
        <v>0</v>
      </c>
      <c r="H160" s="308">
        <f t="shared" si="27"/>
        <v>0</v>
      </c>
      <c r="J160" s="308">
        <v>0</v>
      </c>
    </row>
    <row r="161" spans="2:10" ht="22.2" customHeight="1">
      <c r="B161" s="319" t="s">
        <v>261</v>
      </c>
      <c r="C161" s="570"/>
      <c r="D161" s="308">
        <f t="shared" si="25"/>
        <v>0</v>
      </c>
      <c r="E161" s="308">
        <f t="shared" si="26"/>
        <v>0</v>
      </c>
      <c r="F161" s="308"/>
      <c r="G161" s="308">
        <f t="shared" si="28"/>
        <v>0</v>
      </c>
      <c r="H161" s="308">
        <f t="shared" si="27"/>
        <v>0</v>
      </c>
      <c r="J161" s="308">
        <v>0</v>
      </c>
    </row>
    <row r="162" spans="2:10" ht="22.2" customHeight="1">
      <c r="B162" s="319" t="s">
        <v>264</v>
      </c>
      <c r="C162" s="570"/>
      <c r="D162" s="308">
        <f t="shared" si="25"/>
        <v>0</v>
      </c>
      <c r="E162" s="308">
        <f t="shared" si="26"/>
        <v>0</v>
      </c>
      <c r="F162" s="308"/>
      <c r="G162" s="308">
        <f t="shared" si="28"/>
        <v>0</v>
      </c>
      <c r="H162" s="308">
        <f t="shared" si="27"/>
        <v>0</v>
      </c>
      <c r="J162" s="308">
        <v>0</v>
      </c>
    </row>
    <row r="163" spans="2:10" ht="22.2" customHeight="1">
      <c r="B163" s="321" t="s">
        <v>213</v>
      </c>
      <c r="C163" s="322">
        <f>+SUM(C151:C162)</f>
        <v>0</v>
      </c>
      <c r="D163" s="322">
        <f>+SUM(D151:D162)</f>
        <v>0</v>
      </c>
      <c r="E163" s="322">
        <f>+SUM(E151:E162)</f>
        <v>0</v>
      </c>
      <c r="F163" s="323"/>
      <c r="G163" s="322">
        <f>+SUM(G151:G162)</f>
        <v>0</v>
      </c>
      <c r="H163" s="322">
        <f>+SUM(H151:H162)</f>
        <v>0</v>
      </c>
      <c r="J163" s="322">
        <f>+SUM(J151:J162)</f>
        <v>0</v>
      </c>
    </row>
    <row r="164" spans="2:10" ht="22.2" customHeight="1"/>
    <row r="165" spans="2:10" ht="22.2" customHeight="1"/>
    <row r="166" spans="2:10" ht="22.2" customHeight="1">
      <c r="B166" s="105" t="s">
        <v>324</v>
      </c>
      <c r="C166" s="581"/>
      <c r="D166" s="43"/>
      <c r="E166" s="43"/>
      <c r="F166" s="43"/>
      <c r="G166" s="43"/>
      <c r="H166" s="43"/>
    </row>
    <row r="167" spans="2:10" ht="22.2" customHeight="1">
      <c r="B167" s="105" t="s">
        <v>326</v>
      </c>
      <c r="C167" s="582"/>
      <c r="D167" s="43"/>
      <c r="E167" s="43"/>
      <c r="F167" s="43"/>
      <c r="G167" s="43"/>
      <c r="H167" s="43"/>
    </row>
    <row r="168" spans="2:10" ht="22.2" customHeight="1">
      <c r="B168" s="95" t="s">
        <v>192</v>
      </c>
      <c r="C168" s="95" t="s">
        <v>227</v>
      </c>
      <c r="D168" s="95" t="s">
        <v>228</v>
      </c>
      <c r="E168" s="95" t="s">
        <v>327</v>
      </c>
      <c r="F168" s="95"/>
      <c r="G168" s="95" t="s">
        <v>328</v>
      </c>
      <c r="H168" s="95" t="s">
        <v>329</v>
      </c>
      <c r="J168" s="95" t="s">
        <v>330</v>
      </c>
    </row>
    <row r="169" spans="2:10" ht="22.2" customHeight="1">
      <c r="B169" s="319" t="s">
        <v>232</v>
      </c>
      <c r="C169" s="570"/>
      <c r="D169" s="308">
        <f t="shared" ref="D169:D180" si="29">+C169*0.16</f>
        <v>0</v>
      </c>
      <c r="E169" s="308">
        <f t="shared" ref="E169:E180" si="30">+C169+D169</f>
        <v>0</v>
      </c>
      <c r="F169" s="308"/>
      <c r="G169" s="308">
        <f>+(D169/3)*2</f>
        <v>0</v>
      </c>
      <c r="H169" s="308">
        <f t="shared" ref="H169:H180" si="31">+C169*0.1</f>
        <v>0</v>
      </c>
      <c r="J169" s="308">
        <v>0</v>
      </c>
    </row>
    <row r="170" spans="2:10" ht="22.2" customHeight="1">
      <c r="B170" s="319" t="s">
        <v>235</v>
      </c>
      <c r="C170" s="570"/>
      <c r="D170" s="308">
        <f t="shared" si="29"/>
        <v>0</v>
      </c>
      <c r="E170" s="308">
        <f t="shared" si="30"/>
        <v>0</v>
      </c>
      <c r="F170" s="308"/>
      <c r="G170" s="308">
        <f t="shared" ref="G170:G180" si="32">+(D170/3)*2</f>
        <v>0</v>
      </c>
      <c r="H170" s="308">
        <f t="shared" si="31"/>
        <v>0</v>
      </c>
      <c r="J170" s="308">
        <v>0</v>
      </c>
    </row>
    <row r="171" spans="2:10" ht="22.2" customHeight="1">
      <c r="B171" s="319" t="s">
        <v>238</v>
      </c>
      <c r="C171" s="570"/>
      <c r="D171" s="308">
        <f t="shared" si="29"/>
        <v>0</v>
      </c>
      <c r="E171" s="308">
        <f t="shared" si="30"/>
        <v>0</v>
      </c>
      <c r="F171" s="308"/>
      <c r="G171" s="308">
        <f t="shared" si="32"/>
        <v>0</v>
      </c>
      <c r="H171" s="308">
        <f t="shared" si="31"/>
        <v>0</v>
      </c>
      <c r="J171" s="308">
        <v>0</v>
      </c>
    </row>
    <row r="172" spans="2:10" ht="22.2" customHeight="1">
      <c r="B172" s="319" t="s">
        <v>241</v>
      </c>
      <c r="C172" s="570"/>
      <c r="D172" s="308">
        <f t="shared" si="29"/>
        <v>0</v>
      </c>
      <c r="E172" s="308">
        <f t="shared" si="30"/>
        <v>0</v>
      </c>
      <c r="F172" s="308"/>
      <c r="G172" s="308">
        <f t="shared" si="32"/>
        <v>0</v>
      </c>
      <c r="H172" s="308">
        <f t="shared" si="31"/>
        <v>0</v>
      </c>
      <c r="J172" s="308">
        <v>0</v>
      </c>
    </row>
    <row r="173" spans="2:10" ht="22.2" customHeight="1">
      <c r="B173" s="319" t="s">
        <v>244</v>
      </c>
      <c r="C173" s="570"/>
      <c r="D173" s="308">
        <f t="shared" si="29"/>
        <v>0</v>
      </c>
      <c r="E173" s="308">
        <f t="shared" si="30"/>
        <v>0</v>
      </c>
      <c r="F173" s="308"/>
      <c r="G173" s="308">
        <f t="shared" si="32"/>
        <v>0</v>
      </c>
      <c r="H173" s="308">
        <f t="shared" si="31"/>
        <v>0</v>
      </c>
      <c r="J173" s="308">
        <v>0</v>
      </c>
    </row>
    <row r="174" spans="2:10" ht="22.2" customHeight="1">
      <c r="B174" s="319" t="s">
        <v>246</v>
      </c>
      <c r="C174" s="570"/>
      <c r="D174" s="308">
        <f t="shared" si="29"/>
        <v>0</v>
      </c>
      <c r="E174" s="308">
        <f t="shared" si="30"/>
        <v>0</v>
      </c>
      <c r="F174" s="308"/>
      <c r="G174" s="308">
        <f t="shared" si="32"/>
        <v>0</v>
      </c>
      <c r="H174" s="308">
        <f t="shared" si="31"/>
        <v>0</v>
      </c>
      <c r="J174" s="308">
        <v>0</v>
      </c>
    </row>
    <row r="175" spans="2:10" ht="22.2" customHeight="1">
      <c r="B175" s="319" t="s">
        <v>249</v>
      </c>
      <c r="C175" s="570"/>
      <c r="D175" s="308">
        <f t="shared" si="29"/>
        <v>0</v>
      </c>
      <c r="E175" s="308">
        <f t="shared" si="30"/>
        <v>0</v>
      </c>
      <c r="F175" s="308"/>
      <c r="G175" s="308">
        <f t="shared" si="32"/>
        <v>0</v>
      </c>
      <c r="H175" s="308">
        <f t="shared" si="31"/>
        <v>0</v>
      </c>
      <c r="J175" s="308">
        <v>0</v>
      </c>
    </row>
    <row r="176" spans="2:10" ht="22.2" customHeight="1">
      <c r="B176" s="319" t="s">
        <v>252</v>
      </c>
      <c r="C176" s="570"/>
      <c r="D176" s="308">
        <f t="shared" si="29"/>
        <v>0</v>
      </c>
      <c r="E176" s="308">
        <f t="shared" si="30"/>
        <v>0</v>
      </c>
      <c r="F176" s="308"/>
      <c r="G176" s="308">
        <f t="shared" si="32"/>
        <v>0</v>
      </c>
      <c r="H176" s="308">
        <f t="shared" si="31"/>
        <v>0</v>
      </c>
      <c r="J176" s="308">
        <v>0</v>
      </c>
    </row>
    <row r="177" spans="2:10" ht="22.2" customHeight="1">
      <c r="B177" s="319" t="s">
        <v>255</v>
      </c>
      <c r="C177" s="570"/>
      <c r="D177" s="308">
        <f t="shared" si="29"/>
        <v>0</v>
      </c>
      <c r="E177" s="308">
        <f t="shared" si="30"/>
        <v>0</v>
      </c>
      <c r="F177" s="308"/>
      <c r="G177" s="308">
        <f t="shared" si="32"/>
        <v>0</v>
      </c>
      <c r="H177" s="308">
        <f t="shared" si="31"/>
        <v>0</v>
      </c>
      <c r="J177" s="308">
        <v>0</v>
      </c>
    </row>
    <row r="178" spans="2:10" ht="22.2" customHeight="1">
      <c r="B178" s="319" t="s">
        <v>258</v>
      </c>
      <c r="C178" s="570"/>
      <c r="D178" s="308">
        <f t="shared" si="29"/>
        <v>0</v>
      </c>
      <c r="E178" s="308">
        <f t="shared" si="30"/>
        <v>0</v>
      </c>
      <c r="F178" s="308"/>
      <c r="G178" s="308">
        <f t="shared" si="32"/>
        <v>0</v>
      </c>
      <c r="H178" s="308">
        <f t="shared" si="31"/>
        <v>0</v>
      </c>
      <c r="J178" s="308">
        <v>0</v>
      </c>
    </row>
    <row r="179" spans="2:10" ht="22.2" customHeight="1">
      <c r="B179" s="319" t="s">
        <v>261</v>
      </c>
      <c r="C179" s="570"/>
      <c r="D179" s="308">
        <f t="shared" si="29"/>
        <v>0</v>
      </c>
      <c r="E179" s="308">
        <f t="shared" si="30"/>
        <v>0</v>
      </c>
      <c r="F179" s="308"/>
      <c r="G179" s="308">
        <f t="shared" si="32"/>
        <v>0</v>
      </c>
      <c r="H179" s="308">
        <f t="shared" si="31"/>
        <v>0</v>
      </c>
      <c r="J179" s="308">
        <v>0</v>
      </c>
    </row>
    <row r="180" spans="2:10" ht="22.2" customHeight="1">
      <c r="B180" s="319" t="s">
        <v>264</v>
      </c>
      <c r="C180" s="570"/>
      <c r="D180" s="308">
        <f t="shared" si="29"/>
        <v>0</v>
      </c>
      <c r="E180" s="308">
        <f t="shared" si="30"/>
        <v>0</v>
      </c>
      <c r="F180" s="308"/>
      <c r="G180" s="308">
        <f t="shared" si="32"/>
        <v>0</v>
      </c>
      <c r="H180" s="308">
        <f t="shared" si="31"/>
        <v>0</v>
      </c>
      <c r="J180" s="308">
        <v>0</v>
      </c>
    </row>
    <row r="181" spans="2:10" ht="22.2" customHeight="1">
      <c r="B181" s="321" t="s">
        <v>213</v>
      </c>
      <c r="C181" s="322">
        <f>+SUM(C169:C180)</f>
        <v>0</v>
      </c>
      <c r="D181" s="322">
        <f>+SUM(D169:D180)</f>
        <v>0</v>
      </c>
      <c r="E181" s="322">
        <f>+SUM(E169:E180)</f>
        <v>0</v>
      </c>
      <c r="F181" s="323"/>
      <c r="G181" s="322">
        <f>+SUM(G169:G180)</f>
        <v>0</v>
      </c>
      <c r="H181" s="322">
        <f>+SUM(H169:H180)</f>
        <v>0</v>
      </c>
      <c r="J181" s="322">
        <f>+SUM(J169:J180)</f>
        <v>0</v>
      </c>
    </row>
    <row r="182" spans="2:10" ht="22.2" customHeight="1"/>
    <row r="183" spans="2:10" ht="22.2" customHeight="1"/>
    <row r="184" spans="2:10" ht="22.2" customHeight="1">
      <c r="B184" s="105" t="s">
        <v>324</v>
      </c>
      <c r="C184" s="581"/>
      <c r="D184" s="43"/>
      <c r="E184" s="43"/>
      <c r="F184" s="43"/>
      <c r="G184" s="43"/>
      <c r="H184" s="43"/>
    </row>
    <row r="185" spans="2:10" ht="22.2" customHeight="1">
      <c r="B185" s="105" t="s">
        <v>326</v>
      </c>
      <c r="C185" s="582"/>
      <c r="D185" s="43"/>
      <c r="E185" s="43"/>
      <c r="F185" s="43"/>
      <c r="G185" s="43"/>
      <c r="H185" s="43"/>
    </row>
    <row r="186" spans="2:10" ht="22.2" customHeight="1">
      <c r="B186" s="95" t="s">
        <v>192</v>
      </c>
      <c r="C186" s="95" t="s">
        <v>227</v>
      </c>
      <c r="D186" s="95" t="s">
        <v>228</v>
      </c>
      <c r="E186" s="95" t="s">
        <v>327</v>
      </c>
      <c r="F186" s="95"/>
      <c r="G186" s="95" t="s">
        <v>328</v>
      </c>
      <c r="H186" s="95" t="s">
        <v>329</v>
      </c>
      <c r="J186" s="95" t="s">
        <v>330</v>
      </c>
    </row>
    <row r="187" spans="2:10" ht="22.2" customHeight="1">
      <c r="B187" s="319" t="s">
        <v>232</v>
      </c>
      <c r="C187" s="570"/>
      <c r="D187" s="308">
        <f t="shared" ref="D187:D198" si="33">+C187*0.16</f>
        <v>0</v>
      </c>
      <c r="E187" s="308">
        <f t="shared" ref="E187:E198" si="34">+C187+D187</f>
        <v>0</v>
      </c>
      <c r="F187" s="308"/>
      <c r="G187" s="308">
        <f>+(D187/3)*2</f>
        <v>0</v>
      </c>
      <c r="H187" s="308">
        <f t="shared" ref="H187:H198" si="35">+C187*0.1</f>
        <v>0</v>
      </c>
      <c r="J187" s="308">
        <v>0</v>
      </c>
    </row>
    <row r="188" spans="2:10" ht="22.2" customHeight="1">
      <c r="B188" s="319" t="s">
        <v>235</v>
      </c>
      <c r="C188" s="570"/>
      <c r="D188" s="308">
        <f t="shared" si="33"/>
        <v>0</v>
      </c>
      <c r="E188" s="308">
        <f t="shared" si="34"/>
        <v>0</v>
      </c>
      <c r="F188" s="308"/>
      <c r="G188" s="308">
        <f t="shared" ref="G188:G198" si="36">+(D188/3)*2</f>
        <v>0</v>
      </c>
      <c r="H188" s="308">
        <f t="shared" si="35"/>
        <v>0</v>
      </c>
      <c r="J188" s="308">
        <v>0</v>
      </c>
    </row>
    <row r="189" spans="2:10" ht="22.2" customHeight="1">
      <c r="B189" s="319" t="s">
        <v>238</v>
      </c>
      <c r="C189" s="570"/>
      <c r="D189" s="308">
        <f t="shared" si="33"/>
        <v>0</v>
      </c>
      <c r="E189" s="308">
        <f t="shared" si="34"/>
        <v>0</v>
      </c>
      <c r="F189" s="308"/>
      <c r="G189" s="308">
        <f t="shared" si="36"/>
        <v>0</v>
      </c>
      <c r="H189" s="308">
        <f t="shared" si="35"/>
        <v>0</v>
      </c>
      <c r="J189" s="308">
        <v>0</v>
      </c>
    </row>
    <row r="190" spans="2:10" ht="22.2" customHeight="1">
      <c r="B190" s="319" t="s">
        <v>241</v>
      </c>
      <c r="C190" s="570"/>
      <c r="D190" s="308">
        <f t="shared" si="33"/>
        <v>0</v>
      </c>
      <c r="E190" s="308">
        <f t="shared" si="34"/>
        <v>0</v>
      </c>
      <c r="F190" s="308"/>
      <c r="G190" s="308">
        <f t="shared" si="36"/>
        <v>0</v>
      </c>
      <c r="H190" s="308">
        <f t="shared" si="35"/>
        <v>0</v>
      </c>
      <c r="J190" s="308">
        <v>0</v>
      </c>
    </row>
    <row r="191" spans="2:10" ht="22.2" customHeight="1">
      <c r="B191" s="319" t="s">
        <v>244</v>
      </c>
      <c r="C191" s="570"/>
      <c r="D191" s="308">
        <f t="shared" si="33"/>
        <v>0</v>
      </c>
      <c r="E191" s="308">
        <f t="shared" si="34"/>
        <v>0</v>
      </c>
      <c r="F191" s="308"/>
      <c r="G191" s="308">
        <f t="shared" si="36"/>
        <v>0</v>
      </c>
      <c r="H191" s="308">
        <f t="shared" si="35"/>
        <v>0</v>
      </c>
      <c r="J191" s="308">
        <v>0</v>
      </c>
    </row>
    <row r="192" spans="2:10" ht="22.2" customHeight="1">
      <c r="B192" s="319" t="s">
        <v>246</v>
      </c>
      <c r="C192" s="570"/>
      <c r="D192" s="308">
        <f t="shared" si="33"/>
        <v>0</v>
      </c>
      <c r="E192" s="308">
        <f t="shared" si="34"/>
        <v>0</v>
      </c>
      <c r="F192" s="308"/>
      <c r="G192" s="308">
        <f t="shared" si="36"/>
        <v>0</v>
      </c>
      <c r="H192" s="308">
        <f t="shared" si="35"/>
        <v>0</v>
      </c>
      <c r="J192" s="308">
        <v>0</v>
      </c>
    </row>
    <row r="193" spans="2:10" ht="22.2" customHeight="1">
      <c r="B193" s="319" t="s">
        <v>249</v>
      </c>
      <c r="C193" s="570"/>
      <c r="D193" s="308">
        <f t="shared" si="33"/>
        <v>0</v>
      </c>
      <c r="E193" s="308">
        <f t="shared" si="34"/>
        <v>0</v>
      </c>
      <c r="F193" s="308"/>
      <c r="G193" s="308">
        <f t="shared" si="36"/>
        <v>0</v>
      </c>
      <c r="H193" s="308">
        <f t="shared" si="35"/>
        <v>0</v>
      </c>
      <c r="J193" s="308">
        <v>0</v>
      </c>
    </row>
    <row r="194" spans="2:10" ht="22.2" customHeight="1">
      <c r="B194" s="319" t="s">
        <v>252</v>
      </c>
      <c r="C194" s="570"/>
      <c r="D194" s="308">
        <f t="shared" si="33"/>
        <v>0</v>
      </c>
      <c r="E194" s="308">
        <f t="shared" si="34"/>
        <v>0</v>
      </c>
      <c r="F194" s="308"/>
      <c r="G194" s="308">
        <f t="shared" si="36"/>
        <v>0</v>
      </c>
      <c r="H194" s="308">
        <f t="shared" si="35"/>
        <v>0</v>
      </c>
      <c r="J194" s="308">
        <v>0</v>
      </c>
    </row>
    <row r="195" spans="2:10" ht="22.2" customHeight="1">
      <c r="B195" s="319" t="s">
        <v>255</v>
      </c>
      <c r="C195" s="570"/>
      <c r="D195" s="308">
        <f t="shared" si="33"/>
        <v>0</v>
      </c>
      <c r="E195" s="308">
        <f t="shared" si="34"/>
        <v>0</v>
      </c>
      <c r="F195" s="308"/>
      <c r="G195" s="308">
        <f t="shared" si="36"/>
        <v>0</v>
      </c>
      <c r="H195" s="308">
        <f t="shared" si="35"/>
        <v>0</v>
      </c>
      <c r="J195" s="308">
        <v>0</v>
      </c>
    </row>
    <row r="196" spans="2:10" ht="22.2" customHeight="1">
      <c r="B196" s="319" t="s">
        <v>258</v>
      </c>
      <c r="C196" s="570"/>
      <c r="D196" s="308">
        <f t="shared" si="33"/>
        <v>0</v>
      </c>
      <c r="E196" s="308">
        <f t="shared" si="34"/>
        <v>0</v>
      </c>
      <c r="F196" s="308"/>
      <c r="G196" s="308">
        <f t="shared" si="36"/>
        <v>0</v>
      </c>
      <c r="H196" s="308">
        <f t="shared" si="35"/>
        <v>0</v>
      </c>
      <c r="J196" s="308">
        <v>0</v>
      </c>
    </row>
    <row r="197" spans="2:10" ht="22.2" customHeight="1">
      <c r="B197" s="319" t="s">
        <v>261</v>
      </c>
      <c r="C197" s="570"/>
      <c r="D197" s="308">
        <f t="shared" si="33"/>
        <v>0</v>
      </c>
      <c r="E197" s="308">
        <f t="shared" si="34"/>
        <v>0</v>
      </c>
      <c r="F197" s="308"/>
      <c r="G197" s="308">
        <f t="shared" si="36"/>
        <v>0</v>
      </c>
      <c r="H197" s="308">
        <f t="shared" si="35"/>
        <v>0</v>
      </c>
      <c r="J197" s="308">
        <v>0</v>
      </c>
    </row>
    <row r="198" spans="2:10" ht="22.2" customHeight="1">
      <c r="B198" s="319" t="s">
        <v>264</v>
      </c>
      <c r="C198" s="570"/>
      <c r="D198" s="308">
        <f t="shared" si="33"/>
        <v>0</v>
      </c>
      <c r="E198" s="308">
        <f t="shared" si="34"/>
        <v>0</v>
      </c>
      <c r="F198" s="308"/>
      <c r="G198" s="308">
        <f t="shared" si="36"/>
        <v>0</v>
      </c>
      <c r="H198" s="308">
        <f t="shared" si="35"/>
        <v>0</v>
      </c>
      <c r="J198" s="308">
        <v>0</v>
      </c>
    </row>
    <row r="199" spans="2:10" ht="22.2" customHeight="1">
      <c r="B199" s="321" t="s">
        <v>213</v>
      </c>
      <c r="C199" s="322">
        <f>+SUM(C187:C198)</f>
        <v>0</v>
      </c>
      <c r="D199" s="322">
        <f>+SUM(D187:D198)</f>
        <v>0</v>
      </c>
      <c r="E199" s="322">
        <f>+SUM(E187:E198)</f>
        <v>0</v>
      </c>
      <c r="F199" s="323"/>
      <c r="G199" s="322">
        <f>+SUM(G187:G198)</f>
        <v>0</v>
      </c>
      <c r="H199" s="322">
        <f>+SUM(H187:H198)</f>
        <v>0</v>
      </c>
      <c r="J199" s="322">
        <f>+SUM(J187:J198)</f>
        <v>0</v>
      </c>
    </row>
    <row r="200" spans="2:10" ht="22.2" customHeight="1"/>
    <row r="201" spans="2:10" ht="22.2" customHeight="1"/>
    <row r="202" spans="2:10" ht="22.2" customHeight="1"/>
    <row r="203" spans="2:10" ht="22.2" customHeight="1"/>
    <row r="204" spans="2:10" ht="22.2" customHeight="1"/>
    <row r="205" spans="2:10" ht="22.2" customHeight="1">
      <c r="B205" s="662" t="str">
        <f>B127</f>
        <v>NOMBRE EN MAYUSCULAS</v>
      </c>
      <c r="C205" s="662"/>
      <c r="D205" s="662"/>
      <c r="E205" s="662"/>
      <c r="F205" s="662"/>
      <c r="G205" s="662"/>
      <c r="H205" s="662"/>
    </row>
    <row r="206" spans="2:10" ht="22.2" customHeight="1">
      <c r="B206" s="663" t="s">
        <v>301</v>
      </c>
      <c r="C206" s="663"/>
      <c r="D206" s="663"/>
      <c r="E206" s="663"/>
      <c r="F206" s="663"/>
      <c r="G206" s="663"/>
      <c r="H206" s="663"/>
    </row>
    <row r="207" spans="2:10" ht="22.2" customHeight="1"/>
    <row r="208" spans="2:10" ht="22.2" customHeight="1">
      <c r="B208" s="105" t="s">
        <v>324</v>
      </c>
      <c r="C208" s="581"/>
      <c r="D208" s="43"/>
      <c r="E208" s="43"/>
      <c r="F208" s="43"/>
      <c r="G208" s="43"/>
      <c r="H208" s="43"/>
    </row>
    <row r="209" spans="2:10" ht="22.2" customHeight="1">
      <c r="B209" s="105" t="s">
        <v>326</v>
      </c>
      <c r="C209" s="582"/>
      <c r="D209" s="43"/>
      <c r="E209" s="43"/>
      <c r="F209" s="43"/>
      <c r="G209" s="43"/>
      <c r="H209" s="43"/>
    </row>
    <row r="210" spans="2:10" ht="22.2" customHeight="1">
      <c r="B210" s="95" t="s">
        <v>192</v>
      </c>
      <c r="C210" s="95" t="s">
        <v>227</v>
      </c>
      <c r="D210" s="95" t="s">
        <v>228</v>
      </c>
      <c r="E210" s="95" t="s">
        <v>327</v>
      </c>
      <c r="F210" s="95"/>
      <c r="G210" s="95" t="s">
        <v>328</v>
      </c>
      <c r="H210" s="95" t="s">
        <v>329</v>
      </c>
      <c r="J210" s="95" t="s">
        <v>330</v>
      </c>
    </row>
    <row r="211" spans="2:10" ht="22.2" customHeight="1">
      <c r="B211" s="319" t="s">
        <v>232</v>
      </c>
      <c r="C211" s="570"/>
      <c r="D211" s="308">
        <f t="shared" ref="D211:D222" si="37">+C211*0.16</f>
        <v>0</v>
      </c>
      <c r="E211" s="308">
        <f t="shared" ref="E211:E222" si="38">+C211+D211</f>
        <v>0</v>
      </c>
      <c r="F211" s="308"/>
      <c r="G211" s="308">
        <f>+(D211/3)*2</f>
        <v>0</v>
      </c>
      <c r="H211" s="308">
        <f t="shared" ref="H211:H222" si="39">+C211*0.1</f>
        <v>0</v>
      </c>
      <c r="J211" s="308">
        <v>0</v>
      </c>
    </row>
    <row r="212" spans="2:10" ht="22.2" customHeight="1">
      <c r="B212" s="319" t="s">
        <v>235</v>
      </c>
      <c r="C212" s="570"/>
      <c r="D212" s="308">
        <f t="shared" si="37"/>
        <v>0</v>
      </c>
      <c r="E212" s="308">
        <f t="shared" si="38"/>
        <v>0</v>
      </c>
      <c r="F212" s="308"/>
      <c r="G212" s="308">
        <f t="shared" ref="G212:G222" si="40">+(D212/3)*2</f>
        <v>0</v>
      </c>
      <c r="H212" s="308">
        <f t="shared" si="39"/>
        <v>0</v>
      </c>
      <c r="J212" s="308">
        <v>0</v>
      </c>
    </row>
    <row r="213" spans="2:10" ht="22.2" customHeight="1">
      <c r="B213" s="319" t="s">
        <v>238</v>
      </c>
      <c r="C213" s="570"/>
      <c r="D213" s="308">
        <f t="shared" si="37"/>
        <v>0</v>
      </c>
      <c r="E213" s="308">
        <f t="shared" si="38"/>
        <v>0</v>
      </c>
      <c r="F213" s="308"/>
      <c r="G213" s="308">
        <f t="shared" si="40"/>
        <v>0</v>
      </c>
      <c r="H213" s="308">
        <f t="shared" si="39"/>
        <v>0</v>
      </c>
      <c r="J213" s="308">
        <v>0</v>
      </c>
    </row>
    <row r="214" spans="2:10" ht="22.2" customHeight="1">
      <c r="B214" s="319" t="s">
        <v>241</v>
      </c>
      <c r="C214" s="570"/>
      <c r="D214" s="308">
        <f t="shared" si="37"/>
        <v>0</v>
      </c>
      <c r="E214" s="308">
        <f t="shared" si="38"/>
        <v>0</v>
      </c>
      <c r="F214" s="308"/>
      <c r="G214" s="308">
        <f t="shared" si="40"/>
        <v>0</v>
      </c>
      <c r="H214" s="308">
        <f t="shared" si="39"/>
        <v>0</v>
      </c>
      <c r="J214" s="308">
        <v>0</v>
      </c>
    </row>
    <row r="215" spans="2:10" ht="22.2" customHeight="1">
      <c r="B215" s="319" t="s">
        <v>244</v>
      </c>
      <c r="C215" s="570"/>
      <c r="D215" s="308">
        <f t="shared" si="37"/>
        <v>0</v>
      </c>
      <c r="E215" s="308">
        <f t="shared" si="38"/>
        <v>0</v>
      </c>
      <c r="F215" s="308"/>
      <c r="G215" s="308">
        <f t="shared" si="40"/>
        <v>0</v>
      </c>
      <c r="H215" s="308">
        <f t="shared" si="39"/>
        <v>0</v>
      </c>
      <c r="J215" s="308">
        <v>0</v>
      </c>
    </row>
    <row r="216" spans="2:10" ht="22.2" customHeight="1">
      <c r="B216" s="319" t="s">
        <v>246</v>
      </c>
      <c r="C216" s="570"/>
      <c r="D216" s="308">
        <f t="shared" si="37"/>
        <v>0</v>
      </c>
      <c r="E216" s="308">
        <f t="shared" si="38"/>
        <v>0</v>
      </c>
      <c r="F216" s="308"/>
      <c r="G216" s="308">
        <f t="shared" si="40"/>
        <v>0</v>
      </c>
      <c r="H216" s="308">
        <f t="shared" si="39"/>
        <v>0</v>
      </c>
      <c r="J216" s="308">
        <v>0</v>
      </c>
    </row>
    <row r="217" spans="2:10" ht="22.2" customHeight="1">
      <c r="B217" s="319" t="s">
        <v>249</v>
      </c>
      <c r="C217" s="570"/>
      <c r="D217" s="308">
        <f t="shared" si="37"/>
        <v>0</v>
      </c>
      <c r="E217" s="308">
        <f t="shared" si="38"/>
        <v>0</v>
      </c>
      <c r="F217" s="308"/>
      <c r="G217" s="308">
        <f t="shared" si="40"/>
        <v>0</v>
      </c>
      <c r="H217" s="308">
        <f t="shared" si="39"/>
        <v>0</v>
      </c>
      <c r="J217" s="308">
        <v>0</v>
      </c>
    </row>
    <row r="218" spans="2:10" ht="22.2" customHeight="1">
      <c r="B218" s="319" t="s">
        <v>252</v>
      </c>
      <c r="C218" s="570"/>
      <c r="D218" s="308">
        <f t="shared" si="37"/>
        <v>0</v>
      </c>
      <c r="E218" s="308">
        <f t="shared" si="38"/>
        <v>0</v>
      </c>
      <c r="F218" s="308"/>
      <c r="G218" s="308">
        <f t="shared" si="40"/>
        <v>0</v>
      </c>
      <c r="H218" s="308">
        <f t="shared" si="39"/>
        <v>0</v>
      </c>
      <c r="J218" s="308">
        <v>0</v>
      </c>
    </row>
    <row r="219" spans="2:10" ht="22.2" customHeight="1">
      <c r="B219" s="319" t="s">
        <v>255</v>
      </c>
      <c r="C219" s="570"/>
      <c r="D219" s="308">
        <f t="shared" si="37"/>
        <v>0</v>
      </c>
      <c r="E219" s="308">
        <f t="shared" si="38"/>
        <v>0</v>
      </c>
      <c r="F219" s="308"/>
      <c r="G219" s="308">
        <f t="shared" si="40"/>
        <v>0</v>
      </c>
      <c r="H219" s="308">
        <f t="shared" si="39"/>
        <v>0</v>
      </c>
      <c r="J219" s="308">
        <v>0</v>
      </c>
    </row>
    <row r="220" spans="2:10" ht="22.2" customHeight="1">
      <c r="B220" s="319" t="s">
        <v>258</v>
      </c>
      <c r="C220" s="570"/>
      <c r="D220" s="308">
        <f t="shared" si="37"/>
        <v>0</v>
      </c>
      <c r="E220" s="308">
        <f t="shared" si="38"/>
        <v>0</v>
      </c>
      <c r="F220" s="308"/>
      <c r="G220" s="308">
        <f t="shared" si="40"/>
        <v>0</v>
      </c>
      <c r="H220" s="308">
        <f t="shared" si="39"/>
        <v>0</v>
      </c>
      <c r="J220" s="308">
        <v>0</v>
      </c>
    </row>
    <row r="221" spans="2:10" ht="22.2" customHeight="1">
      <c r="B221" s="319" t="s">
        <v>261</v>
      </c>
      <c r="C221" s="570"/>
      <c r="D221" s="308">
        <f t="shared" si="37"/>
        <v>0</v>
      </c>
      <c r="E221" s="308">
        <f t="shared" si="38"/>
        <v>0</v>
      </c>
      <c r="F221" s="308"/>
      <c r="G221" s="308">
        <f t="shared" si="40"/>
        <v>0</v>
      </c>
      <c r="H221" s="308">
        <f t="shared" si="39"/>
        <v>0</v>
      </c>
      <c r="J221" s="308">
        <v>0</v>
      </c>
    </row>
    <row r="222" spans="2:10" ht="22.2" customHeight="1">
      <c r="B222" s="319" t="s">
        <v>264</v>
      </c>
      <c r="C222" s="570"/>
      <c r="D222" s="308">
        <f t="shared" si="37"/>
        <v>0</v>
      </c>
      <c r="E222" s="308">
        <f t="shared" si="38"/>
        <v>0</v>
      </c>
      <c r="F222" s="308"/>
      <c r="G222" s="308">
        <f t="shared" si="40"/>
        <v>0</v>
      </c>
      <c r="H222" s="308">
        <f t="shared" si="39"/>
        <v>0</v>
      </c>
      <c r="J222" s="308">
        <v>0</v>
      </c>
    </row>
    <row r="223" spans="2:10" ht="22.2" customHeight="1">
      <c r="B223" s="321" t="s">
        <v>213</v>
      </c>
      <c r="C223" s="322">
        <f>+SUM(C211:C222)</f>
        <v>0</v>
      </c>
      <c r="D223" s="322">
        <f>+SUM(D211:D222)</f>
        <v>0</v>
      </c>
      <c r="E223" s="322">
        <f>+SUM(E211:E222)</f>
        <v>0</v>
      </c>
      <c r="F223" s="323"/>
      <c r="G223" s="322">
        <f>+SUM(G211:G222)</f>
        <v>0</v>
      </c>
      <c r="H223" s="322">
        <f>+SUM(H211:H222)</f>
        <v>0</v>
      </c>
      <c r="J223" s="322">
        <f>+SUM(J211:J222)</f>
        <v>0</v>
      </c>
    </row>
    <row r="224" spans="2:10" ht="22.2" customHeight="1"/>
    <row r="225" spans="2:10" ht="22.2" customHeight="1"/>
    <row r="226" spans="2:10" ht="22.2" customHeight="1">
      <c r="B226" s="105" t="s">
        <v>324</v>
      </c>
      <c r="C226" s="581"/>
      <c r="D226" s="43"/>
      <c r="E226" s="43"/>
      <c r="F226" s="43"/>
      <c r="G226" s="43"/>
      <c r="H226" s="43"/>
    </row>
    <row r="227" spans="2:10" ht="22.2" customHeight="1">
      <c r="B227" s="105" t="s">
        <v>326</v>
      </c>
      <c r="C227" s="582"/>
      <c r="D227" s="43"/>
      <c r="E227" s="43"/>
      <c r="F227" s="43"/>
      <c r="G227" s="43"/>
      <c r="H227" s="43"/>
    </row>
    <row r="228" spans="2:10" ht="22.2" customHeight="1">
      <c r="B228" s="95" t="s">
        <v>192</v>
      </c>
      <c r="C228" s="95" t="s">
        <v>227</v>
      </c>
      <c r="D228" s="95" t="s">
        <v>228</v>
      </c>
      <c r="E228" s="95" t="s">
        <v>327</v>
      </c>
      <c r="F228" s="95"/>
      <c r="G228" s="95" t="s">
        <v>328</v>
      </c>
      <c r="H228" s="95" t="s">
        <v>329</v>
      </c>
      <c r="J228" s="95" t="s">
        <v>330</v>
      </c>
    </row>
    <row r="229" spans="2:10" ht="22.2" customHeight="1">
      <c r="B229" s="319" t="s">
        <v>232</v>
      </c>
      <c r="C229" s="570"/>
      <c r="D229" s="308">
        <f t="shared" ref="D229:D240" si="41">+C229*0.16</f>
        <v>0</v>
      </c>
      <c r="E229" s="308">
        <f t="shared" ref="E229:E240" si="42">+C229+D229</f>
        <v>0</v>
      </c>
      <c r="F229" s="308"/>
      <c r="G229" s="308">
        <f>+(D229/3)*2</f>
        <v>0</v>
      </c>
      <c r="H229" s="308">
        <f t="shared" ref="H229:H240" si="43">+C229*0.1</f>
        <v>0</v>
      </c>
      <c r="J229" s="308">
        <v>0</v>
      </c>
    </row>
    <row r="230" spans="2:10" ht="22.2" customHeight="1">
      <c r="B230" s="319" t="s">
        <v>235</v>
      </c>
      <c r="C230" s="570"/>
      <c r="D230" s="308">
        <f t="shared" si="41"/>
        <v>0</v>
      </c>
      <c r="E230" s="308">
        <f t="shared" si="42"/>
        <v>0</v>
      </c>
      <c r="F230" s="308"/>
      <c r="G230" s="308">
        <f t="shared" ref="G230:G240" si="44">+(D230/3)*2</f>
        <v>0</v>
      </c>
      <c r="H230" s="308">
        <f t="shared" si="43"/>
        <v>0</v>
      </c>
      <c r="J230" s="308">
        <v>0</v>
      </c>
    </row>
    <row r="231" spans="2:10" ht="22.2" customHeight="1">
      <c r="B231" s="319" t="s">
        <v>238</v>
      </c>
      <c r="C231" s="570"/>
      <c r="D231" s="308">
        <f t="shared" si="41"/>
        <v>0</v>
      </c>
      <c r="E231" s="308">
        <f t="shared" si="42"/>
        <v>0</v>
      </c>
      <c r="F231" s="308"/>
      <c r="G231" s="308">
        <f t="shared" si="44"/>
        <v>0</v>
      </c>
      <c r="H231" s="308">
        <f t="shared" si="43"/>
        <v>0</v>
      </c>
      <c r="J231" s="308">
        <v>0</v>
      </c>
    </row>
    <row r="232" spans="2:10" ht="22.2" customHeight="1">
      <c r="B232" s="319" t="s">
        <v>241</v>
      </c>
      <c r="C232" s="570"/>
      <c r="D232" s="308">
        <f t="shared" si="41"/>
        <v>0</v>
      </c>
      <c r="E232" s="308">
        <f t="shared" si="42"/>
        <v>0</v>
      </c>
      <c r="F232" s="308"/>
      <c r="G232" s="308">
        <f t="shared" si="44"/>
        <v>0</v>
      </c>
      <c r="H232" s="308">
        <f t="shared" si="43"/>
        <v>0</v>
      </c>
      <c r="J232" s="308">
        <v>0</v>
      </c>
    </row>
    <row r="233" spans="2:10" ht="22.2" customHeight="1">
      <c r="B233" s="319" t="s">
        <v>244</v>
      </c>
      <c r="C233" s="570"/>
      <c r="D233" s="308">
        <f t="shared" si="41"/>
        <v>0</v>
      </c>
      <c r="E233" s="308">
        <f t="shared" si="42"/>
        <v>0</v>
      </c>
      <c r="F233" s="308"/>
      <c r="G233" s="308">
        <f t="shared" si="44"/>
        <v>0</v>
      </c>
      <c r="H233" s="308">
        <f t="shared" si="43"/>
        <v>0</v>
      </c>
      <c r="J233" s="308">
        <v>0</v>
      </c>
    </row>
    <row r="234" spans="2:10" ht="22.2" customHeight="1">
      <c r="B234" s="319" t="s">
        <v>246</v>
      </c>
      <c r="C234" s="570"/>
      <c r="D234" s="308">
        <f t="shared" si="41"/>
        <v>0</v>
      </c>
      <c r="E234" s="308">
        <f t="shared" si="42"/>
        <v>0</v>
      </c>
      <c r="F234" s="308"/>
      <c r="G234" s="308">
        <f t="shared" si="44"/>
        <v>0</v>
      </c>
      <c r="H234" s="308">
        <f t="shared" si="43"/>
        <v>0</v>
      </c>
      <c r="J234" s="308">
        <v>0</v>
      </c>
    </row>
    <row r="235" spans="2:10" ht="22.2" customHeight="1">
      <c r="B235" s="319" t="s">
        <v>249</v>
      </c>
      <c r="C235" s="570"/>
      <c r="D235" s="308">
        <f t="shared" si="41"/>
        <v>0</v>
      </c>
      <c r="E235" s="308">
        <f t="shared" si="42"/>
        <v>0</v>
      </c>
      <c r="F235" s="308"/>
      <c r="G235" s="308">
        <f t="shared" si="44"/>
        <v>0</v>
      </c>
      <c r="H235" s="308">
        <f t="shared" si="43"/>
        <v>0</v>
      </c>
      <c r="J235" s="308">
        <v>0</v>
      </c>
    </row>
    <row r="236" spans="2:10" ht="22.2" customHeight="1">
      <c r="B236" s="319" t="s">
        <v>252</v>
      </c>
      <c r="C236" s="570"/>
      <c r="D236" s="308">
        <f t="shared" si="41"/>
        <v>0</v>
      </c>
      <c r="E236" s="308">
        <f t="shared" si="42"/>
        <v>0</v>
      </c>
      <c r="F236" s="308"/>
      <c r="G236" s="308">
        <f t="shared" si="44"/>
        <v>0</v>
      </c>
      <c r="H236" s="308">
        <f t="shared" si="43"/>
        <v>0</v>
      </c>
      <c r="J236" s="308">
        <v>0</v>
      </c>
    </row>
    <row r="237" spans="2:10" ht="22.2" customHeight="1">
      <c r="B237" s="319" t="s">
        <v>255</v>
      </c>
      <c r="C237" s="570"/>
      <c r="D237" s="308">
        <f t="shared" si="41"/>
        <v>0</v>
      </c>
      <c r="E237" s="308">
        <f t="shared" si="42"/>
        <v>0</v>
      </c>
      <c r="F237" s="308"/>
      <c r="G237" s="308">
        <f t="shared" si="44"/>
        <v>0</v>
      </c>
      <c r="H237" s="308">
        <f t="shared" si="43"/>
        <v>0</v>
      </c>
      <c r="J237" s="308">
        <v>0</v>
      </c>
    </row>
    <row r="238" spans="2:10" ht="22.2" customHeight="1">
      <c r="B238" s="319" t="s">
        <v>258</v>
      </c>
      <c r="C238" s="570"/>
      <c r="D238" s="308">
        <f t="shared" si="41"/>
        <v>0</v>
      </c>
      <c r="E238" s="308">
        <f t="shared" si="42"/>
        <v>0</v>
      </c>
      <c r="F238" s="308"/>
      <c r="G238" s="308">
        <f t="shared" si="44"/>
        <v>0</v>
      </c>
      <c r="H238" s="308">
        <f t="shared" si="43"/>
        <v>0</v>
      </c>
      <c r="J238" s="308">
        <v>0</v>
      </c>
    </row>
    <row r="239" spans="2:10" ht="22.2" customHeight="1">
      <c r="B239" s="319" t="s">
        <v>261</v>
      </c>
      <c r="C239" s="570"/>
      <c r="D239" s="308">
        <f t="shared" si="41"/>
        <v>0</v>
      </c>
      <c r="E239" s="308">
        <f t="shared" si="42"/>
        <v>0</v>
      </c>
      <c r="F239" s="308"/>
      <c r="G239" s="308">
        <f t="shared" si="44"/>
        <v>0</v>
      </c>
      <c r="H239" s="308">
        <f t="shared" si="43"/>
        <v>0</v>
      </c>
      <c r="J239" s="308">
        <v>0</v>
      </c>
    </row>
    <row r="240" spans="2:10" ht="22.2" customHeight="1">
      <c r="B240" s="319" t="s">
        <v>264</v>
      </c>
      <c r="C240" s="570"/>
      <c r="D240" s="308">
        <f t="shared" si="41"/>
        <v>0</v>
      </c>
      <c r="E240" s="308">
        <f t="shared" si="42"/>
        <v>0</v>
      </c>
      <c r="F240" s="308"/>
      <c r="G240" s="308">
        <f t="shared" si="44"/>
        <v>0</v>
      </c>
      <c r="H240" s="308">
        <f t="shared" si="43"/>
        <v>0</v>
      </c>
      <c r="J240" s="308">
        <v>0</v>
      </c>
    </row>
    <row r="241" spans="2:10" ht="22.2" customHeight="1">
      <c r="B241" s="321" t="s">
        <v>213</v>
      </c>
      <c r="C241" s="322">
        <f>+SUM(C229:C240)</f>
        <v>0</v>
      </c>
      <c r="D241" s="322">
        <f>+SUM(D229:D240)</f>
        <v>0</v>
      </c>
      <c r="E241" s="322">
        <f>+SUM(E229:E240)</f>
        <v>0</v>
      </c>
      <c r="F241" s="323"/>
      <c r="G241" s="322">
        <f>+SUM(G229:G240)</f>
        <v>0</v>
      </c>
      <c r="H241" s="322">
        <f>+SUM(H229:H240)</f>
        <v>0</v>
      </c>
      <c r="J241" s="322">
        <f>+SUM(J229:J240)</f>
        <v>0</v>
      </c>
    </row>
    <row r="242" spans="2:10" ht="22.2" customHeight="1"/>
    <row r="243" spans="2:10" ht="22.2" customHeight="1"/>
    <row r="244" spans="2:10" ht="22.2" customHeight="1">
      <c r="B244" s="105" t="s">
        <v>324</v>
      </c>
      <c r="C244" s="581"/>
      <c r="D244" s="43"/>
      <c r="E244" s="43"/>
      <c r="F244" s="43"/>
      <c r="G244" s="43"/>
      <c r="H244" s="43"/>
    </row>
    <row r="245" spans="2:10" ht="22.2" customHeight="1">
      <c r="B245" s="105" t="s">
        <v>326</v>
      </c>
      <c r="C245" s="582"/>
      <c r="D245" s="43"/>
      <c r="E245" s="43"/>
      <c r="F245" s="43"/>
      <c r="G245" s="43"/>
      <c r="H245" s="43"/>
    </row>
    <row r="246" spans="2:10" ht="22.2" customHeight="1">
      <c r="B246" s="95" t="s">
        <v>192</v>
      </c>
      <c r="C246" s="95" t="s">
        <v>227</v>
      </c>
      <c r="D246" s="95" t="s">
        <v>228</v>
      </c>
      <c r="E246" s="95" t="s">
        <v>327</v>
      </c>
      <c r="F246" s="95"/>
      <c r="G246" s="95" t="s">
        <v>328</v>
      </c>
      <c r="H246" s="95" t="s">
        <v>329</v>
      </c>
      <c r="J246" s="95" t="s">
        <v>330</v>
      </c>
    </row>
    <row r="247" spans="2:10" ht="22.2" customHeight="1">
      <c r="B247" s="319" t="s">
        <v>232</v>
      </c>
      <c r="C247" s="570"/>
      <c r="D247" s="308">
        <f t="shared" ref="D247:D258" si="45">+C247*0.16</f>
        <v>0</v>
      </c>
      <c r="E247" s="308">
        <f t="shared" ref="E247:E258" si="46">+C247+D247</f>
        <v>0</v>
      </c>
      <c r="F247" s="308"/>
      <c r="G247" s="308">
        <f>+(D247/3)*2</f>
        <v>0</v>
      </c>
      <c r="H247" s="308">
        <f t="shared" ref="H247:H258" si="47">+C247*0.1</f>
        <v>0</v>
      </c>
      <c r="J247" s="308">
        <v>0</v>
      </c>
    </row>
    <row r="248" spans="2:10" ht="22.2" customHeight="1">
      <c r="B248" s="319" t="s">
        <v>235</v>
      </c>
      <c r="C248" s="570"/>
      <c r="D248" s="308">
        <f t="shared" si="45"/>
        <v>0</v>
      </c>
      <c r="E248" s="308">
        <f t="shared" si="46"/>
        <v>0</v>
      </c>
      <c r="F248" s="308"/>
      <c r="G248" s="308">
        <f t="shared" ref="G248:G258" si="48">+(D248/3)*2</f>
        <v>0</v>
      </c>
      <c r="H248" s="308">
        <f t="shared" si="47"/>
        <v>0</v>
      </c>
      <c r="J248" s="308">
        <v>0</v>
      </c>
    </row>
    <row r="249" spans="2:10" ht="22.2" customHeight="1">
      <c r="B249" s="319" t="s">
        <v>238</v>
      </c>
      <c r="C249" s="570"/>
      <c r="D249" s="308">
        <f t="shared" si="45"/>
        <v>0</v>
      </c>
      <c r="E249" s="308">
        <f t="shared" si="46"/>
        <v>0</v>
      </c>
      <c r="F249" s="308"/>
      <c r="G249" s="308">
        <f t="shared" si="48"/>
        <v>0</v>
      </c>
      <c r="H249" s="308">
        <f t="shared" si="47"/>
        <v>0</v>
      </c>
      <c r="J249" s="308">
        <v>0</v>
      </c>
    </row>
    <row r="250" spans="2:10" ht="22.2" customHeight="1">
      <c r="B250" s="319" t="s">
        <v>241</v>
      </c>
      <c r="C250" s="570"/>
      <c r="D250" s="308">
        <f t="shared" si="45"/>
        <v>0</v>
      </c>
      <c r="E250" s="308">
        <f t="shared" si="46"/>
        <v>0</v>
      </c>
      <c r="F250" s="308"/>
      <c r="G250" s="308">
        <f t="shared" si="48"/>
        <v>0</v>
      </c>
      <c r="H250" s="308">
        <f t="shared" si="47"/>
        <v>0</v>
      </c>
      <c r="J250" s="308">
        <v>0</v>
      </c>
    </row>
    <row r="251" spans="2:10" ht="22.2" customHeight="1">
      <c r="B251" s="319" t="s">
        <v>244</v>
      </c>
      <c r="C251" s="570"/>
      <c r="D251" s="308">
        <f t="shared" si="45"/>
        <v>0</v>
      </c>
      <c r="E251" s="308">
        <f t="shared" si="46"/>
        <v>0</v>
      </c>
      <c r="F251" s="308"/>
      <c r="G251" s="308">
        <f t="shared" si="48"/>
        <v>0</v>
      </c>
      <c r="H251" s="308">
        <f t="shared" si="47"/>
        <v>0</v>
      </c>
      <c r="J251" s="308">
        <v>0</v>
      </c>
    </row>
    <row r="252" spans="2:10" ht="22.2" customHeight="1">
      <c r="B252" s="319" t="s">
        <v>246</v>
      </c>
      <c r="C252" s="570"/>
      <c r="D252" s="308">
        <f t="shared" si="45"/>
        <v>0</v>
      </c>
      <c r="E252" s="308">
        <f t="shared" si="46"/>
        <v>0</v>
      </c>
      <c r="F252" s="308"/>
      <c r="G252" s="308">
        <f t="shared" si="48"/>
        <v>0</v>
      </c>
      <c r="H252" s="308">
        <f t="shared" si="47"/>
        <v>0</v>
      </c>
      <c r="J252" s="308">
        <v>0</v>
      </c>
    </row>
    <row r="253" spans="2:10" ht="22.2" customHeight="1">
      <c r="B253" s="319" t="s">
        <v>249</v>
      </c>
      <c r="C253" s="570"/>
      <c r="D253" s="308">
        <f t="shared" si="45"/>
        <v>0</v>
      </c>
      <c r="E253" s="308">
        <f t="shared" si="46"/>
        <v>0</v>
      </c>
      <c r="F253" s="308"/>
      <c r="G253" s="308">
        <f t="shared" si="48"/>
        <v>0</v>
      </c>
      <c r="H253" s="308">
        <f t="shared" si="47"/>
        <v>0</v>
      </c>
      <c r="J253" s="308">
        <v>0</v>
      </c>
    </row>
    <row r="254" spans="2:10" ht="22.2" customHeight="1">
      <c r="B254" s="319" t="s">
        <v>252</v>
      </c>
      <c r="C254" s="570"/>
      <c r="D254" s="308">
        <f t="shared" si="45"/>
        <v>0</v>
      </c>
      <c r="E254" s="308">
        <f t="shared" si="46"/>
        <v>0</v>
      </c>
      <c r="F254" s="308"/>
      <c r="G254" s="308">
        <f t="shared" si="48"/>
        <v>0</v>
      </c>
      <c r="H254" s="308">
        <f t="shared" si="47"/>
        <v>0</v>
      </c>
      <c r="J254" s="308">
        <v>0</v>
      </c>
    </row>
    <row r="255" spans="2:10" ht="22.2" customHeight="1">
      <c r="B255" s="319" t="s">
        <v>255</v>
      </c>
      <c r="C255" s="570"/>
      <c r="D255" s="308">
        <f t="shared" si="45"/>
        <v>0</v>
      </c>
      <c r="E255" s="308">
        <f t="shared" si="46"/>
        <v>0</v>
      </c>
      <c r="F255" s="308"/>
      <c r="G255" s="308">
        <f t="shared" si="48"/>
        <v>0</v>
      </c>
      <c r="H255" s="308">
        <f t="shared" si="47"/>
        <v>0</v>
      </c>
      <c r="J255" s="308">
        <v>0</v>
      </c>
    </row>
    <row r="256" spans="2:10" ht="22.2" customHeight="1">
      <c r="B256" s="319" t="s">
        <v>258</v>
      </c>
      <c r="C256" s="570"/>
      <c r="D256" s="308">
        <f t="shared" si="45"/>
        <v>0</v>
      </c>
      <c r="E256" s="308">
        <f t="shared" si="46"/>
        <v>0</v>
      </c>
      <c r="F256" s="308"/>
      <c r="G256" s="308">
        <f t="shared" si="48"/>
        <v>0</v>
      </c>
      <c r="H256" s="308">
        <f t="shared" si="47"/>
        <v>0</v>
      </c>
      <c r="J256" s="308">
        <v>0</v>
      </c>
    </row>
    <row r="257" spans="2:10" ht="22.2" customHeight="1">
      <c r="B257" s="319" t="s">
        <v>261</v>
      </c>
      <c r="C257" s="570"/>
      <c r="D257" s="308">
        <f t="shared" si="45"/>
        <v>0</v>
      </c>
      <c r="E257" s="308">
        <f t="shared" si="46"/>
        <v>0</v>
      </c>
      <c r="F257" s="308"/>
      <c r="G257" s="308">
        <f t="shared" si="48"/>
        <v>0</v>
      </c>
      <c r="H257" s="308">
        <f t="shared" si="47"/>
        <v>0</v>
      </c>
      <c r="J257" s="308">
        <v>0</v>
      </c>
    </row>
    <row r="258" spans="2:10" ht="22.2" customHeight="1">
      <c r="B258" s="319" t="s">
        <v>264</v>
      </c>
      <c r="C258" s="570"/>
      <c r="D258" s="308">
        <f t="shared" si="45"/>
        <v>0</v>
      </c>
      <c r="E258" s="308">
        <f t="shared" si="46"/>
        <v>0</v>
      </c>
      <c r="F258" s="308"/>
      <c r="G258" s="308">
        <f t="shared" si="48"/>
        <v>0</v>
      </c>
      <c r="H258" s="308">
        <f t="shared" si="47"/>
        <v>0</v>
      </c>
      <c r="J258" s="308">
        <v>0</v>
      </c>
    </row>
    <row r="259" spans="2:10" ht="22.2" customHeight="1">
      <c r="B259" s="321" t="s">
        <v>213</v>
      </c>
      <c r="C259" s="322">
        <f>+SUM(C247:C258)</f>
        <v>0</v>
      </c>
      <c r="D259" s="322">
        <f>+SUM(D247:D258)</f>
        <v>0</v>
      </c>
      <c r="E259" s="322">
        <f>+SUM(E247:E258)</f>
        <v>0</v>
      </c>
      <c r="F259" s="323"/>
      <c r="G259" s="322">
        <f>+SUM(G247:G258)</f>
        <v>0</v>
      </c>
      <c r="H259" s="322">
        <f>+SUM(H247:H258)</f>
        <v>0</v>
      </c>
      <c r="J259" s="322">
        <f>+SUM(J247:J258)</f>
        <v>0</v>
      </c>
    </row>
    <row r="260" spans="2:10" ht="22.2" customHeight="1"/>
  </sheetData>
  <sheetProtection formatCells="0" formatColumns="0" formatRows="0" insertColumns="0" insertRows="0" deleteColumns="0" deleteRows="0"/>
  <mergeCells count="22">
    <mergeCell ref="B2:K2"/>
    <mergeCell ref="B3:K3"/>
    <mergeCell ref="B4:K4"/>
    <mergeCell ref="C6:E6"/>
    <mergeCell ref="G6:H6"/>
    <mergeCell ref="J6:K6"/>
    <mergeCell ref="B128:H128"/>
    <mergeCell ref="B205:H205"/>
    <mergeCell ref="B206:H206"/>
    <mergeCell ref="B49:H49"/>
    <mergeCell ref="B24:D24"/>
    <mergeCell ref="B25:C25"/>
    <mergeCell ref="B26:C26"/>
    <mergeCell ref="B27:C27"/>
    <mergeCell ref="B28:C28"/>
    <mergeCell ref="G24:H24"/>
    <mergeCell ref="L49:O49"/>
    <mergeCell ref="B50:H50"/>
    <mergeCell ref="L50:O50"/>
    <mergeCell ref="B127:H127"/>
    <mergeCell ref="B29:C29"/>
    <mergeCell ref="B30:C30"/>
  </mergeCells>
  <phoneticPr fontId="7" type="noConversion"/>
  <printOptions horizontalCentered="1"/>
  <pageMargins left="0.70000000000000007" right="0.70000000000000007" top="0.75000000000000011" bottom="0.75000000000000011" header="0.30000000000000004" footer="0.30000000000000004"/>
  <pageSetup scale="34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V125"/>
  <sheetViews>
    <sheetView showGridLines="0" topLeftCell="B1" zoomScaleNormal="100" zoomScaleSheetLayoutView="80" zoomScalePageLayoutView="80" workbookViewId="0">
      <selection activeCell="E14" sqref="E14"/>
    </sheetView>
  </sheetViews>
  <sheetFormatPr defaultColWidth="10.796875" defaultRowHeight="22.05" customHeight="1"/>
  <cols>
    <col min="1" max="1" width="13.19921875" style="41" customWidth="1"/>
    <col min="2" max="2" width="74.69921875" style="41" customWidth="1"/>
    <col min="3" max="3" width="24.19921875" style="41" customWidth="1"/>
    <col min="4" max="4" width="17.19921875" style="41" customWidth="1"/>
    <col min="5" max="5" width="25.69921875" style="41" customWidth="1"/>
    <col min="6" max="6" width="20" style="41" customWidth="1"/>
    <col min="7" max="7" width="21.19921875" style="41" customWidth="1"/>
    <col min="8" max="8" width="22.5" style="41" customWidth="1"/>
    <col min="9" max="9" width="24.5" style="41" customWidth="1"/>
    <col min="10" max="13" width="23.796875" style="41" customWidth="1"/>
    <col min="14" max="14" width="5.796875" style="41" customWidth="1"/>
    <col min="15" max="15" width="24.296875" style="41" customWidth="1"/>
    <col min="16" max="16" width="20" style="41" customWidth="1"/>
    <col min="17" max="16384" width="10.796875" style="41"/>
  </cols>
  <sheetData>
    <row r="2" spans="2:22" ht="22.05" customHeight="1">
      <c r="V2" s="41" t="s">
        <v>335</v>
      </c>
    </row>
    <row r="3" spans="2:22" ht="22.05" customHeight="1">
      <c r="B3" s="157" t="str">
        <f>Datos!C6</f>
        <v>NOMBRE EN MAYUSCULAS</v>
      </c>
      <c r="C3" s="67"/>
      <c r="D3" s="67"/>
      <c r="E3" s="67"/>
      <c r="F3" s="67"/>
      <c r="G3" s="67"/>
      <c r="H3" s="67"/>
      <c r="I3" s="67"/>
      <c r="J3" s="67"/>
      <c r="K3" s="67"/>
      <c r="L3" s="617"/>
      <c r="M3" s="617"/>
      <c r="V3" s="41">
        <v>1</v>
      </c>
    </row>
    <row r="4" spans="2:22" ht="22.05" customHeight="1">
      <c r="B4" s="154" t="s">
        <v>336</v>
      </c>
      <c r="C4" s="67"/>
      <c r="D4" s="67"/>
      <c r="E4" s="67"/>
      <c r="F4" s="67"/>
      <c r="G4" s="67"/>
      <c r="H4" s="67"/>
      <c r="I4" s="67"/>
      <c r="J4" s="67"/>
      <c r="K4" s="67"/>
      <c r="L4" s="617"/>
      <c r="M4" s="617"/>
      <c r="V4" s="41">
        <v>2</v>
      </c>
    </row>
    <row r="5" spans="2:22" ht="22.05" customHeight="1"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V5" s="41">
        <v>3</v>
      </c>
    </row>
    <row r="6" spans="2:22" ht="22.05" customHeight="1">
      <c r="B6" s="174" t="s">
        <v>337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V6" s="41">
        <v>4</v>
      </c>
    </row>
    <row r="7" spans="2:22" ht="38.4">
      <c r="B7" s="15" t="s">
        <v>338</v>
      </c>
      <c r="C7" s="15" t="s">
        <v>339</v>
      </c>
      <c r="D7" s="90" t="s">
        <v>340</v>
      </c>
      <c r="E7" s="90" t="s">
        <v>341</v>
      </c>
      <c r="F7" s="90" t="s">
        <v>342</v>
      </c>
      <c r="G7" s="90" t="s">
        <v>343</v>
      </c>
      <c r="H7" s="90" t="s">
        <v>344</v>
      </c>
      <c r="I7" s="90" t="s">
        <v>345</v>
      </c>
      <c r="J7" s="90" t="s">
        <v>346</v>
      </c>
      <c r="K7" s="90" t="s">
        <v>347</v>
      </c>
      <c r="L7" s="90" t="s">
        <v>348</v>
      </c>
      <c r="M7" s="90" t="s">
        <v>303</v>
      </c>
      <c r="O7" s="90" t="s">
        <v>349</v>
      </c>
      <c r="V7" s="41">
        <v>5</v>
      </c>
    </row>
    <row r="8" spans="2:22" ht="22.05" customHeight="1">
      <c r="B8" s="324" t="str">
        <f>Datos!D24</f>
        <v>Cuentas Personales</v>
      </c>
      <c r="C8" s="313" t="s">
        <v>350</v>
      </c>
      <c r="D8" s="313">
        <v>1</v>
      </c>
      <c r="E8" s="570"/>
      <c r="F8" s="570"/>
      <c r="G8" s="493">
        <f>IF(E8-F8&gt;0,E8-F8,0)</f>
        <v>0</v>
      </c>
      <c r="H8" s="493">
        <f>G8/D8</f>
        <v>0</v>
      </c>
      <c r="I8" s="493">
        <f>IF(G8&lt;=0,0,G8-H8)</f>
        <v>0</v>
      </c>
      <c r="J8" s="493">
        <f>IF(E8-F8&lt;0,E8-F8,0)</f>
        <v>0</v>
      </c>
      <c r="K8" s="493">
        <f>J8/D8</f>
        <v>0</v>
      </c>
      <c r="L8" s="493">
        <f>J8-K8</f>
        <v>0</v>
      </c>
      <c r="M8" s="583"/>
      <c r="O8" s="493">
        <f>H8+K8</f>
        <v>0</v>
      </c>
      <c r="V8" s="41">
        <v>6</v>
      </c>
    </row>
    <row r="9" spans="2:22" ht="22.05" customHeight="1">
      <c r="B9" s="324" t="str">
        <f>Datos!D25</f>
        <v>Nombre de la LP 1</v>
      </c>
      <c r="C9" s="313" t="s">
        <v>350</v>
      </c>
      <c r="D9" s="313">
        <v>1</v>
      </c>
      <c r="E9" s="570"/>
      <c r="F9" s="570"/>
      <c r="G9" s="493">
        <f t="shared" ref="G9:G12" si="0">IF(E9-F9&gt;0,E9-F9,0)</f>
        <v>0</v>
      </c>
      <c r="H9" s="493">
        <f>G9/D9</f>
        <v>0</v>
      </c>
      <c r="I9" s="493">
        <f>IF(G9&lt;=0,0,G9-H9)</f>
        <v>0</v>
      </c>
      <c r="J9" s="493">
        <f t="shared" ref="J9:J12" si="1">IF(E9-F9&lt;0,E9-F9,0)</f>
        <v>0</v>
      </c>
      <c r="K9" s="493">
        <f t="shared" ref="K9:K12" si="2">J9/D9</f>
        <v>0</v>
      </c>
      <c r="L9" s="493">
        <f t="shared" ref="L9:L12" si="3">J9-K9</f>
        <v>0</v>
      </c>
      <c r="M9" s="583"/>
      <c r="O9" s="493">
        <f>H9+K9</f>
        <v>0</v>
      </c>
      <c r="V9" s="41">
        <v>7</v>
      </c>
    </row>
    <row r="10" spans="2:22" ht="22.05" customHeight="1">
      <c r="B10" s="324" t="str">
        <f>Datos!D26</f>
        <v>Nombre de la LP 2</v>
      </c>
      <c r="C10" s="313" t="s">
        <v>350</v>
      </c>
      <c r="D10" s="313">
        <v>1</v>
      </c>
      <c r="E10" s="570"/>
      <c r="F10" s="570"/>
      <c r="G10" s="493">
        <f t="shared" si="0"/>
        <v>0</v>
      </c>
      <c r="H10" s="493">
        <f>G10/D10</f>
        <v>0</v>
      </c>
      <c r="I10" s="493">
        <f>IF(G10&lt;=0,0,G10-H10)</f>
        <v>0</v>
      </c>
      <c r="J10" s="493">
        <f t="shared" si="1"/>
        <v>0</v>
      </c>
      <c r="K10" s="493">
        <f t="shared" si="2"/>
        <v>0</v>
      </c>
      <c r="L10" s="493">
        <f t="shared" si="3"/>
        <v>0</v>
      </c>
      <c r="M10" s="583"/>
      <c r="O10" s="493">
        <f>H10+K10</f>
        <v>0</v>
      </c>
      <c r="V10" s="41">
        <v>8</v>
      </c>
    </row>
    <row r="11" spans="2:22" ht="22.05" customHeight="1">
      <c r="B11" s="324" t="str">
        <f>Datos!D27</f>
        <v>Nombre de la LP 3</v>
      </c>
      <c r="C11" s="313" t="s">
        <v>350</v>
      </c>
      <c r="D11" s="313">
        <v>1</v>
      </c>
      <c r="E11" s="570"/>
      <c r="F11" s="570"/>
      <c r="G11" s="493">
        <f t="shared" si="0"/>
        <v>0</v>
      </c>
      <c r="H11" s="493">
        <f>G11/D11</f>
        <v>0</v>
      </c>
      <c r="I11" s="493">
        <f>IF(G11&lt;=0,0,G11-H11)</f>
        <v>0</v>
      </c>
      <c r="J11" s="493">
        <f t="shared" si="1"/>
        <v>0</v>
      </c>
      <c r="K11" s="493">
        <f t="shared" si="2"/>
        <v>0</v>
      </c>
      <c r="L11" s="493">
        <f t="shared" si="3"/>
        <v>0</v>
      </c>
      <c r="M11" s="583"/>
      <c r="O11" s="493">
        <f>H11+K11</f>
        <v>0</v>
      </c>
      <c r="V11" s="41">
        <v>9</v>
      </c>
    </row>
    <row r="12" spans="2:22" ht="22.05" customHeight="1">
      <c r="B12" s="324" t="str">
        <f>Datos!D28</f>
        <v>Nombre de la LP 4</v>
      </c>
      <c r="C12" s="313" t="s">
        <v>350</v>
      </c>
      <c r="D12" s="313">
        <v>1</v>
      </c>
      <c r="E12" s="570"/>
      <c r="F12" s="570"/>
      <c r="G12" s="493">
        <f t="shared" si="0"/>
        <v>0</v>
      </c>
      <c r="H12" s="493">
        <f>G12/D12</f>
        <v>0</v>
      </c>
      <c r="I12" s="493">
        <f>IF(G12&lt;=0,0,G12-H12)</f>
        <v>0</v>
      </c>
      <c r="J12" s="493">
        <f t="shared" si="1"/>
        <v>0</v>
      </c>
      <c r="K12" s="493">
        <f t="shared" si="2"/>
        <v>0</v>
      </c>
      <c r="L12" s="493">
        <f t="shared" si="3"/>
        <v>0</v>
      </c>
      <c r="M12" s="583"/>
      <c r="O12" s="493">
        <f>H12+K12</f>
        <v>0</v>
      </c>
      <c r="V12" s="41">
        <v>10</v>
      </c>
    </row>
    <row r="13" spans="2:22" ht="22.05" customHeight="1">
      <c r="B13" s="316"/>
      <c r="C13" s="494" t="s">
        <v>213</v>
      </c>
      <c r="D13" s="494"/>
      <c r="E13" s="317"/>
      <c r="F13" s="317"/>
      <c r="G13" s="495"/>
      <c r="H13" s="495">
        <f>+SUM(H8:H12)</f>
        <v>0</v>
      </c>
      <c r="I13" s="495">
        <f>+SUM(I8:I12)</f>
        <v>0</v>
      </c>
      <c r="J13" s="495"/>
      <c r="K13" s="495">
        <f>+SUM(K8:K12)</f>
        <v>0</v>
      </c>
      <c r="L13" s="495">
        <f>+SUM(L8:L12)</f>
        <v>0</v>
      </c>
      <c r="M13" s="495">
        <f>+SUM(M8:M12)</f>
        <v>0</v>
      </c>
      <c r="O13" s="495">
        <f>+SUM(O8:O12)</f>
        <v>0</v>
      </c>
      <c r="V13" s="41">
        <v>11</v>
      </c>
    </row>
    <row r="14" spans="2:22" ht="22.05" customHeight="1">
      <c r="B14" s="319"/>
      <c r="C14" s="319"/>
      <c r="D14" s="319"/>
      <c r="E14" s="325"/>
      <c r="F14" s="325"/>
      <c r="G14" s="325"/>
      <c r="H14" s="496"/>
      <c r="I14" s="325"/>
      <c r="J14" s="325"/>
      <c r="K14" s="325"/>
      <c r="L14" s="325"/>
      <c r="M14" s="325"/>
      <c r="O14" s="325"/>
      <c r="V14" s="41">
        <v>12</v>
      </c>
    </row>
    <row r="15" spans="2:22" ht="22.05" customHeight="1">
      <c r="B15" s="497" t="s">
        <v>128</v>
      </c>
      <c r="C15" s="498"/>
      <c r="D15" s="498"/>
      <c r="E15" s="499"/>
      <c r="F15" s="499"/>
      <c r="G15" s="499"/>
      <c r="H15" s="500">
        <f>+H13</f>
        <v>0</v>
      </c>
      <c r="I15" s="312">
        <f>+I13</f>
        <v>0</v>
      </c>
      <c r="J15" s="499"/>
      <c r="K15" s="500">
        <f>+K13</f>
        <v>0</v>
      </c>
      <c r="L15" s="500">
        <f>+L13</f>
        <v>0</v>
      </c>
      <c r="M15" s="500">
        <f>+M13</f>
        <v>0</v>
      </c>
      <c r="O15" s="500">
        <f>+O13</f>
        <v>0</v>
      </c>
      <c r="V15" s="41">
        <v>13</v>
      </c>
    </row>
    <row r="16" spans="2:22" ht="22.05" customHeight="1">
      <c r="B16" s="93"/>
      <c r="V16" s="41">
        <v>14</v>
      </c>
    </row>
    <row r="17" spans="2:22" ht="22.05" customHeight="1">
      <c r="E17" s="101"/>
      <c r="F17" s="132"/>
      <c r="G17" s="132"/>
      <c r="H17" s="84"/>
      <c r="J17" s="132"/>
      <c r="K17" s="132"/>
      <c r="V17" s="41">
        <v>15</v>
      </c>
    </row>
    <row r="18" spans="2:22" ht="22.05" customHeight="1">
      <c r="E18" s="101"/>
      <c r="F18" s="84"/>
      <c r="G18" s="84"/>
      <c r="H18" s="84"/>
      <c r="J18" s="84"/>
      <c r="K18" s="84"/>
      <c r="V18" s="41">
        <v>16</v>
      </c>
    </row>
    <row r="19" spans="2:22" ht="22.05" customHeight="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V19" s="41">
        <v>17</v>
      </c>
    </row>
    <row r="20" spans="2:22" ht="22.05" customHeight="1">
      <c r="B20" s="174" t="s">
        <v>351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V20" s="41">
        <v>18</v>
      </c>
    </row>
    <row r="21" spans="2:22" ht="38.4">
      <c r="B21" s="15" t="s">
        <v>352</v>
      </c>
      <c r="C21" s="15" t="s">
        <v>339</v>
      </c>
      <c r="D21" s="90" t="s">
        <v>340</v>
      </c>
      <c r="E21" s="90" t="s">
        <v>341</v>
      </c>
      <c r="F21" s="90" t="s">
        <v>342</v>
      </c>
      <c r="G21" s="90" t="s">
        <v>343</v>
      </c>
      <c r="H21" s="90" t="s">
        <v>344</v>
      </c>
      <c r="I21" s="90" t="s">
        <v>345</v>
      </c>
      <c r="J21" s="90" t="s">
        <v>346</v>
      </c>
      <c r="K21" s="90" t="s">
        <v>347</v>
      </c>
      <c r="L21" s="90" t="s">
        <v>348</v>
      </c>
      <c r="M21" s="90" t="s">
        <v>303</v>
      </c>
      <c r="O21" s="90" t="s">
        <v>349</v>
      </c>
      <c r="V21" s="41">
        <v>19</v>
      </c>
    </row>
    <row r="22" spans="2:22" ht="22.05" customHeight="1">
      <c r="B22" s="579" t="s">
        <v>199</v>
      </c>
      <c r="C22" s="579"/>
      <c r="D22" s="313">
        <v>1</v>
      </c>
      <c r="E22" s="570"/>
      <c r="F22" s="570"/>
      <c r="G22" s="493">
        <f>IF(E22-F22&gt;0,E22-F22,0)</f>
        <v>0</v>
      </c>
      <c r="H22" s="493">
        <f>G22/D22</f>
        <v>0</v>
      </c>
      <c r="I22" s="493">
        <f t="shared" ref="I22:I26" si="4">IF(G22&lt;=0,0,G22-H22)</f>
        <v>0</v>
      </c>
      <c r="J22" s="493">
        <f>IF(E22-F22&lt;0,E22-F22,0)</f>
        <v>0</v>
      </c>
      <c r="K22" s="493">
        <f>J22/D22</f>
        <v>0</v>
      </c>
      <c r="L22" s="493">
        <f>J22-K22</f>
        <v>0</v>
      </c>
      <c r="M22" s="583"/>
      <c r="O22" s="493">
        <f>H22+K22</f>
        <v>0</v>
      </c>
      <c r="V22" s="41">
        <v>20</v>
      </c>
    </row>
    <row r="23" spans="2:22" ht="22.05" customHeight="1">
      <c r="B23" s="579" t="s">
        <v>200</v>
      </c>
      <c r="C23" s="579"/>
      <c r="D23" s="313">
        <v>1</v>
      </c>
      <c r="E23" s="570"/>
      <c r="F23" s="570"/>
      <c r="G23" s="493">
        <f t="shared" ref="G23:G26" si="5">IF(E23-F23&gt;0,E23-F23,0)</f>
        <v>0</v>
      </c>
      <c r="H23" s="493">
        <f t="shared" ref="H23:H26" si="6">G23/D23</f>
        <v>0</v>
      </c>
      <c r="I23" s="493">
        <f t="shared" si="4"/>
        <v>0</v>
      </c>
      <c r="J23" s="493">
        <f>IF(E23-F23&lt;0,E23-F23,0)</f>
        <v>0</v>
      </c>
      <c r="K23" s="493">
        <f t="shared" ref="K23:K26" si="7">J23/D23</f>
        <v>0</v>
      </c>
      <c r="L23" s="493">
        <f t="shared" ref="L23:L26" si="8">J23-K23</f>
        <v>0</v>
      </c>
      <c r="M23" s="583"/>
      <c r="O23" s="493">
        <f t="shared" ref="O23:O26" si="9">H23+K23</f>
        <v>0</v>
      </c>
    </row>
    <row r="24" spans="2:22" ht="22.05" customHeight="1">
      <c r="B24" s="579" t="s">
        <v>201</v>
      </c>
      <c r="C24" s="579"/>
      <c r="D24" s="313">
        <v>1</v>
      </c>
      <c r="E24" s="570"/>
      <c r="F24" s="570"/>
      <c r="G24" s="493">
        <f t="shared" si="5"/>
        <v>0</v>
      </c>
      <c r="H24" s="493">
        <f t="shared" si="6"/>
        <v>0</v>
      </c>
      <c r="I24" s="493">
        <f t="shared" si="4"/>
        <v>0</v>
      </c>
      <c r="J24" s="493">
        <f>IF(E24-F24&lt;0,E24-F24,0)</f>
        <v>0</v>
      </c>
      <c r="K24" s="493">
        <f t="shared" si="7"/>
        <v>0</v>
      </c>
      <c r="L24" s="493">
        <f t="shared" si="8"/>
        <v>0</v>
      </c>
      <c r="M24" s="583"/>
      <c r="O24" s="493">
        <f t="shared" si="9"/>
        <v>0</v>
      </c>
    </row>
    <row r="25" spans="2:22" ht="22.05" customHeight="1">
      <c r="B25" s="579" t="s">
        <v>202</v>
      </c>
      <c r="C25" s="579"/>
      <c r="D25" s="313">
        <v>1</v>
      </c>
      <c r="E25" s="570"/>
      <c r="F25" s="570"/>
      <c r="G25" s="493">
        <f t="shared" si="5"/>
        <v>0</v>
      </c>
      <c r="H25" s="493">
        <f t="shared" si="6"/>
        <v>0</v>
      </c>
      <c r="I25" s="493">
        <f t="shared" si="4"/>
        <v>0</v>
      </c>
      <c r="J25" s="493">
        <f>IF(E25-F25&lt;0,E25-F25,0)</f>
        <v>0</v>
      </c>
      <c r="K25" s="493">
        <f t="shared" si="7"/>
        <v>0</v>
      </c>
      <c r="L25" s="493">
        <f t="shared" si="8"/>
        <v>0</v>
      </c>
      <c r="M25" s="583"/>
      <c r="O25" s="493">
        <f t="shared" si="9"/>
        <v>0</v>
      </c>
    </row>
    <row r="26" spans="2:22" ht="22.05" customHeight="1">
      <c r="B26" s="579" t="s">
        <v>203</v>
      </c>
      <c r="C26" s="579"/>
      <c r="D26" s="313">
        <v>1</v>
      </c>
      <c r="E26" s="570"/>
      <c r="F26" s="570"/>
      <c r="G26" s="493">
        <f t="shared" si="5"/>
        <v>0</v>
      </c>
      <c r="H26" s="493">
        <f t="shared" si="6"/>
        <v>0</v>
      </c>
      <c r="I26" s="493">
        <f t="shared" si="4"/>
        <v>0</v>
      </c>
      <c r="J26" s="493">
        <f>IF(E26-F26&lt;0,E26-F26,0)</f>
        <v>0</v>
      </c>
      <c r="K26" s="493">
        <f t="shared" si="7"/>
        <v>0</v>
      </c>
      <c r="L26" s="493">
        <f t="shared" si="8"/>
        <v>0</v>
      </c>
      <c r="M26" s="583"/>
      <c r="O26" s="493">
        <f t="shared" si="9"/>
        <v>0</v>
      </c>
    </row>
    <row r="27" spans="2:22" ht="22.05" customHeight="1">
      <c r="B27" s="316"/>
      <c r="C27" s="494" t="s">
        <v>213</v>
      </c>
      <c r="D27" s="494"/>
      <c r="E27" s="317"/>
      <c r="F27" s="317"/>
      <c r="G27" s="317"/>
      <c r="H27" s="495">
        <f>SUM(H22:H26)</f>
        <v>0</v>
      </c>
      <c r="I27" s="317">
        <f>+SUM(I22:I26)</f>
        <v>0</v>
      </c>
      <c r="J27" s="317"/>
      <c r="K27" s="495">
        <f>+SUM(K22:K26)</f>
        <v>0</v>
      </c>
      <c r="L27" s="495">
        <f>+SUM(L22:L26)</f>
        <v>0</v>
      </c>
      <c r="M27" s="495">
        <f>+SUM(M22:M26)</f>
        <v>0</v>
      </c>
      <c r="O27" s="495">
        <f>+SUM(O22:O26)</f>
        <v>0</v>
      </c>
    </row>
    <row r="28" spans="2:22" ht="22.05" customHeight="1">
      <c r="B28" s="319"/>
      <c r="C28" s="319"/>
      <c r="D28" s="319"/>
      <c r="E28" s="325"/>
      <c r="F28" s="325"/>
      <c r="G28" s="325"/>
      <c r="H28" s="496"/>
      <c r="I28" s="325"/>
      <c r="J28" s="325"/>
      <c r="K28" s="325"/>
      <c r="L28" s="325"/>
      <c r="M28" s="325"/>
      <c r="O28" s="325"/>
    </row>
    <row r="29" spans="2:22" ht="22.05" customHeight="1">
      <c r="B29" s="497" t="s">
        <v>353</v>
      </c>
      <c r="C29" s="501"/>
      <c r="D29" s="619"/>
      <c r="E29" s="499"/>
      <c r="F29" s="499"/>
      <c r="G29" s="499"/>
      <c r="H29" s="500">
        <f>H27</f>
        <v>0</v>
      </c>
      <c r="I29" s="312">
        <f>+I27</f>
        <v>0</v>
      </c>
      <c r="J29" s="499"/>
      <c r="K29" s="500">
        <f>+K27</f>
        <v>0</v>
      </c>
      <c r="L29" s="500">
        <f>+L27</f>
        <v>0</v>
      </c>
      <c r="M29" s="500">
        <f>+M27</f>
        <v>0</v>
      </c>
      <c r="O29" s="500">
        <f>+O27</f>
        <v>0</v>
      </c>
    </row>
    <row r="30" spans="2:22" ht="22.05" customHeight="1">
      <c r="E30" s="101"/>
      <c r="F30" s="84"/>
      <c r="G30" s="84"/>
      <c r="H30" s="84"/>
      <c r="J30" s="84"/>
      <c r="K30" s="84"/>
    </row>
    <row r="31" spans="2:22" ht="22.05" customHeight="1">
      <c r="E31" s="101"/>
      <c r="F31" s="84"/>
      <c r="G31" s="84"/>
      <c r="H31" s="84"/>
      <c r="J31" s="84"/>
      <c r="K31" s="84"/>
    </row>
    <row r="34" spans="2:15" ht="22.05" customHeight="1">
      <c r="B34" s="174" t="s">
        <v>354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2:15" ht="38.4">
      <c r="B35" s="15" t="s">
        <v>338</v>
      </c>
      <c r="C35" s="15" t="s">
        <v>339</v>
      </c>
      <c r="D35" s="90" t="s">
        <v>340</v>
      </c>
      <c r="E35" s="90" t="s">
        <v>341</v>
      </c>
      <c r="F35" s="90" t="s">
        <v>342</v>
      </c>
      <c r="G35" s="90" t="s">
        <v>343</v>
      </c>
      <c r="H35" s="90" t="s">
        <v>344</v>
      </c>
      <c r="I35" s="90" t="s">
        <v>345</v>
      </c>
      <c r="J35" s="90" t="s">
        <v>346</v>
      </c>
      <c r="K35" s="90" t="s">
        <v>347</v>
      </c>
      <c r="L35" s="90" t="s">
        <v>348</v>
      </c>
      <c r="M35" s="90" t="s">
        <v>303</v>
      </c>
      <c r="O35" s="90" t="s">
        <v>349</v>
      </c>
    </row>
    <row r="36" spans="2:15" ht="22.05" customHeight="1">
      <c r="B36" s="324" t="str">
        <f>Datos!D24</f>
        <v>Cuentas Personales</v>
      </c>
      <c r="C36" s="313" t="s">
        <v>350</v>
      </c>
      <c r="D36" s="313">
        <v>1</v>
      </c>
      <c r="E36" s="570"/>
      <c r="F36" s="570"/>
      <c r="G36" s="493">
        <f>IF(E36-F36&gt;0,E36-F36,0)</f>
        <v>0</v>
      </c>
      <c r="H36" s="493">
        <f>G36/D36</f>
        <v>0</v>
      </c>
      <c r="I36" s="493">
        <f>IF(G36&lt;=0,0,G36-H36)</f>
        <v>0</v>
      </c>
      <c r="J36" s="493">
        <f>IF(E36-F36&lt;0,E36-F36,0)</f>
        <v>0</v>
      </c>
      <c r="K36" s="493">
        <f>J36/D36</f>
        <v>0</v>
      </c>
      <c r="L36" s="493">
        <f>J36-K36</f>
        <v>0</v>
      </c>
      <c r="M36" s="583"/>
      <c r="O36" s="493">
        <f>H36+K36</f>
        <v>0</v>
      </c>
    </row>
    <row r="37" spans="2:15" ht="22.05" customHeight="1">
      <c r="B37" s="324" t="str">
        <f>Datos!D25</f>
        <v>Nombre de la LP 1</v>
      </c>
      <c r="C37" s="313" t="s">
        <v>350</v>
      </c>
      <c r="D37" s="313">
        <v>1</v>
      </c>
      <c r="E37" s="574"/>
      <c r="F37" s="574"/>
      <c r="G37" s="493">
        <f t="shared" ref="G37:G40" si="10">IF(E37-F37&gt;0,E37-F37,0)</f>
        <v>0</v>
      </c>
      <c r="H37" s="493">
        <f>G37/D37</f>
        <v>0</v>
      </c>
      <c r="I37" s="493">
        <f>IF(G37&lt;=0,0,G37-H37)</f>
        <v>0</v>
      </c>
      <c r="J37" s="493">
        <f>IF(E37-F37&lt;0,E37-F37,0)</f>
        <v>0</v>
      </c>
      <c r="K37" s="493">
        <f t="shared" ref="K37:K40" si="11">J37/D37</f>
        <v>0</v>
      </c>
      <c r="L37" s="493">
        <f>J37-K37</f>
        <v>0</v>
      </c>
      <c r="M37" s="583"/>
      <c r="O37" s="493">
        <f t="shared" ref="O37:O40" si="12">H37+K37</f>
        <v>0</v>
      </c>
    </row>
    <row r="38" spans="2:15" ht="22.05" customHeight="1">
      <c r="B38" s="324" t="str">
        <f>Datos!D26</f>
        <v>Nombre de la LP 2</v>
      </c>
      <c r="C38" s="313" t="s">
        <v>350</v>
      </c>
      <c r="D38" s="313">
        <v>1</v>
      </c>
      <c r="E38" s="570"/>
      <c r="F38" s="570"/>
      <c r="G38" s="493">
        <f t="shared" si="10"/>
        <v>0</v>
      </c>
      <c r="H38" s="493">
        <f>G38/D38</f>
        <v>0</v>
      </c>
      <c r="I38" s="493">
        <f>IF(G38&lt;=0,0,G38-H38)</f>
        <v>0</v>
      </c>
      <c r="J38" s="493">
        <f>IF(E38-F38&lt;0,E38-F38,0)</f>
        <v>0</v>
      </c>
      <c r="K38" s="493">
        <f t="shared" si="11"/>
        <v>0</v>
      </c>
      <c r="L38" s="493">
        <f>J38-K38</f>
        <v>0</v>
      </c>
      <c r="M38" s="583"/>
      <c r="O38" s="493">
        <f t="shared" si="12"/>
        <v>0</v>
      </c>
    </row>
    <row r="39" spans="2:15" ht="22.05" customHeight="1">
      <c r="B39" s="324" t="str">
        <f>Datos!D27</f>
        <v>Nombre de la LP 3</v>
      </c>
      <c r="C39" s="313" t="s">
        <v>350</v>
      </c>
      <c r="D39" s="313">
        <v>1</v>
      </c>
      <c r="E39" s="574"/>
      <c r="F39" s="574"/>
      <c r="G39" s="493">
        <f t="shared" si="10"/>
        <v>0</v>
      </c>
      <c r="H39" s="493">
        <f>G39/D39</f>
        <v>0</v>
      </c>
      <c r="I39" s="493">
        <f>IF(G39&lt;=0,0,G39-H39)</f>
        <v>0</v>
      </c>
      <c r="J39" s="493">
        <f>IF(E39-F39&lt;0,E39-F39,0)</f>
        <v>0</v>
      </c>
      <c r="K39" s="493">
        <f t="shared" si="11"/>
        <v>0</v>
      </c>
      <c r="L39" s="493">
        <f>J39-K39</f>
        <v>0</v>
      </c>
      <c r="M39" s="583"/>
      <c r="O39" s="493">
        <f t="shared" si="12"/>
        <v>0</v>
      </c>
    </row>
    <row r="40" spans="2:15" ht="22.05" customHeight="1">
      <c r="B40" s="324" t="str">
        <f>Datos!D28</f>
        <v>Nombre de la LP 4</v>
      </c>
      <c r="C40" s="313" t="s">
        <v>350</v>
      </c>
      <c r="D40" s="313">
        <v>1</v>
      </c>
      <c r="E40" s="570"/>
      <c r="F40" s="570"/>
      <c r="G40" s="493">
        <f t="shared" si="10"/>
        <v>0</v>
      </c>
      <c r="H40" s="493">
        <f>G40/D40</f>
        <v>0</v>
      </c>
      <c r="I40" s="493">
        <f>IF(G40&lt;=0,0,G40-H40)</f>
        <v>0</v>
      </c>
      <c r="J40" s="493">
        <f>IF(E40-F40&lt;0,E40-F40,0)</f>
        <v>0</v>
      </c>
      <c r="K40" s="493">
        <f t="shared" si="11"/>
        <v>0</v>
      </c>
      <c r="L40" s="493">
        <f>J40-K40</f>
        <v>0</v>
      </c>
      <c r="M40" s="583"/>
      <c r="O40" s="493">
        <f t="shared" si="12"/>
        <v>0</v>
      </c>
    </row>
    <row r="41" spans="2:15" ht="22.05" customHeight="1">
      <c r="B41" s="316"/>
      <c r="C41" s="494" t="s">
        <v>213</v>
      </c>
      <c r="D41" s="494"/>
      <c r="E41" s="317"/>
      <c r="F41" s="317"/>
      <c r="G41" s="317"/>
      <c r="H41" s="495">
        <f>SUM(H36:H40)</f>
        <v>0</v>
      </c>
      <c r="I41" s="317">
        <f>+SUM(I36:I40)</f>
        <v>0</v>
      </c>
      <c r="J41" s="317"/>
      <c r="K41" s="495">
        <f>+SUM(K36:K40)</f>
        <v>0</v>
      </c>
      <c r="L41" s="495">
        <f>+SUM(L36:L40)</f>
        <v>0</v>
      </c>
      <c r="M41" s="495">
        <f>+SUM(M36:M40)</f>
        <v>0</v>
      </c>
      <c r="O41" s="495">
        <f>+SUM(O36:O40)</f>
        <v>0</v>
      </c>
    </row>
    <row r="42" spans="2:15" ht="22.05" customHeight="1">
      <c r="B42" s="319"/>
      <c r="C42" s="319"/>
      <c r="D42" s="319"/>
      <c r="E42" s="319"/>
      <c r="F42" s="319"/>
      <c r="G42" s="319"/>
      <c r="H42" s="496"/>
      <c r="I42" s="319"/>
      <c r="J42" s="319"/>
      <c r="K42" s="325"/>
      <c r="L42" s="325"/>
      <c r="M42" s="325"/>
      <c r="O42" s="325"/>
    </row>
    <row r="43" spans="2:15" ht="22.05" customHeight="1">
      <c r="B43" s="497" t="s">
        <v>355</v>
      </c>
      <c r="C43" s="498"/>
      <c r="D43" s="619"/>
      <c r="E43" s="499"/>
      <c r="F43" s="499"/>
      <c r="G43" s="499"/>
      <c r="H43" s="500">
        <f>H41</f>
        <v>0</v>
      </c>
      <c r="I43" s="502">
        <f>+I41</f>
        <v>0</v>
      </c>
      <c r="J43" s="499"/>
      <c r="K43" s="500">
        <f>+K41</f>
        <v>0</v>
      </c>
      <c r="L43" s="312">
        <f>+L41</f>
        <v>0</v>
      </c>
      <c r="M43" s="500">
        <f>+M41</f>
        <v>0</v>
      </c>
      <c r="O43" s="500">
        <f>+O41</f>
        <v>0</v>
      </c>
    </row>
    <row r="44" spans="2:15" ht="22.05" customHeight="1">
      <c r="B44" s="133"/>
      <c r="C44" s="134"/>
      <c r="D44" s="133"/>
      <c r="E44" s="135"/>
      <c r="F44" s="135"/>
      <c r="G44" s="135"/>
      <c r="H44" s="136"/>
      <c r="I44" s="137"/>
      <c r="J44" s="135"/>
      <c r="K44" s="135"/>
      <c r="L44" s="137"/>
      <c r="M44" s="137"/>
    </row>
    <row r="45" spans="2:15" ht="22.05" customHeight="1">
      <c r="B45" s="133"/>
      <c r="C45" s="134"/>
      <c r="D45" s="133"/>
      <c r="E45" s="135"/>
      <c r="F45" s="135"/>
      <c r="G45" s="135"/>
      <c r="H45" s="136"/>
      <c r="I45" s="137"/>
      <c r="J45" s="135"/>
      <c r="K45" s="135"/>
      <c r="L45" s="137"/>
      <c r="M45" s="137"/>
    </row>
    <row r="46" spans="2:15" ht="22.05" customHeight="1">
      <c r="B46" s="133"/>
      <c r="C46" s="134"/>
      <c r="D46" s="133"/>
      <c r="E46" s="135"/>
      <c r="F46" s="135"/>
      <c r="G46" s="135"/>
      <c r="H46" s="136"/>
      <c r="I46" s="137"/>
      <c r="J46" s="135"/>
      <c r="K46" s="135"/>
      <c r="L46" s="137"/>
      <c r="M46" s="137"/>
    </row>
    <row r="47" spans="2:15" ht="22.05" customHeight="1">
      <c r="B47" s="157" t="str">
        <f>B3</f>
        <v>NOMBRE EN MAYUSCULAS</v>
      </c>
      <c r="C47" s="134"/>
      <c r="D47" s="133"/>
      <c r="E47" s="135"/>
      <c r="F47" s="135"/>
      <c r="G47" s="135"/>
      <c r="H47" s="136"/>
      <c r="I47" s="137"/>
      <c r="J47" s="135"/>
      <c r="K47" s="135"/>
      <c r="L47" s="137"/>
      <c r="M47" s="137"/>
    </row>
    <row r="48" spans="2:15" ht="22.05" customHeight="1">
      <c r="B48" s="154" t="s">
        <v>336</v>
      </c>
      <c r="C48" s="134"/>
      <c r="D48" s="133"/>
      <c r="E48" s="135"/>
      <c r="F48" s="135"/>
      <c r="G48" s="135"/>
      <c r="H48" s="136"/>
      <c r="I48" s="137"/>
      <c r="J48" s="135"/>
      <c r="K48" s="135"/>
      <c r="L48" s="137"/>
      <c r="M48" s="137"/>
    </row>
    <row r="49" spans="2:15" ht="22.05" customHeight="1"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</row>
    <row r="50" spans="2:15" ht="22.05" customHeight="1">
      <c r="B50" s="174" t="s">
        <v>356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2:15" ht="37.950000000000003" customHeight="1">
      <c r="B51" s="15" t="s">
        <v>338</v>
      </c>
      <c r="C51" s="15" t="s">
        <v>339</v>
      </c>
      <c r="D51" s="90" t="s">
        <v>340</v>
      </c>
      <c r="E51" s="90" t="s">
        <v>341</v>
      </c>
      <c r="F51" s="90" t="s">
        <v>342</v>
      </c>
      <c r="G51" s="90" t="s">
        <v>343</v>
      </c>
      <c r="H51" s="90" t="s">
        <v>344</v>
      </c>
      <c r="I51" s="90" t="s">
        <v>345</v>
      </c>
      <c r="J51" s="90" t="s">
        <v>346</v>
      </c>
      <c r="K51" s="90" t="s">
        <v>347</v>
      </c>
      <c r="L51" s="90" t="s">
        <v>348</v>
      </c>
      <c r="M51" s="90" t="s">
        <v>303</v>
      </c>
      <c r="O51" s="90" t="s">
        <v>349</v>
      </c>
    </row>
    <row r="52" spans="2:15" ht="22.05" customHeight="1">
      <c r="B52" s="579"/>
      <c r="C52" s="569"/>
      <c r="D52" s="313">
        <v>1</v>
      </c>
      <c r="E52" s="570"/>
      <c r="F52" s="570"/>
      <c r="G52" s="493">
        <f>IF(E52-F52&gt;0,E52-F52,0)</f>
        <v>0</v>
      </c>
      <c r="H52" s="493">
        <f>IF(G52&lt;=0,0,G52/D52)</f>
        <v>0</v>
      </c>
      <c r="I52" s="493">
        <f>IF(G52&lt;=0,0,G52-H52)</f>
        <v>0</v>
      </c>
      <c r="J52" s="493">
        <f>IF(E52-F52&lt;0,E52-F52,0)</f>
        <v>0</v>
      </c>
      <c r="K52" s="493">
        <f>J52/D52</f>
        <v>0</v>
      </c>
      <c r="L52" s="493">
        <f>J52-K52</f>
        <v>0</v>
      </c>
      <c r="M52" s="493"/>
      <c r="O52" s="493">
        <f>H52+K52</f>
        <v>0</v>
      </c>
    </row>
    <row r="53" spans="2:15" ht="22.05" customHeight="1">
      <c r="B53" s="579"/>
      <c r="C53" s="569"/>
      <c r="D53" s="313">
        <v>1</v>
      </c>
      <c r="E53" s="574"/>
      <c r="F53" s="574"/>
      <c r="G53" s="493">
        <f t="shared" ref="G53:G56" si="13">IF(E53-F53&gt;0,E53-F53,0)</f>
        <v>0</v>
      </c>
      <c r="H53" s="493">
        <f>IF(G53&lt;=0,0,G53/D53)</f>
        <v>0</v>
      </c>
      <c r="I53" s="493">
        <f>IF(G53&lt;=0,0,G53-H53)</f>
        <v>0</v>
      </c>
      <c r="J53" s="493">
        <f>IF(E53-F53&lt;0,E53-F53,0)</f>
        <v>0</v>
      </c>
      <c r="K53" s="493">
        <f t="shared" ref="K53:K56" si="14">J53/D53</f>
        <v>0</v>
      </c>
      <c r="L53" s="493">
        <f>J53-K53</f>
        <v>0</v>
      </c>
      <c r="M53" s="493"/>
      <c r="O53" s="493">
        <f t="shared" ref="O53:O56" si="15">H53+K53</f>
        <v>0</v>
      </c>
    </row>
    <row r="54" spans="2:15" ht="22.05" customHeight="1">
      <c r="B54" s="579"/>
      <c r="C54" s="569"/>
      <c r="D54" s="313">
        <v>1</v>
      </c>
      <c r="E54" s="570"/>
      <c r="F54" s="570"/>
      <c r="G54" s="493">
        <f t="shared" si="13"/>
        <v>0</v>
      </c>
      <c r="H54" s="493">
        <f>IF(G54&lt;=0,0,G54/D54)</f>
        <v>0</v>
      </c>
      <c r="I54" s="493">
        <f>IF(G54&lt;=0,0,G54-H54)</f>
        <v>0</v>
      </c>
      <c r="J54" s="493">
        <f>IF(E54-F54&lt;0,E54-F54,0)</f>
        <v>0</v>
      </c>
      <c r="K54" s="493">
        <f t="shared" si="14"/>
        <v>0</v>
      </c>
      <c r="L54" s="493">
        <f>J54-K54</f>
        <v>0</v>
      </c>
      <c r="M54" s="493"/>
      <c r="O54" s="493">
        <f t="shared" si="15"/>
        <v>0</v>
      </c>
    </row>
    <row r="55" spans="2:15" ht="22.05" customHeight="1">
      <c r="B55" s="579"/>
      <c r="C55" s="569"/>
      <c r="D55" s="313">
        <v>1</v>
      </c>
      <c r="E55" s="574"/>
      <c r="F55" s="574"/>
      <c r="G55" s="493">
        <f t="shared" si="13"/>
        <v>0</v>
      </c>
      <c r="H55" s="493">
        <f>IF(G55&lt;=0,0,G55/D55)</f>
        <v>0</v>
      </c>
      <c r="I55" s="493">
        <f>IF(G55&lt;=0,0,G55-H55)</f>
        <v>0</v>
      </c>
      <c r="J55" s="493">
        <f>IF(E55-F55&lt;0,E55-F55,0)</f>
        <v>0</v>
      </c>
      <c r="K55" s="493">
        <f t="shared" si="14"/>
        <v>0</v>
      </c>
      <c r="L55" s="493">
        <f>J55-K55</f>
        <v>0</v>
      </c>
      <c r="M55" s="493"/>
      <c r="O55" s="493">
        <f t="shared" si="15"/>
        <v>0</v>
      </c>
    </row>
    <row r="56" spans="2:15" ht="22.05" customHeight="1">
      <c r="B56" s="579"/>
      <c r="C56" s="569"/>
      <c r="D56" s="313">
        <v>1</v>
      </c>
      <c r="E56" s="570"/>
      <c r="F56" s="570"/>
      <c r="G56" s="493">
        <f t="shared" si="13"/>
        <v>0</v>
      </c>
      <c r="H56" s="493">
        <f>IF(G56&lt;=0,0,G56/D56)</f>
        <v>0</v>
      </c>
      <c r="I56" s="493">
        <f>IF(G56&lt;=0,0,G56-H56)</f>
        <v>0</v>
      </c>
      <c r="J56" s="493">
        <f>IF(E56-F56&lt;0,E56-F56,0)</f>
        <v>0</v>
      </c>
      <c r="K56" s="493">
        <f t="shared" si="14"/>
        <v>0</v>
      </c>
      <c r="L56" s="493">
        <f>J56-K56</f>
        <v>0</v>
      </c>
      <c r="M56" s="493"/>
      <c r="O56" s="493">
        <f t="shared" si="15"/>
        <v>0</v>
      </c>
    </row>
    <row r="57" spans="2:15" ht="22.05" customHeight="1">
      <c r="B57" s="316"/>
      <c r="C57" s="494" t="s">
        <v>213</v>
      </c>
      <c r="D57" s="494"/>
      <c r="E57" s="317"/>
      <c r="F57" s="317"/>
      <c r="G57" s="317"/>
      <c r="H57" s="495">
        <f>SUM(H52:H56)</f>
        <v>0</v>
      </c>
      <c r="I57" s="317">
        <f>+SUM(I52:I56)</f>
        <v>0</v>
      </c>
      <c r="J57" s="317"/>
      <c r="K57" s="495">
        <f>+SUM(K52:K56)</f>
        <v>0</v>
      </c>
      <c r="L57" s="495">
        <f>+SUM(L52:L56)</f>
        <v>0</v>
      </c>
      <c r="M57" s="495">
        <f>+SUM(M52:M56)</f>
        <v>0</v>
      </c>
      <c r="O57" s="495">
        <f>+SUM(O52:O56)</f>
        <v>0</v>
      </c>
    </row>
    <row r="58" spans="2:15" ht="22.05" customHeight="1">
      <c r="B58" s="319"/>
      <c r="C58" s="319"/>
      <c r="D58" s="319"/>
      <c r="E58" s="319"/>
      <c r="F58" s="319"/>
      <c r="G58" s="319"/>
      <c r="H58" s="496"/>
      <c r="I58" s="319"/>
      <c r="J58" s="319"/>
      <c r="K58" s="325"/>
      <c r="L58" s="325"/>
      <c r="M58" s="325"/>
      <c r="O58" s="325"/>
    </row>
    <row r="59" spans="2:15" ht="22.05" customHeight="1">
      <c r="B59" s="497" t="s">
        <v>357</v>
      </c>
      <c r="C59" s="498"/>
      <c r="D59" s="619"/>
      <c r="E59" s="499"/>
      <c r="F59" s="499"/>
      <c r="G59" s="499"/>
      <c r="H59" s="500">
        <f>H57</f>
        <v>0</v>
      </c>
      <c r="I59" s="312">
        <f>+I57</f>
        <v>0</v>
      </c>
      <c r="J59" s="499"/>
      <c r="K59" s="500">
        <f>+K57</f>
        <v>0</v>
      </c>
      <c r="L59" s="500">
        <f>+L57</f>
        <v>0</v>
      </c>
      <c r="M59" s="500">
        <f>+M57</f>
        <v>0</v>
      </c>
      <c r="O59" s="500">
        <f>+O57</f>
        <v>0</v>
      </c>
    </row>
    <row r="60" spans="2:15" ht="22.05" customHeight="1">
      <c r="B60" s="133"/>
      <c r="C60" s="134"/>
      <c r="D60" s="133"/>
      <c r="E60" s="135"/>
      <c r="F60" s="135"/>
      <c r="G60" s="135"/>
      <c r="H60" s="136"/>
      <c r="I60" s="137"/>
      <c r="J60" s="135"/>
      <c r="K60" s="135"/>
      <c r="L60" s="137"/>
      <c r="M60" s="137"/>
    </row>
    <row r="61" spans="2:15" ht="22.05" customHeight="1">
      <c r="E61" s="101"/>
      <c r="F61" s="92"/>
      <c r="G61" s="92"/>
      <c r="H61" s="83"/>
      <c r="J61" s="92"/>
      <c r="K61" s="92"/>
    </row>
    <row r="62" spans="2:15" ht="22.05" customHeight="1">
      <c r="E62" s="101"/>
      <c r="F62" s="83"/>
      <c r="G62" s="83"/>
      <c r="H62" s="83"/>
      <c r="J62" s="83"/>
      <c r="K62" s="83"/>
    </row>
    <row r="64" spans="2:15" ht="22.05" customHeight="1">
      <c r="B64" s="174" t="s">
        <v>358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spans="2:17" ht="33" customHeight="1">
      <c r="B65" s="15" t="s">
        <v>352</v>
      </c>
      <c r="C65" s="15" t="s">
        <v>339</v>
      </c>
      <c r="D65" s="90" t="s">
        <v>340</v>
      </c>
      <c r="E65" s="90" t="s">
        <v>341</v>
      </c>
      <c r="F65" s="90" t="s">
        <v>342</v>
      </c>
      <c r="G65" s="90" t="s">
        <v>343</v>
      </c>
      <c r="H65" s="90" t="s">
        <v>344</v>
      </c>
      <c r="I65" s="90" t="s">
        <v>345</v>
      </c>
      <c r="J65" s="90" t="s">
        <v>346</v>
      </c>
      <c r="K65" s="90" t="s">
        <v>347</v>
      </c>
      <c r="L65" s="90" t="s">
        <v>348</v>
      </c>
      <c r="M65" s="90" t="s">
        <v>303</v>
      </c>
      <c r="O65" s="90" t="s">
        <v>349</v>
      </c>
    </row>
    <row r="66" spans="2:17" ht="22.05" customHeight="1">
      <c r="B66" s="324" t="str">
        <f>Datos!D24</f>
        <v>Cuentas Personales</v>
      </c>
      <c r="C66" s="313" t="s">
        <v>350</v>
      </c>
      <c r="D66" s="313" t="s">
        <v>359</v>
      </c>
      <c r="E66" s="570"/>
      <c r="F66" s="570"/>
      <c r="G66" s="493">
        <f>IF(E66-F66&gt;0,E66-F66,0)</f>
        <v>0</v>
      </c>
      <c r="H66" s="583"/>
      <c r="I66" s="493">
        <f t="shared" ref="I66:I71" si="16">G66-H66</f>
        <v>0</v>
      </c>
      <c r="J66" s="493">
        <f t="shared" ref="J66:J71" si="17">IF(E66-F66&lt;0,E66-F66,0)</f>
        <v>0</v>
      </c>
      <c r="K66" s="583"/>
      <c r="L66" s="493">
        <f t="shared" ref="L66:L71" si="18">J66-K66</f>
        <v>0</v>
      </c>
      <c r="M66" s="583"/>
      <c r="O66" s="493">
        <f t="shared" ref="O66:O71" si="19">H66+K66</f>
        <v>0</v>
      </c>
      <c r="Q66" s="42" t="s">
        <v>360</v>
      </c>
    </row>
    <row r="67" spans="2:17" ht="22.05" customHeight="1">
      <c r="B67" s="324" t="str">
        <f>Datos!D25</f>
        <v>Nombre de la LP 1</v>
      </c>
      <c r="C67" s="313" t="s">
        <v>350</v>
      </c>
      <c r="D67" s="313" t="s">
        <v>359</v>
      </c>
      <c r="E67" s="570"/>
      <c r="F67" s="570"/>
      <c r="G67" s="493">
        <f t="shared" ref="G67:G70" si="20">IF(E67-F67&gt;0,E67-F67,0)</f>
        <v>0</v>
      </c>
      <c r="H67" s="583"/>
      <c r="I67" s="493">
        <f t="shared" si="16"/>
        <v>0</v>
      </c>
      <c r="J67" s="493">
        <f t="shared" si="17"/>
        <v>0</v>
      </c>
      <c r="K67" s="583"/>
      <c r="L67" s="493">
        <f t="shared" si="18"/>
        <v>0</v>
      </c>
      <c r="M67" s="583"/>
      <c r="O67" s="493">
        <f t="shared" si="19"/>
        <v>0</v>
      </c>
      <c r="Q67" s="42" t="s">
        <v>360</v>
      </c>
    </row>
    <row r="68" spans="2:17" ht="22.05" customHeight="1">
      <c r="B68" s="324" t="str">
        <f>Datos!D26</f>
        <v>Nombre de la LP 2</v>
      </c>
      <c r="C68" s="313" t="s">
        <v>350</v>
      </c>
      <c r="D68" s="313" t="s">
        <v>359</v>
      </c>
      <c r="E68" s="570"/>
      <c r="F68" s="570"/>
      <c r="G68" s="493">
        <f t="shared" si="20"/>
        <v>0</v>
      </c>
      <c r="H68" s="583"/>
      <c r="I68" s="493">
        <f t="shared" si="16"/>
        <v>0</v>
      </c>
      <c r="J68" s="493">
        <f t="shared" si="17"/>
        <v>0</v>
      </c>
      <c r="K68" s="583"/>
      <c r="L68" s="493">
        <f t="shared" si="18"/>
        <v>0</v>
      </c>
      <c r="M68" s="583"/>
      <c r="O68" s="493">
        <f t="shared" si="19"/>
        <v>0</v>
      </c>
      <c r="Q68" s="42" t="s">
        <v>360</v>
      </c>
    </row>
    <row r="69" spans="2:17" ht="22.05" customHeight="1">
      <c r="B69" s="324" t="str">
        <f>Datos!D27</f>
        <v>Nombre de la LP 3</v>
      </c>
      <c r="C69" s="313" t="s">
        <v>350</v>
      </c>
      <c r="D69" s="313" t="s">
        <v>359</v>
      </c>
      <c r="E69" s="574"/>
      <c r="F69" s="574"/>
      <c r="G69" s="493">
        <f t="shared" si="20"/>
        <v>0</v>
      </c>
      <c r="H69" s="583"/>
      <c r="I69" s="493">
        <f t="shared" si="16"/>
        <v>0</v>
      </c>
      <c r="J69" s="493">
        <f t="shared" si="17"/>
        <v>0</v>
      </c>
      <c r="K69" s="583"/>
      <c r="L69" s="493">
        <f t="shared" si="18"/>
        <v>0</v>
      </c>
      <c r="M69" s="583"/>
      <c r="O69" s="493">
        <f t="shared" si="19"/>
        <v>0</v>
      </c>
      <c r="Q69" s="42" t="s">
        <v>360</v>
      </c>
    </row>
    <row r="70" spans="2:17" ht="22.05" customHeight="1">
      <c r="B70" s="324" t="str">
        <f>Datos!D28</f>
        <v>Nombre de la LP 4</v>
      </c>
      <c r="C70" s="313" t="s">
        <v>350</v>
      </c>
      <c r="D70" s="313" t="s">
        <v>359</v>
      </c>
      <c r="E70" s="570"/>
      <c r="F70" s="570"/>
      <c r="G70" s="493">
        <f t="shared" si="20"/>
        <v>0</v>
      </c>
      <c r="H70" s="583"/>
      <c r="I70" s="493">
        <f t="shared" si="16"/>
        <v>0</v>
      </c>
      <c r="J70" s="493">
        <f t="shared" si="17"/>
        <v>0</v>
      </c>
      <c r="K70" s="583"/>
      <c r="L70" s="493">
        <f t="shared" si="18"/>
        <v>0</v>
      </c>
      <c r="M70" s="583"/>
      <c r="O70" s="493">
        <f t="shared" si="19"/>
        <v>0</v>
      </c>
      <c r="Q70" s="42" t="s">
        <v>360</v>
      </c>
    </row>
    <row r="71" spans="2:17" ht="22.05" customHeight="1">
      <c r="B71" s="324" t="s">
        <v>361</v>
      </c>
      <c r="C71" s="313"/>
      <c r="D71" s="313" t="s">
        <v>359</v>
      </c>
      <c r="E71" s="570"/>
      <c r="F71" s="570"/>
      <c r="G71" s="493">
        <f t="shared" ref="G71" si="21">IF(E71-F71&gt;0,E71-F71,0)</f>
        <v>0</v>
      </c>
      <c r="H71" s="583"/>
      <c r="I71" s="493">
        <f t="shared" si="16"/>
        <v>0</v>
      </c>
      <c r="J71" s="493">
        <f t="shared" si="17"/>
        <v>0</v>
      </c>
      <c r="K71" s="583"/>
      <c r="L71" s="493">
        <f t="shared" si="18"/>
        <v>0</v>
      </c>
      <c r="M71" s="583"/>
      <c r="O71" s="493">
        <f t="shared" si="19"/>
        <v>0</v>
      </c>
      <c r="Q71" s="42" t="s">
        <v>360</v>
      </c>
    </row>
    <row r="72" spans="2:17" ht="22.05" customHeight="1">
      <c r="B72" s="316"/>
      <c r="C72" s="494" t="s">
        <v>213</v>
      </c>
      <c r="D72" s="494"/>
      <c r="E72" s="317"/>
      <c r="F72" s="317"/>
      <c r="G72" s="317"/>
      <c r="H72" s="495">
        <f>SUM(H66:H71)</f>
        <v>0</v>
      </c>
      <c r="I72" s="495">
        <f>SUM(I66:I71)</f>
        <v>0</v>
      </c>
      <c r="J72" s="317"/>
      <c r="K72" s="495">
        <f>SUM(K66:K71)</f>
        <v>0</v>
      </c>
      <c r="L72" s="495">
        <f>SUM(L66:L71)</f>
        <v>0</v>
      </c>
      <c r="M72" s="495">
        <f>SUM(M66:M71)</f>
        <v>0</v>
      </c>
      <c r="O72" s="495">
        <f>+SUM(O66:O71)</f>
        <v>0</v>
      </c>
    </row>
    <row r="73" spans="2:17" ht="22.05" customHeight="1">
      <c r="B73" s="319"/>
      <c r="C73" s="319"/>
      <c r="D73" s="319"/>
      <c r="E73" s="319"/>
      <c r="F73" s="319"/>
      <c r="G73" s="319"/>
      <c r="H73" s="496"/>
      <c r="I73" s="319"/>
      <c r="J73" s="319"/>
      <c r="K73" s="319"/>
      <c r="L73" s="319"/>
      <c r="M73" s="319"/>
      <c r="O73" s="325"/>
    </row>
    <row r="74" spans="2:17" ht="22.05" customHeight="1">
      <c r="B74" s="497" t="s">
        <v>362</v>
      </c>
      <c r="C74" s="501"/>
      <c r="D74" s="619"/>
      <c r="E74" s="501"/>
      <c r="F74" s="499"/>
      <c r="G74" s="499"/>
      <c r="H74" s="500">
        <f>H72</f>
        <v>0</v>
      </c>
      <c r="I74" s="312">
        <f>+I72</f>
        <v>0</v>
      </c>
      <c r="J74" s="499"/>
      <c r="K74" s="500">
        <f>+K72</f>
        <v>0</v>
      </c>
      <c r="L74" s="500">
        <f>+L72</f>
        <v>0</v>
      </c>
      <c r="M74" s="500">
        <f>+M72</f>
        <v>0</v>
      </c>
      <c r="O74" s="500">
        <f>+O72</f>
        <v>0</v>
      </c>
    </row>
    <row r="76" spans="2:17" ht="22.05" customHeight="1">
      <c r="G76" s="499" t="s">
        <v>363</v>
      </c>
      <c r="H76" s="500">
        <f>H15+H29+H43+H59+H74</f>
        <v>0</v>
      </c>
      <c r="I76" s="500">
        <f>I15+I29+I43+I59+I74</f>
        <v>0</v>
      </c>
      <c r="K76" s="500">
        <f>K15+K29+K43+K59+K74</f>
        <v>0</v>
      </c>
      <c r="L76" s="500">
        <f>L15+L29+L43+L59+L74</f>
        <v>0</v>
      </c>
      <c r="M76" s="500">
        <f>M15+M29+M43+M59+M74</f>
        <v>0</v>
      </c>
      <c r="O76" s="500">
        <f>O15+O29+O43+O59+O74</f>
        <v>0</v>
      </c>
    </row>
    <row r="81" spans="2:16" ht="22.95" customHeight="1">
      <c r="B81" s="174" t="s">
        <v>364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2" spans="2:16" ht="39" customHeight="1">
      <c r="B82" s="15" t="s">
        <v>365</v>
      </c>
      <c r="C82" s="15" t="s">
        <v>339</v>
      </c>
      <c r="D82" s="90" t="s">
        <v>340</v>
      </c>
      <c r="E82" s="90" t="s">
        <v>341</v>
      </c>
      <c r="F82" s="90" t="s">
        <v>342</v>
      </c>
      <c r="G82" s="90" t="s">
        <v>343</v>
      </c>
      <c r="H82" s="90" t="s">
        <v>344</v>
      </c>
      <c r="I82" s="90" t="s">
        <v>345</v>
      </c>
      <c r="J82" s="90" t="s">
        <v>346</v>
      </c>
      <c r="K82" s="90" t="s">
        <v>347</v>
      </c>
      <c r="L82" s="90" t="s">
        <v>348</v>
      </c>
      <c r="M82" s="90" t="s">
        <v>366</v>
      </c>
      <c r="O82" s="90" t="s">
        <v>349</v>
      </c>
      <c r="P82" s="90" t="s">
        <v>367</v>
      </c>
    </row>
    <row r="83" spans="2:16" ht="22.05" customHeight="1">
      <c r="B83" s="579"/>
      <c r="C83" s="569"/>
      <c r="D83" s="313" t="s">
        <v>359</v>
      </c>
      <c r="E83" s="570"/>
      <c r="F83" s="570"/>
      <c r="G83" s="493">
        <f>IF(E83-F83&gt;0,E83-F83,0)</f>
        <v>0</v>
      </c>
      <c r="H83" s="583"/>
      <c r="I83" s="493">
        <f t="shared" ref="I83" si="22">G83-H83</f>
        <v>0</v>
      </c>
      <c r="J83" s="493">
        <f t="shared" ref="J83" si="23">IF(E83-F83&lt;0,E83-F83,0)</f>
        <v>0</v>
      </c>
      <c r="K83" s="583"/>
      <c r="L83" s="493">
        <f t="shared" ref="L83:L90" si="24">J83-K83</f>
        <v>0</v>
      </c>
      <c r="M83" s="583"/>
      <c r="O83" s="493">
        <f>H83+K83</f>
        <v>0</v>
      </c>
      <c r="P83" s="583">
        <v>0</v>
      </c>
    </row>
    <row r="84" spans="2:16" ht="22.05" customHeight="1">
      <c r="B84" s="579"/>
      <c r="C84" s="569"/>
      <c r="D84" s="313" t="s">
        <v>359</v>
      </c>
      <c r="E84" s="570"/>
      <c r="F84" s="570"/>
      <c r="G84" s="493">
        <f t="shared" ref="G84:G90" si="25">IF(E84-F84&gt;0,E84-F84,0)</f>
        <v>0</v>
      </c>
      <c r="H84" s="583"/>
      <c r="I84" s="493">
        <f t="shared" ref="I84:I90" si="26">G84-H84</f>
        <v>0</v>
      </c>
      <c r="J84" s="493">
        <f t="shared" ref="J84:J90" si="27">IF(E84-F84&lt;0,E84-F84,0)</f>
        <v>0</v>
      </c>
      <c r="K84" s="583"/>
      <c r="L84" s="493">
        <f t="shared" si="24"/>
        <v>0</v>
      </c>
      <c r="M84" s="583"/>
      <c r="O84" s="493">
        <f t="shared" ref="O84:O90" si="28">H84+K84</f>
        <v>0</v>
      </c>
      <c r="P84" s="583">
        <v>0</v>
      </c>
    </row>
    <row r="85" spans="2:16" ht="22.05" customHeight="1">
      <c r="B85" s="579"/>
      <c r="C85" s="569"/>
      <c r="D85" s="313" t="s">
        <v>359</v>
      </c>
      <c r="E85" s="570"/>
      <c r="F85" s="570"/>
      <c r="G85" s="493">
        <f t="shared" si="25"/>
        <v>0</v>
      </c>
      <c r="H85" s="583"/>
      <c r="I85" s="493">
        <f t="shared" si="26"/>
        <v>0</v>
      </c>
      <c r="J85" s="493">
        <f t="shared" si="27"/>
        <v>0</v>
      </c>
      <c r="K85" s="583"/>
      <c r="L85" s="493">
        <f t="shared" si="24"/>
        <v>0</v>
      </c>
      <c r="M85" s="583"/>
      <c r="O85" s="493">
        <f t="shared" si="28"/>
        <v>0</v>
      </c>
      <c r="P85" s="583">
        <v>0</v>
      </c>
    </row>
    <row r="86" spans="2:16" ht="22.05" customHeight="1">
      <c r="B86" s="579"/>
      <c r="C86" s="569"/>
      <c r="D86" s="313" t="s">
        <v>359</v>
      </c>
      <c r="E86" s="570"/>
      <c r="F86" s="570"/>
      <c r="G86" s="493">
        <f t="shared" si="25"/>
        <v>0</v>
      </c>
      <c r="H86" s="583"/>
      <c r="I86" s="493">
        <f t="shared" si="26"/>
        <v>0</v>
      </c>
      <c r="J86" s="493">
        <f t="shared" si="27"/>
        <v>0</v>
      </c>
      <c r="K86" s="583"/>
      <c r="L86" s="493">
        <f t="shared" si="24"/>
        <v>0</v>
      </c>
      <c r="M86" s="583"/>
      <c r="O86" s="493">
        <f t="shared" si="28"/>
        <v>0</v>
      </c>
      <c r="P86" s="583">
        <v>0</v>
      </c>
    </row>
    <row r="87" spans="2:16" ht="22.05" customHeight="1">
      <c r="B87" s="579"/>
      <c r="C87" s="569"/>
      <c r="D87" s="313" t="s">
        <v>359</v>
      </c>
      <c r="E87" s="570"/>
      <c r="F87" s="570"/>
      <c r="G87" s="493">
        <f t="shared" si="25"/>
        <v>0</v>
      </c>
      <c r="H87" s="583"/>
      <c r="I87" s="493">
        <f t="shared" si="26"/>
        <v>0</v>
      </c>
      <c r="J87" s="493">
        <f t="shared" si="27"/>
        <v>0</v>
      </c>
      <c r="K87" s="583"/>
      <c r="L87" s="493">
        <f t="shared" si="24"/>
        <v>0</v>
      </c>
      <c r="M87" s="583"/>
      <c r="O87" s="493">
        <f t="shared" si="28"/>
        <v>0</v>
      </c>
      <c r="P87" s="583">
        <v>0</v>
      </c>
    </row>
    <row r="88" spans="2:16" ht="22.05" customHeight="1">
      <c r="B88" s="579"/>
      <c r="C88" s="569"/>
      <c r="D88" s="313" t="s">
        <v>359</v>
      </c>
      <c r="E88" s="570"/>
      <c r="F88" s="570"/>
      <c r="G88" s="493">
        <f t="shared" si="25"/>
        <v>0</v>
      </c>
      <c r="H88" s="583"/>
      <c r="I88" s="493">
        <f t="shared" si="26"/>
        <v>0</v>
      </c>
      <c r="J88" s="493">
        <f t="shared" si="27"/>
        <v>0</v>
      </c>
      <c r="K88" s="583"/>
      <c r="L88" s="493">
        <f t="shared" si="24"/>
        <v>0</v>
      </c>
      <c r="M88" s="583"/>
      <c r="O88" s="493">
        <f t="shared" si="28"/>
        <v>0</v>
      </c>
      <c r="P88" s="583">
        <v>0</v>
      </c>
    </row>
    <row r="89" spans="2:16" ht="22.05" customHeight="1">
      <c r="B89" s="579"/>
      <c r="C89" s="569"/>
      <c r="D89" s="313" t="s">
        <v>359</v>
      </c>
      <c r="E89" s="570"/>
      <c r="F89" s="570"/>
      <c r="G89" s="493">
        <f t="shared" si="25"/>
        <v>0</v>
      </c>
      <c r="H89" s="583"/>
      <c r="I89" s="493">
        <f t="shared" si="26"/>
        <v>0</v>
      </c>
      <c r="J89" s="493">
        <f t="shared" si="27"/>
        <v>0</v>
      </c>
      <c r="K89" s="583"/>
      <c r="L89" s="493">
        <f t="shared" si="24"/>
        <v>0</v>
      </c>
      <c r="M89" s="583"/>
      <c r="O89" s="493">
        <f t="shared" si="28"/>
        <v>0</v>
      </c>
      <c r="P89" s="583">
        <v>0</v>
      </c>
    </row>
    <row r="90" spans="2:16" ht="22.05" customHeight="1">
      <c r="B90" s="579"/>
      <c r="C90" s="569"/>
      <c r="D90" s="313" t="s">
        <v>359</v>
      </c>
      <c r="E90" s="570"/>
      <c r="F90" s="570"/>
      <c r="G90" s="493">
        <f t="shared" si="25"/>
        <v>0</v>
      </c>
      <c r="H90" s="583"/>
      <c r="I90" s="493">
        <f t="shared" si="26"/>
        <v>0</v>
      </c>
      <c r="J90" s="493">
        <f t="shared" si="27"/>
        <v>0</v>
      </c>
      <c r="K90" s="583"/>
      <c r="L90" s="493">
        <f t="shared" si="24"/>
        <v>0</v>
      </c>
      <c r="M90" s="583"/>
      <c r="O90" s="493">
        <f t="shared" si="28"/>
        <v>0</v>
      </c>
      <c r="P90" s="583">
        <v>0</v>
      </c>
    </row>
    <row r="91" spans="2:16" ht="22.05" customHeight="1">
      <c r="B91" s="316"/>
      <c r="C91" s="494" t="s">
        <v>213</v>
      </c>
      <c r="D91" s="494"/>
      <c r="E91" s="317"/>
      <c r="F91" s="317"/>
      <c r="G91" s="317"/>
      <c r="H91" s="495">
        <f>SUM(H83:H90)</f>
        <v>0</v>
      </c>
      <c r="I91" s="495">
        <f>SUM(I83:I90)</f>
        <v>0</v>
      </c>
      <c r="J91" s="317"/>
      <c r="K91" s="495">
        <f>SUM(K83:K90)</f>
        <v>0</v>
      </c>
      <c r="L91" s="495">
        <f>SUM(L83:L90)</f>
        <v>0</v>
      </c>
      <c r="M91" s="495">
        <f>SUM(M83:M90)</f>
        <v>0</v>
      </c>
      <c r="O91" s="495">
        <f>SUM(O83:O90)</f>
        <v>0</v>
      </c>
      <c r="P91" s="495">
        <f>SUM(P83:P90)</f>
        <v>0</v>
      </c>
    </row>
    <row r="100" spans="2:14" ht="22.05" customHeight="1">
      <c r="B100" s="656" t="s">
        <v>215</v>
      </c>
      <c r="C100" s="656"/>
      <c r="D100" s="656"/>
      <c r="E100" s="656"/>
      <c r="F100" s="656"/>
      <c r="G100" s="656"/>
      <c r="H100" s="656"/>
      <c r="I100" s="656"/>
      <c r="J100" s="656"/>
      <c r="K100" s="656"/>
      <c r="L100" s="656"/>
      <c r="M100" s="656"/>
      <c r="N100" s="656"/>
    </row>
    <row r="103" spans="2:14" ht="22.05" customHeight="1">
      <c r="B103" s="319" t="s">
        <v>368</v>
      </c>
      <c r="C103" s="309">
        <f>SUMIF(G7:G72,"&gt;0",G7:G72)</f>
        <v>0</v>
      </c>
    </row>
    <row r="104" spans="2:14" ht="22.05" customHeight="1">
      <c r="B104" s="319" t="s">
        <v>369</v>
      </c>
      <c r="C104" s="503">
        <f>SUMIF(J7:J72,"&lt;0",J7:J72)</f>
        <v>0</v>
      </c>
    </row>
    <row r="105" spans="2:14" ht="22.05" customHeight="1">
      <c r="B105" s="319" t="s">
        <v>370</v>
      </c>
      <c r="C105" s="496">
        <f>H76</f>
        <v>0</v>
      </c>
    </row>
    <row r="106" spans="2:14" ht="22.05" customHeight="1">
      <c r="B106" s="319" t="s">
        <v>371</v>
      </c>
      <c r="C106" s="496">
        <f>I76</f>
        <v>0</v>
      </c>
    </row>
    <row r="108" spans="2:14" ht="22.05" customHeight="1">
      <c r="C108" s="15" t="s">
        <v>372</v>
      </c>
      <c r="D108" s="15" t="s">
        <v>342</v>
      </c>
      <c r="E108" s="15" t="s">
        <v>373</v>
      </c>
      <c r="F108" s="15" t="s">
        <v>374</v>
      </c>
      <c r="G108" s="15" t="s">
        <v>375</v>
      </c>
      <c r="H108" s="15" t="s">
        <v>344</v>
      </c>
      <c r="I108" s="15" t="s">
        <v>345</v>
      </c>
      <c r="J108" s="90" t="s">
        <v>347</v>
      </c>
      <c r="K108" s="90" t="s">
        <v>348</v>
      </c>
      <c r="L108" s="15"/>
      <c r="M108" s="15"/>
    </row>
    <row r="109" spans="2:14" ht="22.05" customHeight="1">
      <c r="B109" s="319" t="s">
        <v>376</v>
      </c>
      <c r="C109" s="496">
        <f>SUM(E8:E12)</f>
        <v>0</v>
      </c>
      <c r="D109" s="496">
        <f>SUM(F8:F12)</f>
        <v>0</v>
      </c>
      <c r="E109" s="496">
        <f>SUMIF(J8:J12,"&lt;0",J8:J12)</f>
        <v>0</v>
      </c>
      <c r="F109" s="496">
        <f>SUMIF(G8:G12,"&gt;0",G8:G12)</f>
        <v>0</v>
      </c>
      <c r="G109" s="314">
        <v>1</v>
      </c>
      <c r="H109" s="496">
        <f>H15</f>
        <v>0</v>
      </c>
      <c r="I109" s="496">
        <f>I15</f>
        <v>0</v>
      </c>
      <c r="J109" s="496">
        <f>E109/G109</f>
        <v>0</v>
      </c>
      <c r="K109" s="496">
        <f>E109-J109</f>
        <v>0</v>
      </c>
      <c r="L109" s="131"/>
      <c r="M109" s="131"/>
    </row>
    <row r="110" spans="2:14" ht="22.05" customHeight="1">
      <c r="B110" s="319" t="str">
        <f>CONCATENATE("ACCIONES FUERA DE BOLSA - NACIONAL ",B22)</f>
        <v>ACCIONES FUERA DE BOLSA - NACIONAL A</v>
      </c>
      <c r="C110" s="496">
        <f t="shared" ref="C110:D114" si="29">E22</f>
        <v>0</v>
      </c>
      <c r="D110" s="496">
        <f t="shared" si="29"/>
        <v>0</v>
      </c>
      <c r="E110" s="496">
        <f>SUMIF(J22,"&lt;0",J22)</f>
        <v>0</v>
      </c>
      <c r="F110" s="496">
        <f>SUMIF(G22,"&gt;0",G22)</f>
        <v>0</v>
      </c>
      <c r="G110" s="314">
        <f>D22</f>
        <v>1</v>
      </c>
      <c r="H110" s="496">
        <f t="shared" ref="H110:I114" si="30">H22</f>
        <v>0</v>
      </c>
      <c r="I110" s="496">
        <f t="shared" si="30"/>
        <v>0</v>
      </c>
      <c r="J110" s="496">
        <f>K22</f>
        <v>0</v>
      </c>
      <c r="K110" s="496">
        <f>E110-J110</f>
        <v>0</v>
      </c>
      <c r="L110" s="131"/>
      <c r="M110" s="131"/>
    </row>
    <row r="111" spans="2:14" ht="22.05" customHeight="1">
      <c r="B111" s="319" t="str">
        <f>CONCATENATE("ACCIONES FUERA DE BOLSA - NACIONAL ",B23)</f>
        <v>ACCIONES FUERA DE BOLSA - NACIONAL B</v>
      </c>
      <c r="C111" s="496">
        <f t="shared" si="29"/>
        <v>0</v>
      </c>
      <c r="D111" s="496">
        <f t="shared" si="29"/>
        <v>0</v>
      </c>
      <c r="E111" s="496">
        <f>SUMIF(J23,"&lt;0",J23)</f>
        <v>0</v>
      </c>
      <c r="F111" s="496">
        <f>SUMIF(G23,"&gt;0",G23)</f>
        <v>0</v>
      </c>
      <c r="G111" s="314">
        <f>D23</f>
        <v>1</v>
      </c>
      <c r="H111" s="496">
        <f t="shared" si="30"/>
        <v>0</v>
      </c>
      <c r="I111" s="496">
        <f t="shared" si="30"/>
        <v>0</v>
      </c>
      <c r="J111" s="496">
        <f>K23</f>
        <v>0</v>
      </c>
      <c r="K111" s="496">
        <f t="shared" ref="K111:K114" si="31">E111-J111</f>
        <v>0</v>
      </c>
      <c r="L111" s="131"/>
      <c r="M111" s="131"/>
    </row>
    <row r="112" spans="2:14" ht="22.05" customHeight="1">
      <c r="B112" s="319" t="str">
        <f>CONCATENATE("ACCIONES FUERA DE BOLSA - NACIONAL ",B24)</f>
        <v>ACCIONES FUERA DE BOLSA - NACIONAL C</v>
      </c>
      <c r="C112" s="496">
        <f t="shared" si="29"/>
        <v>0</v>
      </c>
      <c r="D112" s="496">
        <f t="shared" si="29"/>
        <v>0</v>
      </c>
      <c r="E112" s="496">
        <f>SUMIF(J24,"&lt;0",J24)</f>
        <v>0</v>
      </c>
      <c r="F112" s="496">
        <f>SUMIF(G24,"&gt;0",G24)</f>
        <v>0</v>
      </c>
      <c r="G112" s="314">
        <f>D24</f>
        <v>1</v>
      </c>
      <c r="H112" s="496">
        <f t="shared" si="30"/>
        <v>0</v>
      </c>
      <c r="I112" s="496">
        <f t="shared" si="30"/>
        <v>0</v>
      </c>
      <c r="J112" s="496">
        <f>K24</f>
        <v>0</v>
      </c>
      <c r="K112" s="496">
        <f t="shared" si="31"/>
        <v>0</v>
      </c>
      <c r="L112" s="131"/>
      <c r="M112" s="131"/>
    </row>
    <row r="113" spans="2:13" ht="22.05" customHeight="1">
      <c r="B113" s="319" t="str">
        <f>CONCATENATE("ACCIONES FUERA DE BOLSA - NACIONAL ",B25)</f>
        <v>ACCIONES FUERA DE BOLSA - NACIONAL D</v>
      </c>
      <c r="C113" s="496">
        <f t="shared" si="29"/>
        <v>0</v>
      </c>
      <c r="D113" s="496">
        <f t="shared" si="29"/>
        <v>0</v>
      </c>
      <c r="E113" s="496">
        <f>SUMIF(J25,"&lt;0",J25)</f>
        <v>0</v>
      </c>
      <c r="F113" s="496">
        <f>SUMIF(G25,"&gt;0",G25)</f>
        <v>0</v>
      </c>
      <c r="G113" s="314">
        <f>D25</f>
        <v>1</v>
      </c>
      <c r="H113" s="496">
        <f t="shared" si="30"/>
        <v>0</v>
      </c>
      <c r="I113" s="496">
        <f t="shared" si="30"/>
        <v>0</v>
      </c>
      <c r="J113" s="496">
        <f>K25</f>
        <v>0</v>
      </c>
      <c r="K113" s="496">
        <f t="shared" si="31"/>
        <v>0</v>
      </c>
      <c r="L113" s="131"/>
      <c r="M113" s="131"/>
    </row>
    <row r="114" spans="2:13" ht="22.05" customHeight="1">
      <c r="B114" s="319" t="str">
        <f>CONCATENATE("ACCIONES FUERA DE BOLSA - NACIONAL ",B26)</f>
        <v>ACCIONES FUERA DE BOLSA - NACIONAL E</v>
      </c>
      <c r="C114" s="496">
        <f t="shared" si="29"/>
        <v>0</v>
      </c>
      <c r="D114" s="496">
        <f t="shared" si="29"/>
        <v>0</v>
      </c>
      <c r="E114" s="496">
        <f>SUMIF(J26,"&lt;0",J26)</f>
        <v>0</v>
      </c>
      <c r="F114" s="496">
        <f>SUMIF(G26,"&gt;0",G26)</f>
        <v>0</v>
      </c>
      <c r="G114" s="314">
        <f>D26</f>
        <v>1</v>
      </c>
      <c r="H114" s="496">
        <f t="shared" si="30"/>
        <v>0</v>
      </c>
      <c r="I114" s="496">
        <f t="shared" si="30"/>
        <v>0</v>
      </c>
      <c r="J114" s="496">
        <f>K26</f>
        <v>0</v>
      </c>
      <c r="K114" s="496">
        <f t="shared" si="31"/>
        <v>0</v>
      </c>
      <c r="L114" s="131"/>
      <c r="M114" s="131"/>
    </row>
    <row r="115" spans="2:13" ht="22.05" customHeight="1">
      <c r="B115" s="319" t="s">
        <v>377</v>
      </c>
      <c r="C115" s="496">
        <f>SUM(E66:E72)</f>
        <v>0</v>
      </c>
      <c r="D115" s="496">
        <f>SUM(F66:F71)</f>
        <v>0</v>
      </c>
      <c r="E115" s="496">
        <f>SUMIF(J66:J71,"&lt;0",J66:J71)</f>
        <v>0</v>
      </c>
      <c r="F115" s="496">
        <f>SUMIF(G66:G71,"&gt;0",G66:G71)</f>
        <v>0</v>
      </c>
      <c r="G115" s="314" t="s">
        <v>378</v>
      </c>
      <c r="H115" s="496">
        <f>H74</f>
        <v>0</v>
      </c>
      <c r="I115" s="496">
        <f>I74</f>
        <v>0</v>
      </c>
      <c r="J115" s="496">
        <f>K74</f>
        <v>0</v>
      </c>
      <c r="K115" s="496">
        <f>E115-J115</f>
        <v>0</v>
      </c>
      <c r="L115" s="131"/>
      <c r="M115" s="131"/>
    </row>
    <row r="116" spans="2:13" ht="22.05" customHeight="1">
      <c r="B116" s="319" t="s">
        <v>379</v>
      </c>
      <c r="C116" s="496">
        <f>SUM(E36:E40)</f>
        <v>0</v>
      </c>
      <c r="D116" s="496">
        <f>SUM(F36:F40)</f>
        <v>0</v>
      </c>
      <c r="E116" s="496">
        <f>SUMIF(G36:G40,"&lt;0",G36:G40)</f>
        <v>0</v>
      </c>
      <c r="F116" s="496">
        <f>SUMIF(G36:G40,"&gt;0",G36:G40)</f>
        <v>0</v>
      </c>
      <c r="G116" s="314">
        <v>1</v>
      </c>
      <c r="H116" s="496">
        <f>H43</f>
        <v>0</v>
      </c>
      <c r="I116" s="496">
        <f>I43</f>
        <v>0</v>
      </c>
      <c r="J116" s="496">
        <f>K43</f>
        <v>0</v>
      </c>
      <c r="K116" s="496">
        <f>L43</f>
        <v>0</v>
      </c>
      <c r="L116" s="131"/>
      <c r="M116" s="131"/>
    </row>
    <row r="117" spans="2:13" ht="22.05" customHeight="1">
      <c r="B117" s="319" t="str">
        <f>CONCATENATE("MUEBLES - NACIONAL ",B22)</f>
        <v>MUEBLES - NACIONAL A</v>
      </c>
      <c r="C117" s="496">
        <f>E52</f>
        <v>0</v>
      </c>
      <c r="D117" s="496">
        <f>F52</f>
        <v>0</v>
      </c>
      <c r="E117" s="496">
        <f>J52</f>
        <v>0</v>
      </c>
      <c r="F117" s="496">
        <f>G52</f>
        <v>0</v>
      </c>
      <c r="G117" s="314">
        <f>D52</f>
        <v>1</v>
      </c>
      <c r="H117" s="496">
        <f>H52</f>
        <v>0</v>
      </c>
      <c r="I117" s="496">
        <f>I52</f>
        <v>0</v>
      </c>
      <c r="J117" s="496">
        <f>K52</f>
        <v>0</v>
      </c>
      <c r="K117" s="496">
        <f>L22</f>
        <v>0</v>
      </c>
    </row>
    <row r="118" spans="2:13" ht="22.05" customHeight="1">
      <c r="B118" s="319" t="str">
        <f>CONCATENATE("MUEBLES - NACIONAL ",B23)</f>
        <v>MUEBLES - NACIONAL B</v>
      </c>
      <c r="C118" s="496">
        <f t="shared" ref="C118:C121" si="32">E53</f>
        <v>0</v>
      </c>
      <c r="D118" s="496">
        <f t="shared" ref="D118:D121" si="33">F53</f>
        <v>0</v>
      </c>
      <c r="E118" s="496">
        <f t="shared" ref="E118:E121" si="34">J53</f>
        <v>0</v>
      </c>
      <c r="F118" s="496">
        <f t="shared" ref="F118:F121" si="35">G53</f>
        <v>0</v>
      </c>
      <c r="G118" s="314">
        <f t="shared" ref="G118:G121" si="36">D53</f>
        <v>1</v>
      </c>
      <c r="H118" s="496">
        <f t="shared" ref="H118:I121" si="37">H53</f>
        <v>0</v>
      </c>
      <c r="I118" s="496">
        <f t="shared" si="37"/>
        <v>0</v>
      </c>
      <c r="J118" s="496">
        <f>K53</f>
        <v>0</v>
      </c>
      <c r="K118" s="496">
        <f t="shared" ref="K118:K121" si="38">L23</f>
        <v>0</v>
      </c>
    </row>
    <row r="119" spans="2:13" ht="22.05" customHeight="1">
      <c r="B119" s="319" t="str">
        <f>CONCATENATE("MUEBLES - NACIONAL ",B24)</f>
        <v>MUEBLES - NACIONAL C</v>
      </c>
      <c r="C119" s="496">
        <f t="shared" si="32"/>
        <v>0</v>
      </c>
      <c r="D119" s="496">
        <f t="shared" si="33"/>
        <v>0</v>
      </c>
      <c r="E119" s="496">
        <f t="shared" si="34"/>
        <v>0</v>
      </c>
      <c r="F119" s="496">
        <f t="shared" si="35"/>
        <v>0</v>
      </c>
      <c r="G119" s="314">
        <f t="shared" si="36"/>
        <v>1</v>
      </c>
      <c r="H119" s="496">
        <f t="shared" si="37"/>
        <v>0</v>
      </c>
      <c r="I119" s="496">
        <f t="shared" si="37"/>
        <v>0</v>
      </c>
      <c r="J119" s="496">
        <f>K54</f>
        <v>0</v>
      </c>
      <c r="K119" s="496">
        <f t="shared" si="38"/>
        <v>0</v>
      </c>
    </row>
    <row r="120" spans="2:13" ht="22.05" customHeight="1">
      <c r="B120" s="319" t="str">
        <f>CONCATENATE("MUEBLES - NACIONAL ",B25)</f>
        <v>MUEBLES - NACIONAL D</v>
      </c>
      <c r="C120" s="496">
        <f t="shared" si="32"/>
        <v>0</v>
      </c>
      <c r="D120" s="496">
        <f t="shared" si="33"/>
        <v>0</v>
      </c>
      <c r="E120" s="496">
        <f t="shared" si="34"/>
        <v>0</v>
      </c>
      <c r="F120" s="496">
        <f t="shared" si="35"/>
        <v>0</v>
      </c>
      <c r="G120" s="314">
        <f t="shared" si="36"/>
        <v>1</v>
      </c>
      <c r="H120" s="496">
        <f t="shared" si="37"/>
        <v>0</v>
      </c>
      <c r="I120" s="496">
        <f t="shared" si="37"/>
        <v>0</v>
      </c>
      <c r="J120" s="496">
        <f>K55</f>
        <v>0</v>
      </c>
      <c r="K120" s="496">
        <f t="shared" si="38"/>
        <v>0</v>
      </c>
    </row>
    <row r="121" spans="2:13" ht="22.05" customHeight="1">
      <c r="B121" s="319" t="str">
        <f>CONCATENATE("MUEBLES - NACIONAL ",B26)</f>
        <v>MUEBLES - NACIONAL E</v>
      </c>
      <c r="C121" s="496">
        <f t="shared" si="32"/>
        <v>0</v>
      </c>
      <c r="D121" s="496">
        <f t="shared" si="33"/>
        <v>0</v>
      </c>
      <c r="E121" s="496">
        <f t="shared" si="34"/>
        <v>0</v>
      </c>
      <c r="F121" s="496">
        <f t="shared" si="35"/>
        <v>0</v>
      </c>
      <c r="G121" s="314">
        <f t="shared" si="36"/>
        <v>1</v>
      </c>
      <c r="H121" s="496">
        <f t="shared" si="37"/>
        <v>0</v>
      </c>
      <c r="I121" s="496">
        <f t="shared" si="37"/>
        <v>0</v>
      </c>
      <c r="J121" s="496">
        <f>K56</f>
        <v>0</v>
      </c>
      <c r="K121" s="496">
        <f t="shared" si="38"/>
        <v>0</v>
      </c>
    </row>
    <row r="122" spans="2:13" ht="22.05" customHeight="1"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</row>
    <row r="123" spans="2:13" ht="22.05" customHeight="1">
      <c r="B123" s="319"/>
      <c r="C123" s="496">
        <f>SUM(C109:C121)</f>
        <v>0</v>
      </c>
      <c r="D123" s="496">
        <f>SUM(D109:D121)</f>
        <v>0</v>
      </c>
      <c r="E123" s="496">
        <f>SUM(E109:E121)</f>
        <v>0</v>
      </c>
      <c r="F123" s="496">
        <f>SUM(F109:F121)</f>
        <v>0</v>
      </c>
      <c r="G123" s="319"/>
      <c r="H123" s="496">
        <f>SUM(H109:H121)</f>
        <v>0</v>
      </c>
      <c r="I123" s="496">
        <f>SUM(I109:I121)</f>
        <v>0</v>
      </c>
      <c r="J123" s="496">
        <f>SUM(J109:J121)</f>
        <v>0</v>
      </c>
      <c r="K123" s="496">
        <f>SUM(K109:K121)</f>
        <v>0</v>
      </c>
    </row>
    <row r="125" spans="2:13" ht="22.05" customHeight="1">
      <c r="B125" s="504" t="s">
        <v>380</v>
      </c>
      <c r="C125" s="505">
        <f>H123+J123</f>
        <v>0</v>
      </c>
    </row>
  </sheetData>
  <sheetProtection formatCells="0" formatColumns="0" formatRows="0" insertColumns="0" insertRows="0" deleteColumns="0" deleteRows="0"/>
  <mergeCells count="1">
    <mergeCell ref="B100:N100"/>
  </mergeCells>
  <phoneticPr fontId="7" type="noConversion"/>
  <dataValidations disablePrompts="1" count="2">
    <dataValidation type="list" errorStyle="warning" allowBlank="1" showInputMessage="1" showErrorMessage="1" errorTitle="Numero de años" error="Solo puedes seleccionar el numero de años mostrado" promptTitle="Selecciona el numero de años" prompt="Selecciona el numero de años" sqref="D8:D12 D36:D40" xr:uid="{7A9E59E8-5E89-D74B-AA19-57AD0F5BFD72}">
      <formula1>$V$2:$V$3</formula1>
    </dataValidation>
    <dataValidation type="list" errorStyle="warning" allowBlank="1" showInputMessage="1" showErrorMessage="1" errorTitle="Error" error="Sólo puedes seleccionar el número de años mostrado" promptTitle="Número de años" prompt="Selecciona el número de años que corresponda" sqref="D22:D26 D52:D56" xr:uid="{43B475D5-0C01-B141-9ADF-D48B6B5A45A4}">
      <formula1>$V$2:$V$22</formula1>
    </dataValidation>
  </dataValidations>
  <printOptions horizontalCentered="1"/>
  <pageMargins left="0.7" right="0.7" top="0.75" bottom="0.75" header="0.3" footer="0.3"/>
  <pageSetup scale="3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J69"/>
  <sheetViews>
    <sheetView showGridLines="0" zoomScaleNormal="100" zoomScaleSheetLayoutView="90" zoomScalePageLayoutView="150" workbookViewId="0">
      <selection activeCell="E30" sqref="E30"/>
    </sheetView>
  </sheetViews>
  <sheetFormatPr defaultColWidth="10.796875" defaultRowHeight="22.05" customHeight="1"/>
  <cols>
    <col min="1" max="1" width="10.796875" style="41"/>
    <col min="2" max="2" width="64.69921875" style="41" customWidth="1"/>
    <col min="3" max="3" width="23.69921875" style="41" customWidth="1"/>
    <col min="4" max="4" width="23.5" style="41" customWidth="1"/>
    <col min="5" max="5" width="21.296875" style="41" customWidth="1"/>
    <col min="6" max="6" width="17.69921875" style="41" customWidth="1"/>
    <col min="7" max="7" width="5.5" style="41" customWidth="1"/>
    <col min="8" max="8" width="21" style="41" customWidth="1"/>
    <col min="9" max="16384" width="10.796875" style="41"/>
  </cols>
  <sheetData>
    <row r="3" spans="2:8" ht="22.05" customHeight="1">
      <c r="B3" s="157" t="str">
        <f>Datos!C6</f>
        <v>NOMBRE EN MAYUSCULAS</v>
      </c>
      <c r="C3" s="157"/>
      <c r="D3" s="157"/>
      <c r="E3" s="157"/>
      <c r="F3" s="157"/>
      <c r="G3" s="157"/>
      <c r="H3" s="157"/>
    </row>
    <row r="4" spans="2:8" ht="22.05" customHeight="1">
      <c r="B4" s="154" t="s">
        <v>381</v>
      </c>
      <c r="C4" s="154"/>
      <c r="D4" s="154"/>
      <c r="E4" s="154"/>
      <c r="F4" s="154"/>
      <c r="G4" s="154"/>
      <c r="H4" s="154"/>
    </row>
    <row r="5" spans="2:8" ht="22.05" customHeight="1">
      <c r="B5" s="158"/>
      <c r="C5" s="158"/>
      <c r="D5" s="158"/>
      <c r="E5" s="158"/>
      <c r="F5" s="158"/>
      <c r="G5" s="158"/>
      <c r="H5" s="158"/>
    </row>
    <row r="6" spans="2:8" ht="22.05" customHeight="1">
      <c r="B6" s="43" t="s">
        <v>382</v>
      </c>
      <c r="C6" s="43"/>
      <c r="D6" s="43"/>
      <c r="E6" s="43"/>
      <c r="F6" s="43"/>
      <c r="G6" s="43"/>
      <c r="H6" s="43"/>
    </row>
    <row r="7" spans="2:8" ht="39" customHeight="1">
      <c r="B7" s="128" t="s">
        <v>352</v>
      </c>
      <c r="C7" s="128" t="s">
        <v>339</v>
      </c>
      <c r="D7" s="128" t="s">
        <v>383</v>
      </c>
      <c r="E7" s="128" t="s">
        <v>384</v>
      </c>
      <c r="F7" s="128" t="s">
        <v>385</v>
      </c>
      <c r="G7" s="128"/>
      <c r="H7" s="128" t="s">
        <v>386</v>
      </c>
    </row>
    <row r="8" spans="2:8" ht="22.05" customHeight="1">
      <c r="D8" s="81"/>
      <c r="E8" s="81"/>
    </row>
    <row r="9" spans="2:8" ht="22.05" customHeight="1">
      <c r="B9" s="324" t="str">
        <f>CONCATENATE("Inversiones en el extranjero - ",Datos!D24)</f>
        <v>Inversiones en el extranjero - Cuentas Personales</v>
      </c>
      <c r="C9" s="313" t="s">
        <v>350</v>
      </c>
      <c r="D9" s="570"/>
      <c r="E9" s="584"/>
      <c r="F9" s="325">
        <f>+D9-E9</f>
        <v>0</v>
      </c>
      <c r="G9" s="98"/>
      <c r="H9" s="325">
        <f>+F9-G9</f>
        <v>0</v>
      </c>
    </row>
    <row r="10" spans="2:8" ht="22.05" customHeight="1">
      <c r="B10" s="324" t="str">
        <f>CONCATENATE("Inversiones en el extranjero - ",Datos!D25)</f>
        <v>Inversiones en el extranjero - Nombre de la LP 1</v>
      </c>
      <c r="C10" s="313" t="s">
        <v>350</v>
      </c>
      <c r="D10" s="570"/>
      <c r="E10" s="584"/>
      <c r="F10" s="325">
        <f>+D10-E10</f>
        <v>0</v>
      </c>
      <c r="G10" s="98"/>
      <c r="H10" s="325">
        <f t="shared" ref="H10:H13" si="0">+F10-G10</f>
        <v>0</v>
      </c>
    </row>
    <row r="11" spans="2:8" ht="22.05" customHeight="1">
      <c r="B11" s="324" t="str">
        <f>CONCATENATE("Inversiones en el extranjero - ",Datos!D26)</f>
        <v>Inversiones en el extranjero - Nombre de la LP 2</v>
      </c>
      <c r="C11" s="313" t="s">
        <v>350</v>
      </c>
      <c r="D11" s="570"/>
      <c r="E11" s="584"/>
      <c r="F11" s="325">
        <f>+D11-E11</f>
        <v>0</v>
      </c>
      <c r="G11" s="98"/>
      <c r="H11" s="325">
        <f t="shared" si="0"/>
        <v>0</v>
      </c>
    </row>
    <row r="12" spans="2:8" ht="22.05" customHeight="1">
      <c r="B12" s="324" t="str">
        <f>CONCATENATE("Inversiones en el extranjero - ",Datos!D27)</f>
        <v>Inversiones en el extranjero - Nombre de la LP 3</v>
      </c>
      <c r="C12" s="313" t="s">
        <v>350</v>
      </c>
      <c r="D12" s="570"/>
      <c r="E12" s="584"/>
      <c r="F12" s="325">
        <f>+D12-E12</f>
        <v>0</v>
      </c>
      <c r="G12" s="98"/>
      <c r="H12" s="325">
        <f t="shared" si="0"/>
        <v>0</v>
      </c>
    </row>
    <row r="13" spans="2:8" ht="22.05" customHeight="1">
      <c r="B13" s="324" t="str">
        <f>CONCATENATE("Inversiones en el extranjero - ",Datos!D28)</f>
        <v>Inversiones en el extranjero - Nombre de la LP 4</v>
      </c>
      <c r="C13" s="313" t="s">
        <v>350</v>
      </c>
      <c r="D13" s="570"/>
      <c r="E13" s="584"/>
      <c r="F13" s="325">
        <f>+D13-E13</f>
        <v>0</v>
      </c>
      <c r="G13" s="98"/>
      <c r="H13" s="325">
        <f t="shared" si="0"/>
        <v>0</v>
      </c>
    </row>
    <row r="14" spans="2:8" ht="22.05" customHeight="1">
      <c r="B14" s="316"/>
      <c r="C14" s="494" t="s">
        <v>387</v>
      </c>
      <c r="D14" s="326">
        <f>+SUM(D9:D13)</f>
        <v>0</v>
      </c>
      <c r="E14" s="326">
        <f>+SUM(E9:E13)</f>
        <v>0</v>
      </c>
      <c r="F14" s="326">
        <f>SUM(F9:F13)</f>
        <v>0</v>
      </c>
      <c r="G14" s="141"/>
      <c r="H14" s="326">
        <f>SUM(H9:H13)</f>
        <v>0</v>
      </c>
    </row>
    <row r="17" spans="2:8" ht="22.05" customHeight="1">
      <c r="B17" s="158"/>
      <c r="C17" s="158"/>
      <c r="D17" s="158"/>
      <c r="E17" s="158"/>
      <c r="F17" s="158"/>
      <c r="G17" s="158"/>
      <c r="H17" s="158"/>
    </row>
    <row r="18" spans="2:8" ht="22.05" customHeight="1">
      <c r="B18" s="43" t="s">
        <v>388</v>
      </c>
      <c r="C18" s="43"/>
      <c r="D18" s="43"/>
      <c r="E18" s="43"/>
      <c r="F18" s="43"/>
      <c r="G18" s="43"/>
      <c r="H18" s="43"/>
    </row>
    <row r="19" spans="2:8" ht="36" customHeight="1">
      <c r="B19" s="128" t="s">
        <v>352</v>
      </c>
      <c r="C19" s="128" t="s">
        <v>339</v>
      </c>
      <c r="D19" s="128" t="s">
        <v>383</v>
      </c>
      <c r="E19" s="128" t="s">
        <v>384</v>
      </c>
      <c r="F19" s="128" t="s">
        <v>385</v>
      </c>
      <c r="G19" s="128"/>
      <c r="H19" s="128" t="s">
        <v>386</v>
      </c>
    </row>
    <row r="20" spans="2:8" ht="22.05" customHeight="1">
      <c r="D20" s="81"/>
      <c r="E20" s="81"/>
    </row>
    <row r="21" spans="2:8" ht="22.05" customHeight="1">
      <c r="B21" s="579" t="s">
        <v>199</v>
      </c>
      <c r="C21" s="569"/>
      <c r="D21" s="570"/>
      <c r="E21" s="584"/>
      <c r="F21" s="325">
        <f>+D21-E21</f>
        <v>0</v>
      </c>
      <c r="G21" s="98"/>
      <c r="H21" s="325">
        <f t="shared" ref="H21:H25" si="1">+F21-G21</f>
        <v>0</v>
      </c>
    </row>
    <row r="22" spans="2:8" ht="22.05" customHeight="1">
      <c r="B22" s="579" t="s">
        <v>200</v>
      </c>
      <c r="C22" s="569"/>
      <c r="D22" s="570"/>
      <c r="E22" s="584"/>
      <c r="F22" s="325">
        <f>+D22-E22</f>
        <v>0</v>
      </c>
      <c r="G22" s="98"/>
      <c r="H22" s="325">
        <f t="shared" si="1"/>
        <v>0</v>
      </c>
    </row>
    <row r="23" spans="2:8" ht="22.05" customHeight="1">
      <c r="B23" s="579" t="s">
        <v>201</v>
      </c>
      <c r="C23" s="569"/>
      <c r="D23" s="570"/>
      <c r="E23" s="584"/>
      <c r="F23" s="325">
        <f>+D23-E23</f>
        <v>0</v>
      </c>
      <c r="G23" s="98"/>
      <c r="H23" s="325">
        <f t="shared" si="1"/>
        <v>0</v>
      </c>
    </row>
    <row r="24" spans="2:8" ht="22.05" customHeight="1">
      <c r="B24" s="579" t="s">
        <v>202</v>
      </c>
      <c r="C24" s="569"/>
      <c r="D24" s="570"/>
      <c r="E24" s="584"/>
      <c r="F24" s="325">
        <f>+D24-E24</f>
        <v>0</v>
      </c>
      <c r="G24" s="98"/>
      <c r="H24" s="325">
        <f t="shared" si="1"/>
        <v>0</v>
      </c>
    </row>
    <row r="25" spans="2:8" ht="22.05" customHeight="1">
      <c r="B25" s="579" t="s">
        <v>203</v>
      </c>
      <c r="C25" s="569"/>
      <c r="D25" s="570"/>
      <c r="E25" s="584"/>
      <c r="F25" s="325">
        <f>+D25-E25</f>
        <v>0</v>
      </c>
      <c r="G25" s="98"/>
      <c r="H25" s="325">
        <f t="shared" si="1"/>
        <v>0</v>
      </c>
    </row>
    <row r="26" spans="2:8" ht="22.05" customHeight="1">
      <c r="B26" s="316"/>
      <c r="C26" s="494" t="s">
        <v>389</v>
      </c>
      <c r="D26" s="326">
        <f>+SUM(D21:D25)</f>
        <v>0</v>
      </c>
      <c r="E26" s="326">
        <f>+SUM(E21:E25)</f>
        <v>0</v>
      </c>
      <c r="F26" s="326">
        <f>SUM(F21:F25)</f>
        <v>0</v>
      </c>
      <c r="G26" s="141"/>
      <c r="H26" s="326">
        <f>SUM(H21:H25)</f>
        <v>0</v>
      </c>
    </row>
    <row r="29" spans="2:8" ht="22.05" customHeight="1">
      <c r="B29" s="173"/>
      <c r="D29" s="498"/>
      <c r="E29" s="502"/>
      <c r="F29" s="498"/>
      <c r="G29" s="519" t="s">
        <v>390</v>
      </c>
      <c r="H29" s="335">
        <f>+IF((H14+H26)&gt;0,(H14+H26),0)</f>
        <v>0</v>
      </c>
    </row>
    <row r="32" spans="2:8" ht="22.05" customHeight="1">
      <c r="B32" s="158"/>
      <c r="C32" s="158"/>
      <c r="D32" s="158"/>
      <c r="E32" s="158"/>
      <c r="F32" s="158"/>
      <c r="G32" s="158"/>
      <c r="H32" s="158"/>
    </row>
    <row r="33" spans="2:8" ht="22.05" customHeight="1">
      <c r="B33" s="43" t="s">
        <v>391</v>
      </c>
      <c r="C33" s="43"/>
      <c r="D33" s="43"/>
      <c r="E33" s="43"/>
      <c r="F33" s="43"/>
      <c r="G33" s="43"/>
      <c r="H33" s="43"/>
    </row>
    <row r="34" spans="2:8" ht="34.950000000000003" customHeight="1">
      <c r="B34" s="95" t="s">
        <v>352</v>
      </c>
      <c r="C34" s="95" t="s">
        <v>339</v>
      </c>
      <c r="D34" s="95" t="s">
        <v>383</v>
      </c>
      <c r="E34" s="95" t="s">
        <v>384</v>
      </c>
      <c r="F34" s="128" t="s">
        <v>385</v>
      </c>
      <c r="G34" s="128"/>
      <c r="H34" s="128" t="s">
        <v>386</v>
      </c>
    </row>
    <row r="36" spans="2:8" ht="22.05" customHeight="1">
      <c r="B36" s="324" t="str">
        <f>CONCATENATE("Inversiones en el extranjero - ",Datos!D24)</f>
        <v>Inversiones en el extranjero - Cuentas Personales</v>
      </c>
      <c r="C36" s="313" t="s">
        <v>350</v>
      </c>
      <c r="D36" s="570"/>
      <c r="E36" s="584"/>
      <c r="F36" s="325">
        <f>+D36-E36</f>
        <v>0</v>
      </c>
      <c r="G36" s="98"/>
      <c r="H36" s="325">
        <f t="shared" ref="H36" si="2">+F36-G36</f>
        <v>0</v>
      </c>
    </row>
    <row r="37" spans="2:8" ht="22.05" customHeight="1">
      <c r="B37" s="324" t="str">
        <f>CONCATENATE("Inversiones en el extranjero - ",Datos!D25)</f>
        <v>Inversiones en el extranjero - Nombre de la LP 1</v>
      </c>
      <c r="C37" s="313" t="s">
        <v>350</v>
      </c>
      <c r="D37" s="570"/>
      <c r="E37" s="584"/>
      <c r="F37" s="325">
        <f t="shared" ref="F37:F40" si="3">+D37-E37</f>
        <v>0</v>
      </c>
      <c r="G37" s="98"/>
      <c r="H37" s="325">
        <f t="shared" ref="H37:H40" si="4">+F37-G37</f>
        <v>0</v>
      </c>
    </row>
    <row r="38" spans="2:8" ht="22.05" customHeight="1">
      <c r="B38" s="324" t="str">
        <f>CONCATENATE("Inversiones en el extranjero - ",Datos!D26)</f>
        <v>Inversiones en el extranjero - Nombre de la LP 2</v>
      </c>
      <c r="C38" s="313" t="s">
        <v>350</v>
      </c>
      <c r="D38" s="570"/>
      <c r="E38" s="584"/>
      <c r="F38" s="325">
        <f t="shared" si="3"/>
        <v>0</v>
      </c>
      <c r="G38" s="98"/>
      <c r="H38" s="325">
        <f t="shared" si="4"/>
        <v>0</v>
      </c>
    </row>
    <row r="39" spans="2:8" ht="22.05" customHeight="1">
      <c r="B39" s="324" t="str">
        <f>CONCATENATE("Inversiones en el extranjero - ",Datos!D27)</f>
        <v>Inversiones en el extranjero - Nombre de la LP 3</v>
      </c>
      <c r="C39" s="313" t="s">
        <v>350</v>
      </c>
      <c r="D39" s="570"/>
      <c r="E39" s="584"/>
      <c r="F39" s="325">
        <f t="shared" si="3"/>
        <v>0</v>
      </c>
      <c r="G39" s="98"/>
      <c r="H39" s="325">
        <f t="shared" si="4"/>
        <v>0</v>
      </c>
    </row>
    <row r="40" spans="2:8" ht="22.05" customHeight="1">
      <c r="B40" s="324" t="str">
        <f>CONCATENATE("Inversiones en el extranjero - ",Datos!D28)</f>
        <v>Inversiones en el extranjero - Nombre de la LP 4</v>
      </c>
      <c r="C40" s="313" t="s">
        <v>350</v>
      </c>
      <c r="D40" s="570"/>
      <c r="E40" s="584"/>
      <c r="F40" s="325">
        <f t="shared" si="3"/>
        <v>0</v>
      </c>
      <c r="G40" s="98"/>
      <c r="H40" s="325">
        <f t="shared" si="4"/>
        <v>0</v>
      </c>
    </row>
    <row r="41" spans="2:8" ht="22.05" customHeight="1">
      <c r="B41" s="316"/>
      <c r="C41" s="494" t="s">
        <v>392</v>
      </c>
      <c r="D41" s="326">
        <f>+SUM(D35:D40)</f>
        <v>0</v>
      </c>
      <c r="E41" s="326">
        <f>+SUM(E35:E40)</f>
        <v>0</v>
      </c>
      <c r="F41" s="326">
        <f>+SUM(F35:F40)</f>
        <v>0</v>
      </c>
      <c r="G41" s="141"/>
      <c r="H41" s="326">
        <f>+SUM(H35:H40)</f>
        <v>0</v>
      </c>
    </row>
    <row r="42" spans="2:8" ht="22.05" customHeight="1">
      <c r="C42" s="41" t="s">
        <v>393</v>
      </c>
    </row>
    <row r="44" spans="2:8" ht="22.05" customHeight="1">
      <c r="B44" s="158"/>
      <c r="C44" s="158"/>
      <c r="D44" s="158"/>
      <c r="E44" s="158"/>
      <c r="F44" s="158"/>
      <c r="G44" s="158"/>
      <c r="H44" s="158"/>
    </row>
    <row r="45" spans="2:8" ht="22.05" customHeight="1">
      <c r="B45" s="645" t="s">
        <v>394</v>
      </c>
      <c r="C45" s="645"/>
      <c r="D45" s="645"/>
      <c r="E45" s="645"/>
      <c r="F45" s="645"/>
      <c r="G45" s="645"/>
      <c r="H45" s="645"/>
    </row>
    <row r="46" spans="2:8" ht="33" customHeight="1">
      <c r="B46" s="95" t="s">
        <v>352</v>
      </c>
      <c r="C46" s="95" t="s">
        <v>339</v>
      </c>
      <c r="D46" s="95" t="s">
        <v>383</v>
      </c>
      <c r="E46" s="95" t="s">
        <v>384</v>
      </c>
      <c r="F46" s="128" t="s">
        <v>385</v>
      </c>
      <c r="G46" s="128"/>
      <c r="H46" s="128" t="s">
        <v>386</v>
      </c>
    </row>
    <row r="48" spans="2:8" ht="22.05" customHeight="1">
      <c r="B48" s="579" t="s">
        <v>199</v>
      </c>
      <c r="C48" s="569"/>
      <c r="D48" s="570"/>
      <c r="E48" s="584"/>
      <c r="F48" s="325">
        <f t="shared" ref="F48:F52" si="5">+D48-E48</f>
        <v>0</v>
      </c>
      <c r="G48" s="98"/>
      <c r="H48" s="325">
        <f t="shared" ref="H48:H52" si="6">+F48-G48</f>
        <v>0</v>
      </c>
    </row>
    <row r="49" spans="2:10" ht="22.05" customHeight="1">
      <c r="B49" s="579" t="s">
        <v>200</v>
      </c>
      <c r="C49" s="569"/>
      <c r="D49" s="570"/>
      <c r="E49" s="584"/>
      <c r="F49" s="325">
        <f t="shared" si="5"/>
        <v>0</v>
      </c>
      <c r="G49" s="98"/>
      <c r="H49" s="325">
        <f t="shared" si="6"/>
        <v>0</v>
      </c>
    </row>
    <row r="50" spans="2:10" ht="22.05" customHeight="1">
      <c r="B50" s="579" t="s">
        <v>201</v>
      </c>
      <c r="C50" s="569"/>
      <c r="D50" s="570"/>
      <c r="E50" s="584"/>
      <c r="F50" s="325">
        <f t="shared" si="5"/>
        <v>0</v>
      </c>
      <c r="G50" s="98"/>
      <c r="H50" s="325">
        <f t="shared" si="6"/>
        <v>0</v>
      </c>
    </row>
    <row r="51" spans="2:10" ht="22.05" customHeight="1">
      <c r="B51" s="579" t="s">
        <v>202</v>
      </c>
      <c r="C51" s="569"/>
      <c r="D51" s="570"/>
      <c r="E51" s="584"/>
      <c r="F51" s="325">
        <f t="shared" si="5"/>
        <v>0</v>
      </c>
      <c r="G51" s="98"/>
      <c r="H51" s="325">
        <f t="shared" si="6"/>
        <v>0</v>
      </c>
    </row>
    <row r="52" spans="2:10" ht="22.05" customHeight="1">
      <c r="B52" s="579" t="s">
        <v>203</v>
      </c>
      <c r="C52" s="569"/>
      <c r="D52" s="570"/>
      <c r="E52" s="584"/>
      <c r="F52" s="325">
        <f t="shared" si="5"/>
        <v>0</v>
      </c>
      <c r="G52" s="98"/>
      <c r="H52" s="325">
        <f t="shared" si="6"/>
        <v>0</v>
      </c>
    </row>
    <row r="53" spans="2:10" ht="22.05" customHeight="1">
      <c r="B53" s="316"/>
      <c r="C53" s="494" t="s">
        <v>395</v>
      </c>
      <c r="D53" s="326">
        <f>+SUM(D47:D52)</f>
        <v>0</v>
      </c>
      <c r="E53" s="326">
        <f>+SUM(E47:E52)</f>
        <v>0</v>
      </c>
      <c r="F53" s="326">
        <f>+SUM(F47:F52)</f>
        <v>0</v>
      </c>
      <c r="G53" s="141"/>
      <c r="H53" s="326">
        <f>+SUM(H47:H52)</f>
        <v>0</v>
      </c>
    </row>
    <row r="56" spans="2:10" ht="22.05" customHeight="1">
      <c r="B56" s="133"/>
      <c r="D56" s="498"/>
      <c r="E56" s="502"/>
      <c r="F56" s="498"/>
      <c r="G56" s="519" t="s">
        <v>396</v>
      </c>
      <c r="H56" s="335">
        <f>+IF((H41+H53)&gt;0,(H41+H53),0)</f>
        <v>0</v>
      </c>
    </row>
    <row r="61" spans="2:10" ht="22.05" customHeight="1">
      <c r="B61" s="656" t="s">
        <v>215</v>
      </c>
      <c r="C61" s="656"/>
      <c r="D61" s="656"/>
      <c r="E61" s="656"/>
      <c r="F61" s="656"/>
      <c r="G61" s="656"/>
      <c r="H61" s="656"/>
      <c r="I61" s="174"/>
      <c r="J61" s="174"/>
    </row>
    <row r="63" spans="2:10" ht="19.2">
      <c r="D63" s="95" t="s">
        <v>383</v>
      </c>
      <c r="E63" s="95" t="s">
        <v>384</v>
      </c>
      <c r="F63" s="128" t="s">
        <v>385</v>
      </c>
      <c r="G63" s="128"/>
      <c r="H63" s="128" t="s">
        <v>386</v>
      </c>
    </row>
    <row r="65" spans="3:8" ht="22.05" customHeight="1">
      <c r="C65" s="105" t="s">
        <v>387</v>
      </c>
      <c r="D65" s="190">
        <f>+D14</f>
        <v>0</v>
      </c>
      <c r="E65" s="190">
        <f>+E14</f>
        <v>0</v>
      </c>
      <c r="F65" s="190">
        <f>+F14</f>
        <v>0</v>
      </c>
      <c r="G65" s="517"/>
      <c r="H65" s="190">
        <f>+H14</f>
        <v>0</v>
      </c>
    </row>
    <row r="66" spans="3:8" ht="22.05" customHeight="1">
      <c r="C66" s="105" t="s">
        <v>389</v>
      </c>
      <c r="D66" s="191">
        <f>+D26</f>
        <v>0</v>
      </c>
      <c r="E66" s="191">
        <f>+E26</f>
        <v>0</v>
      </c>
      <c r="F66" s="191">
        <f>+F26</f>
        <v>0</v>
      </c>
      <c r="G66" s="518"/>
      <c r="H66" s="191">
        <f>+H26</f>
        <v>0</v>
      </c>
    </row>
    <row r="67" spans="3:8" ht="22.05" customHeight="1">
      <c r="C67" s="105" t="s">
        <v>392</v>
      </c>
      <c r="D67" s="191">
        <f>+D41</f>
        <v>0</v>
      </c>
      <c r="E67" s="191">
        <f>+E41</f>
        <v>0</v>
      </c>
      <c r="F67" s="191">
        <f>+F41</f>
        <v>0</v>
      </c>
      <c r="G67" s="518"/>
      <c r="H67" s="191">
        <f>+H41</f>
        <v>0</v>
      </c>
    </row>
    <row r="68" spans="3:8" ht="22.05" customHeight="1">
      <c r="C68" s="105" t="s">
        <v>395</v>
      </c>
      <c r="D68" s="191">
        <f>+D53</f>
        <v>0</v>
      </c>
      <c r="E68" s="191">
        <f>+E53</f>
        <v>0</v>
      </c>
      <c r="F68" s="191">
        <f>+F53</f>
        <v>0</v>
      </c>
      <c r="G68" s="518"/>
      <c r="H68" s="191">
        <f>+H53</f>
        <v>0</v>
      </c>
    </row>
    <row r="69" spans="3:8" ht="22.05" customHeight="1">
      <c r="C69" s="101" t="s">
        <v>271</v>
      </c>
      <c r="D69" s="130">
        <f>SUM(D65:D68)</f>
        <v>0</v>
      </c>
      <c r="E69" s="130">
        <f>SUM(E65:E68)</f>
        <v>0</v>
      </c>
      <c r="F69" s="130">
        <f>SUM(F65:F68)</f>
        <v>0</v>
      </c>
      <c r="G69" s="141"/>
      <c r="H69" s="130">
        <f>SUM(H65:H68)</f>
        <v>0</v>
      </c>
    </row>
  </sheetData>
  <sheetProtection formatCells="0" formatColumns="0" formatRows="0" insertColumns="0" insertRows="0" deleteColumns="0" deleteRows="0"/>
  <mergeCells count="2">
    <mergeCell ref="B61:H61"/>
    <mergeCell ref="B45:H45"/>
  </mergeCells>
  <phoneticPr fontId="7" type="noConversion"/>
  <printOptions horizontalCentered="1"/>
  <pageMargins left="0.70000000000000007" right="0.70000000000000007" top="0.75000000000000011" bottom="0.75000000000000011" header="0.30000000000000004" footer="0.30000000000000004"/>
  <pageSetup scale="44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M64"/>
  <sheetViews>
    <sheetView showGridLines="0" zoomScale="90" zoomScaleNormal="90" zoomScaleSheetLayoutView="90" workbookViewId="0">
      <selection activeCell="H7" sqref="H7"/>
    </sheetView>
  </sheetViews>
  <sheetFormatPr defaultColWidth="10.796875" defaultRowHeight="22.05" customHeight="1"/>
  <cols>
    <col min="1" max="1" width="10.796875" style="41"/>
    <col min="2" max="2" width="56.796875" style="41" customWidth="1"/>
    <col min="3" max="3" width="22.69921875" style="41" customWidth="1"/>
    <col min="4" max="4" width="23.296875" style="41" customWidth="1"/>
    <col min="5" max="5" width="20.796875" style="41" customWidth="1"/>
    <col min="6" max="6" width="21.796875" style="41" customWidth="1"/>
    <col min="7" max="8" width="20.796875" style="41" customWidth="1"/>
    <col min="9" max="9" width="24.296875" style="41" customWidth="1"/>
    <col min="10" max="10" width="5" style="41" customWidth="1"/>
    <col min="11" max="11" width="20.796875" style="41" customWidth="1"/>
    <col min="12" max="12" width="4.19921875" style="41" customWidth="1"/>
    <col min="13" max="13" width="18.796875" style="41" customWidth="1"/>
    <col min="14" max="16384" width="10.796875" style="41"/>
  </cols>
  <sheetData>
    <row r="2" spans="2:13" ht="25.95" customHeight="1">
      <c r="B2" s="157" t="str">
        <f>Datos!C6</f>
        <v>NOMBRE EN MAYUSCULAS</v>
      </c>
      <c r="C2" s="154"/>
      <c r="D2" s="154"/>
      <c r="E2" s="154"/>
      <c r="F2" s="154"/>
      <c r="G2" s="154"/>
      <c r="H2" s="154"/>
      <c r="I2" s="154"/>
      <c r="J2" s="154"/>
      <c r="K2" s="154"/>
    </row>
    <row r="3" spans="2:13" ht="22.05" customHeight="1">
      <c r="B3" s="154" t="s">
        <v>397</v>
      </c>
      <c r="C3" s="154"/>
      <c r="D3" s="154"/>
      <c r="E3" s="154"/>
      <c r="F3" s="154"/>
      <c r="G3" s="154"/>
      <c r="H3" s="154"/>
      <c r="I3" s="154"/>
      <c r="J3" s="154"/>
      <c r="K3" s="154"/>
    </row>
    <row r="4" spans="2:13" ht="22.05" customHeight="1">
      <c r="B4" s="159"/>
      <c r="C4" s="159"/>
      <c r="D4" s="159"/>
      <c r="E4" s="159"/>
      <c r="F4" s="159"/>
      <c r="G4" s="159"/>
      <c r="H4" s="159"/>
      <c r="I4" s="159"/>
      <c r="J4" s="159"/>
      <c r="K4" s="159"/>
      <c r="M4" s="159"/>
    </row>
    <row r="5" spans="2:13" ht="22.05" customHeight="1">
      <c r="B5" s="43" t="s">
        <v>398</v>
      </c>
      <c r="C5" s="43"/>
      <c r="D5" s="43"/>
      <c r="E5" s="43"/>
      <c r="F5" s="43"/>
      <c r="G5" s="43"/>
      <c r="H5" s="43"/>
      <c r="I5" s="43"/>
      <c r="J5" s="43"/>
      <c r="K5" s="43"/>
    </row>
    <row r="6" spans="2:13" ht="38.4">
      <c r="B6" s="668" t="s">
        <v>399</v>
      </c>
      <c r="C6" s="668"/>
      <c r="D6" s="95" t="s">
        <v>191</v>
      </c>
      <c r="E6" s="95" t="s">
        <v>400</v>
      </c>
      <c r="F6" s="128" t="s">
        <v>401</v>
      </c>
      <c r="G6" s="95" t="s">
        <v>402</v>
      </c>
      <c r="H6" s="95" t="s">
        <v>403</v>
      </c>
      <c r="I6" s="128" t="s">
        <v>404</v>
      </c>
      <c r="J6" s="95"/>
      <c r="K6" s="128" t="s">
        <v>405</v>
      </c>
      <c r="M6" s="128" t="s">
        <v>406</v>
      </c>
    </row>
    <row r="7" spans="2:13" ht="22.05" customHeight="1">
      <c r="B7" s="324" t="str">
        <f>CONCATENATE("Inversiones en el extranjero - ",Datos!D24)</f>
        <v>Inversiones en el extranjero - Cuentas Personales</v>
      </c>
      <c r="C7" s="324"/>
      <c r="D7" s="313" t="s">
        <v>350</v>
      </c>
      <c r="E7" s="570">
        <v>0</v>
      </c>
      <c r="F7" s="506" t="s">
        <v>27</v>
      </c>
      <c r="G7" s="570">
        <v>0</v>
      </c>
      <c r="H7" s="570">
        <v>0</v>
      </c>
      <c r="I7" s="325">
        <f>G7-H7</f>
        <v>0</v>
      </c>
      <c r="J7" s="308"/>
      <c r="K7" s="570"/>
      <c r="M7" s="575"/>
    </row>
    <row r="8" spans="2:13" ht="22.05" customHeight="1">
      <c r="B8" s="324" t="str">
        <f>CONCATENATE("Inversiones en el extranjero - ",Datos!D25)</f>
        <v>Inversiones en el extranjero - Nombre de la LP 1</v>
      </c>
      <c r="C8" s="324"/>
      <c r="D8" s="313" t="s">
        <v>350</v>
      </c>
      <c r="E8" s="570">
        <v>0</v>
      </c>
      <c r="F8" s="506" t="s">
        <v>27</v>
      </c>
      <c r="G8" s="570">
        <v>0</v>
      </c>
      <c r="H8" s="570">
        <v>0</v>
      </c>
      <c r="I8" s="325">
        <f t="shared" ref="I8:I11" si="0">G8-H8</f>
        <v>0</v>
      </c>
      <c r="J8" s="308"/>
      <c r="K8" s="570"/>
      <c r="M8" s="575"/>
    </row>
    <row r="9" spans="2:13" ht="22.05" customHeight="1">
      <c r="B9" s="324" t="str">
        <f>CONCATENATE("Inversiones en el extranjero - ",Datos!D26)</f>
        <v>Inversiones en el extranjero - Nombre de la LP 2</v>
      </c>
      <c r="C9" s="324"/>
      <c r="D9" s="313" t="s">
        <v>350</v>
      </c>
      <c r="E9" s="570">
        <v>0</v>
      </c>
      <c r="F9" s="506" t="s">
        <v>27</v>
      </c>
      <c r="G9" s="570">
        <v>0</v>
      </c>
      <c r="H9" s="570">
        <v>0</v>
      </c>
      <c r="I9" s="325">
        <f t="shared" si="0"/>
        <v>0</v>
      </c>
      <c r="J9" s="308"/>
      <c r="K9" s="570"/>
      <c r="M9" s="575"/>
    </row>
    <row r="10" spans="2:13" ht="22.05" customHeight="1">
      <c r="B10" s="324" t="str">
        <f>CONCATENATE("Inversiones en el extranjero - ",Datos!D27)</f>
        <v>Inversiones en el extranjero - Nombre de la LP 3</v>
      </c>
      <c r="C10" s="324"/>
      <c r="D10" s="313" t="s">
        <v>350</v>
      </c>
      <c r="E10" s="570">
        <v>0</v>
      </c>
      <c r="F10" s="506" t="s">
        <v>27</v>
      </c>
      <c r="G10" s="570">
        <v>0</v>
      </c>
      <c r="H10" s="570">
        <v>0</v>
      </c>
      <c r="I10" s="325">
        <f t="shared" si="0"/>
        <v>0</v>
      </c>
      <c r="J10" s="308"/>
      <c r="K10" s="570"/>
      <c r="M10" s="575"/>
    </row>
    <row r="11" spans="2:13" ht="22.05" customHeight="1">
      <c r="B11" s="324" t="str">
        <f>CONCATENATE("Inversiones en el extranjero - ",Datos!D28)</f>
        <v>Inversiones en el extranjero - Nombre de la LP 4</v>
      </c>
      <c r="C11" s="324"/>
      <c r="D11" s="313" t="s">
        <v>350</v>
      </c>
      <c r="E11" s="570">
        <v>0</v>
      </c>
      <c r="F11" s="506" t="s">
        <v>27</v>
      </c>
      <c r="G11" s="570">
        <v>0</v>
      </c>
      <c r="H11" s="570">
        <v>0</v>
      </c>
      <c r="I11" s="325">
        <f t="shared" si="0"/>
        <v>0</v>
      </c>
      <c r="J11" s="308"/>
      <c r="K11" s="570"/>
      <c r="M11" s="575"/>
    </row>
    <row r="12" spans="2:13" ht="22.05" customHeight="1">
      <c r="B12" s="316"/>
      <c r="C12" s="316"/>
      <c r="D12" s="494" t="s">
        <v>407</v>
      </c>
      <c r="E12" s="326">
        <f>+SUM(E7:E11)</f>
        <v>0</v>
      </c>
      <c r="F12" s="316"/>
      <c r="G12" s="326">
        <f>+SUM(G7:G11)</f>
        <v>0</v>
      </c>
      <c r="H12" s="326">
        <f>+SUM(H7:H11)</f>
        <v>0</v>
      </c>
      <c r="I12" s="326">
        <f>SUM(I7:I11)</f>
        <v>0</v>
      </c>
      <c r="J12" s="326"/>
      <c r="K12" s="326">
        <f>+SUM(K7:K11)</f>
        <v>0</v>
      </c>
      <c r="M12" s="326">
        <f>SUM(M7:M11)</f>
        <v>0</v>
      </c>
    </row>
    <row r="13" spans="2:13" ht="22.05" customHeight="1">
      <c r="J13" s="128"/>
    </row>
    <row r="16" spans="2:13" ht="22.05" customHeight="1">
      <c r="B16" s="43" t="s">
        <v>408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2:13" ht="38.4">
      <c r="B17" s="95" t="s">
        <v>318</v>
      </c>
      <c r="C17" s="95" t="s">
        <v>409</v>
      </c>
      <c r="D17" s="95" t="s">
        <v>191</v>
      </c>
      <c r="E17" s="95" t="s">
        <v>400</v>
      </c>
      <c r="F17" s="128" t="s">
        <v>401</v>
      </c>
      <c r="G17" s="95" t="s">
        <v>402</v>
      </c>
      <c r="H17" s="95" t="s">
        <v>403</v>
      </c>
      <c r="I17" s="128" t="s">
        <v>404</v>
      </c>
      <c r="J17" s="95"/>
      <c r="K17" s="128" t="s">
        <v>405</v>
      </c>
      <c r="M17" s="128" t="s">
        <v>406</v>
      </c>
    </row>
    <row r="18" spans="2:13" ht="22.05" customHeight="1">
      <c r="B18" s="579" t="s">
        <v>410</v>
      </c>
      <c r="C18" s="579"/>
      <c r="D18" s="579"/>
      <c r="E18" s="574"/>
      <c r="F18" s="574"/>
      <c r="G18" s="570"/>
      <c r="H18" s="570"/>
      <c r="I18" s="325">
        <f>G18-H18</f>
        <v>0</v>
      </c>
      <c r="J18" s="308"/>
      <c r="K18" s="570"/>
      <c r="M18" s="575"/>
    </row>
    <row r="19" spans="2:13" ht="22.05" customHeight="1">
      <c r="B19" s="579" t="s">
        <v>411</v>
      </c>
      <c r="C19" s="579"/>
      <c r="D19" s="579"/>
      <c r="E19" s="574"/>
      <c r="F19" s="574"/>
      <c r="G19" s="570"/>
      <c r="H19" s="570"/>
      <c r="I19" s="325">
        <f t="shared" ref="I19:I24" si="1">G19-H19</f>
        <v>0</v>
      </c>
      <c r="J19" s="308"/>
      <c r="K19" s="570"/>
      <c r="M19" s="575"/>
    </row>
    <row r="20" spans="2:13" ht="22.05" customHeight="1">
      <c r="B20" s="579" t="s">
        <v>412</v>
      </c>
      <c r="C20" s="579"/>
      <c r="D20" s="579"/>
      <c r="E20" s="574"/>
      <c r="F20" s="574"/>
      <c r="G20" s="570"/>
      <c r="H20" s="570"/>
      <c r="I20" s="325">
        <f t="shared" si="1"/>
        <v>0</v>
      </c>
      <c r="J20" s="308"/>
      <c r="K20" s="570"/>
      <c r="M20" s="575"/>
    </row>
    <row r="21" spans="2:13" ht="22.05" customHeight="1">
      <c r="B21" s="579" t="s">
        <v>413</v>
      </c>
      <c r="C21" s="579"/>
      <c r="D21" s="579"/>
      <c r="E21" s="574"/>
      <c r="F21" s="574"/>
      <c r="G21" s="570"/>
      <c r="H21" s="570"/>
      <c r="I21" s="325">
        <f t="shared" si="1"/>
        <v>0</v>
      </c>
      <c r="J21" s="308"/>
      <c r="K21" s="570"/>
      <c r="M21" s="575"/>
    </row>
    <row r="22" spans="2:13" ht="22.05" customHeight="1">
      <c r="B22" s="579" t="s">
        <v>414</v>
      </c>
      <c r="C22" s="579"/>
      <c r="D22" s="579"/>
      <c r="E22" s="574"/>
      <c r="F22" s="574"/>
      <c r="G22" s="570"/>
      <c r="H22" s="570"/>
      <c r="I22" s="325">
        <f t="shared" si="1"/>
        <v>0</v>
      </c>
      <c r="J22" s="308"/>
      <c r="K22" s="570"/>
      <c r="M22" s="575"/>
    </row>
    <row r="23" spans="2:13" ht="22.05" customHeight="1">
      <c r="B23" s="579" t="s">
        <v>415</v>
      </c>
      <c r="C23" s="579"/>
      <c r="D23" s="579"/>
      <c r="E23" s="574"/>
      <c r="F23" s="574"/>
      <c r="G23" s="570"/>
      <c r="H23" s="570"/>
      <c r="I23" s="325">
        <f t="shared" si="1"/>
        <v>0</v>
      </c>
      <c r="J23" s="308"/>
      <c r="K23" s="570"/>
      <c r="M23" s="575"/>
    </row>
    <row r="24" spans="2:13" ht="22.05" customHeight="1">
      <c r="B24" s="579" t="s">
        <v>416</v>
      </c>
      <c r="C24" s="579"/>
      <c r="D24" s="579"/>
      <c r="E24" s="574"/>
      <c r="F24" s="574"/>
      <c r="G24" s="570"/>
      <c r="H24" s="570"/>
      <c r="I24" s="325">
        <f t="shared" si="1"/>
        <v>0</v>
      </c>
      <c r="J24" s="308"/>
      <c r="K24" s="570"/>
      <c r="M24" s="575"/>
    </row>
    <row r="25" spans="2:13" ht="22.05" customHeight="1">
      <c r="B25" s="316"/>
      <c r="C25" s="316"/>
      <c r="D25" s="494" t="s">
        <v>417</v>
      </c>
      <c r="E25" s="326">
        <f>+SUM(E18:E24)</f>
        <v>0</v>
      </c>
      <c r="F25" s="316"/>
      <c r="G25" s="326">
        <f>+SUM(G18:G24)</f>
        <v>0</v>
      </c>
      <c r="H25" s="326">
        <f>+SUM(H18:H24)</f>
        <v>0</v>
      </c>
      <c r="I25" s="326">
        <f>+SUM(I18:I24)</f>
        <v>0</v>
      </c>
      <c r="J25" s="326"/>
      <c r="K25" s="326">
        <f>+SUM(K18:K24)</f>
        <v>0</v>
      </c>
      <c r="M25" s="326">
        <f>SUM(M18:M24)</f>
        <v>0</v>
      </c>
    </row>
    <row r="29" spans="2:13" ht="22.05" customHeight="1">
      <c r="B29" s="43" t="s">
        <v>418</v>
      </c>
      <c r="C29" s="43"/>
      <c r="D29" s="43"/>
      <c r="E29" s="43"/>
      <c r="F29" s="43"/>
      <c r="G29" s="43"/>
      <c r="H29" s="43"/>
      <c r="I29" s="43"/>
      <c r="J29" s="43"/>
      <c r="K29" s="43"/>
    </row>
    <row r="30" spans="2:13" ht="38.4">
      <c r="B30" s="95" t="s">
        <v>419</v>
      </c>
      <c r="C30" s="95" t="s">
        <v>409</v>
      </c>
      <c r="D30" s="95" t="s">
        <v>191</v>
      </c>
      <c r="E30" s="95" t="s">
        <v>400</v>
      </c>
      <c r="F30" s="128" t="s">
        <v>401</v>
      </c>
      <c r="G30" s="95" t="s">
        <v>402</v>
      </c>
      <c r="H30" s="95" t="s">
        <v>403</v>
      </c>
      <c r="I30" s="128" t="s">
        <v>404</v>
      </c>
      <c r="J30" s="95"/>
      <c r="K30" s="128" t="s">
        <v>405</v>
      </c>
      <c r="M30" s="128" t="s">
        <v>406</v>
      </c>
    </row>
    <row r="31" spans="2:13" ht="22.05" customHeight="1">
      <c r="B31" s="579"/>
      <c r="C31" s="579"/>
      <c r="D31" s="579"/>
      <c r="E31" s="574"/>
      <c r="F31" s="574"/>
      <c r="G31" s="570"/>
      <c r="H31" s="570"/>
      <c r="I31" s="325">
        <f t="shared" ref="I31:I37" si="2">G31-H31</f>
        <v>0</v>
      </c>
      <c r="J31" s="308"/>
      <c r="K31" s="570"/>
      <c r="M31" s="575"/>
    </row>
    <row r="32" spans="2:13" ht="22.05" customHeight="1">
      <c r="B32" s="579"/>
      <c r="C32" s="579"/>
      <c r="D32" s="579"/>
      <c r="E32" s="574"/>
      <c r="F32" s="574"/>
      <c r="G32" s="570"/>
      <c r="H32" s="570"/>
      <c r="I32" s="325">
        <f t="shared" si="2"/>
        <v>0</v>
      </c>
      <c r="J32" s="308"/>
      <c r="K32" s="570"/>
      <c r="M32" s="575"/>
    </row>
    <row r="33" spans="2:13" ht="22.05" customHeight="1">
      <c r="B33" s="579"/>
      <c r="C33" s="579"/>
      <c r="D33" s="579"/>
      <c r="E33" s="574"/>
      <c r="F33" s="574"/>
      <c r="G33" s="570"/>
      <c r="H33" s="570"/>
      <c r="I33" s="325">
        <f t="shared" si="2"/>
        <v>0</v>
      </c>
      <c r="J33" s="308"/>
      <c r="K33" s="570"/>
      <c r="M33" s="575"/>
    </row>
    <row r="34" spans="2:13" ht="22.05" customHeight="1">
      <c r="B34" s="579"/>
      <c r="C34" s="579"/>
      <c r="D34" s="579"/>
      <c r="E34" s="574"/>
      <c r="F34" s="574"/>
      <c r="G34" s="570"/>
      <c r="H34" s="570"/>
      <c r="I34" s="325">
        <f t="shared" si="2"/>
        <v>0</v>
      </c>
      <c r="J34" s="308"/>
      <c r="K34" s="570"/>
      <c r="M34" s="575"/>
    </row>
    <row r="35" spans="2:13" ht="22.05" customHeight="1">
      <c r="B35" s="579"/>
      <c r="C35" s="579"/>
      <c r="D35" s="579"/>
      <c r="E35" s="574"/>
      <c r="F35" s="574"/>
      <c r="G35" s="570"/>
      <c r="H35" s="570"/>
      <c r="I35" s="325">
        <f t="shared" si="2"/>
        <v>0</v>
      </c>
      <c r="J35" s="308"/>
      <c r="K35" s="570"/>
      <c r="M35" s="575"/>
    </row>
    <row r="36" spans="2:13" ht="22.05" customHeight="1">
      <c r="B36" s="579"/>
      <c r="C36" s="579"/>
      <c r="D36" s="579"/>
      <c r="E36" s="574"/>
      <c r="F36" s="574"/>
      <c r="G36" s="570"/>
      <c r="H36" s="570"/>
      <c r="I36" s="325">
        <f t="shared" si="2"/>
        <v>0</v>
      </c>
      <c r="J36" s="308"/>
      <c r="K36" s="570"/>
      <c r="M36" s="575"/>
    </row>
    <row r="37" spans="2:13" ht="22.05" customHeight="1">
      <c r="B37" s="579"/>
      <c r="C37" s="579"/>
      <c r="D37" s="579"/>
      <c r="E37" s="574"/>
      <c r="F37" s="574"/>
      <c r="G37" s="570"/>
      <c r="H37" s="570"/>
      <c r="I37" s="325">
        <f t="shared" si="2"/>
        <v>0</v>
      </c>
      <c r="J37" s="308"/>
      <c r="K37" s="570"/>
      <c r="M37" s="575"/>
    </row>
    <row r="38" spans="2:13" ht="22.05" customHeight="1">
      <c r="B38" s="316"/>
      <c r="C38" s="316"/>
      <c r="D38" s="494" t="s">
        <v>420</v>
      </c>
      <c r="E38" s="326">
        <f>+SUM(E31:E37)</f>
        <v>0</v>
      </c>
      <c r="F38" s="316"/>
      <c r="G38" s="326">
        <f>+SUM(G31:G37)</f>
        <v>0</v>
      </c>
      <c r="H38" s="326">
        <f>+SUM(H31:H37)</f>
        <v>0</v>
      </c>
      <c r="I38" s="326">
        <f>+SUM(I31:I37)</f>
        <v>0</v>
      </c>
      <c r="J38" s="326"/>
      <c r="K38" s="326">
        <f>+SUM(K31:K37)</f>
        <v>0</v>
      </c>
      <c r="M38" s="326">
        <f>SUM(M31:M37)</f>
        <v>0</v>
      </c>
    </row>
    <row r="41" spans="2:13" ht="22.05" customHeight="1">
      <c r="B41" s="507"/>
      <c r="C41" s="508"/>
      <c r="D41" s="509" t="s">
        <v>421</v>
      </c>
      <c r="E41" s="510">
        <f>+E25+E38</f>
        <v>0</v>
      </c>
      <c r="F41" s="510"/>
      <c r="G41" s="510">
        <f>+G25+G38</f>
        <v>0</v>
      </c>
      <c r="H41" s="510">
        <f>+H25+H38</f>
        <v>0</v>
      </c>
      <c r="I41" s="511">
        <f>+I25+I38</f>
        <v>0</v>
      </c>
      <c r="J41" s="510"/>
      <c r="K41" s="510">
        <f>+K25+K38</f>
        <v>0</v>
      </c>
      <c r="M41" s="511">
        <f>+M25+M38</f>
        <v>0</v>
      </c>
    </row>
    <row r="43" spans="2:13" ht="22.05" customHeight="1">
      <c r="B43" s="498"/>
      <c r="C43" s="498"/>
      <c r="D43" s="619" t="s">
        <v>422</v>
      </c>
      <c r="E43" s="498"/>
      <c r="F43" s="619"/>
      <c r="G43" s="338"/>
      <c r="H43" s="338"/>
      <c r="I43" s="338">
        <f>+G41-H41</f>
        <v>0</v>
      </c>
      <c r="J43" s="498"/>
      <c r="K43" s="498"/>
      <c r="M43" s="512">
        <f>M41</f>
        <v>0</v>
      </c>
    </row>
    <row r="44" spans="2:13" ht="22.05" customHeight="1">
      <c r="J44" s="129"/>
    </row>
    <row r="46" spans="2:13" ht="22.05" customHeight="1">
      <c r="B46" s="43" t="s">
        <v>214</v>
      </c>
    </row>
    <row r="54" spans="2:11" ht="22.05" customHeight="1">
      <c r="B54" s="656" t="s">
        <v>215</v>
      </c>
      <c r="C54" s="656"/>
      <c r="D54" s="656"/>
      <c r="E54" s="656"/>
      <c r="F54" s="656"/>
      <c r="G54" s="656"/>
      <c r="H54" s="656"/>
      <c r="I54" s="656"/>
      <c r="J54" s="656"/>
      <c r="K54" s="656"/>
    </row>
    <row r="56" spans="2:11" ht="38.4">
      <c r="E56" s="95" t="s">
        <v>400</v>
      </c>
      <c r="F56" s="128" t="s">
        <v>401</v>
      </c>
      <c r="G56" s="95" t="s">
        <v>402</v>
      </c>
      <c r="H56" s="95" t="s">
        <v>403</v>
      </c>
      <c r="I56" s="128" t="s">
        <v>404</v>
      </c>
      <c r="J56" s="95"/>
      <c r="K56" s="128" t="s">
        <v>405</v>
      </c>
    </row>
    <row r="58" spans="2:11" ht="22.05" customHeight="1">
      <c r="D58" s="101" t="s">
        <v>423</v>
      </c>
      <c r="E58" s="81">
        <f>+E12</f>
        <v>0</v>
      </c>
      <c r="F58" s="81">
        <f>+F12</f>
        <v>0</v>
      </c>
      <c r="G58" s="81">
        <f>+G12</f>
        <v>0</v>
      </c>
      <c r="H58" s="81">
        <f>+H12</f>
        <v>0</v>
      </c>
      <c r="I58" s="81"/>
      <c r="K58" s="81">
        <f>+K12</f>
        <v>0</v>
      </c>
    </row>
    <row r="59" spans="2:11" ht="22.05" customHeight="1">
      <c r="D59" s="101"/>
    </row>
    <row r="60" spans="2:11" ht="22.05" customHeight="1">
      <c r="D60" s="101" t="s">
        <v>424</v>
      </c>
      <c r="E60" s="81">
        <f>+E25</f>
        <v>0</v>
      </c>
      <c r="F60" s="81">
        <f>+F25</f>
        <v>0</v>
      </c>
      <c r="G60" s="81">
        <f>+G25</f>
        <v>0</v>
      </c>
      <c r="H60" s="81">
        <f>+H25</f>
        <v>0</v>
      </c>
      <c r="I60" s="81"/>
      <c r="K60" s="81">
        <f>+K25</f>
        <v>0</v>
      </c>
    </row>
    <row r="61" spans="2:11" ht="22.05" customHeight="1">
      <c r="D61" s="101"/>
    </row>
    <row r="62" spans="2:11" ht="22.05" customHeight="1">
      <c r="D62" s="101" t="s">
        <v>425</v>
      </c>
      <c r="E62" s="81">
        <f>+E38</f>
        <v>0</v>
      </c>
      <c r="F62" s="81">
        <f>+F38</f>
        <v>0</v>
      </c>
      <c r="G62" s="81">
        <f>+G38</f>
        <v>0</v>
      </c>
      <c r="H62" s="81">
        <f>+H38</f>
        <v>0</v>
      </c>
      <c r="I62" s="81"/>
      <c r="K62" s="81">
        <f>+K38</f>
        <v>0</v>
      </c>
    </row>
    <row r="64" spans="2:11" ht="22.05" customHeight="1">
      <c r="D64" s="513" t="s">
        <v>426</v>
      </c>
      <c r="E64" s="514">
        <f>SUM(E58:E63)</f>
        <v>0</v>
      </c>
      <c r="F64" s="514">
        <f>SUM(F58:F63)</f>
        <v>0</v>
      </c>
      <c r="G64" s="514">
        <f>SUM(G58:G63)</f>
        <v>0</v>
      </c>
      <c r="H64" s="514">
        <f>SUM(H58:H63)</f>
        <v>0</v>
      </c>
      <c r="I64" s="514">
        <f>G64-H64</f>
        <v>0</v>
      </c>
      <c r="J64" s="515"/>
      <c r="K64" s="514">
        <f>SUM(K58:K63)</f>
        <v>0</v>
      </c>
    </row>
  </sheetData>
  <sheetProtection formatCells="0" formatColumns="0" formatRows="0" insertColumns="0" insertRows="0" deleteColumns="0" deleteRows="0"/>
  <mergeCells count="2">
    <mergeCell ref="B54:K54"/>
    <mergeCell ref="B6:C6"/>
  </mergeCells>
  <phoneticPr fontId="7" type="noConversion"/>
  <printOptions horizontalCentered="1"/>
  <pageMargins left="0.7" right="0.7" top="0.75" bottom="0.75" header="0.3" footer="0.3"/>
  <pageSetup scale="44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K35"/>
  <sheetViews>
    <sheetView zoomScale="110" zoomScaleNormal="110" zoomScaleSheetLayoutView="110" zoomScalePageLayoutView="140" workbookViewId="0">
      <selection activeCell="G7" sqref="G7:G11"/>
    </sheetView>
  </sheetViews>
  <sheetFormatPr defaultColWidth="10.796875" defaultRowHeight="22.05" customHeight="1"/>
  <cols>
    <col min="1" max="1" width="10.796875" style="41"/>
    <col min="2" max="2" width="71.796875" style="41" customWidth="1"/>
    <col min="3" max="3" width="22" style="41" customWidth="1"/>
    <col min="4" max="4" width="20.796875" style="41" customWidth="1"/>
    <col min="5" max="5" width="24" style="41" customWidth="1"/>
    <col min="6" max="6" width="21.796875" style="41" customWidth="1"/>
    <col min="7" max="7" width="23.5" style="41" customWidth="1"/>
    <col min="8" max="8" width="5.19921875" style="41" customWidth="1"/>
    <col min="9" max="9" width="20.796875" style="41" customWidth="1"/>
    <col min="10" max="10" width="10.796875" style="41"/>
    <col min="11" max="11" width="26" style="41" customWidth="1"/>
    <col min="12" max="16384" width="10.796875" style="41"/>
  </cols>
  <sheetData>
    <row r="2" spans="2:11" ht="22.05" customHeight="1">
      <c r="B2" s="640" t="str">
        <f>Datos!C6</f>
        <v>NOMBRE EN MAYUSCULAS</v>
      </c>
      <c r="C2" s="640"/>
      <c r="D2" s="640"/>
      <c r="E2" s="640"/>
      <c r="F2" s="640"/>
      <c r="G2" s="640"/>
      <c r="H2" s="640"/>
      <c r="I2" s="640"/>
    </row>
    <row r="3" spans="2:11" ht="22.05" customHeight="1">
      <c r="B3" s="657" t="s">
        <v>427</v>
      </c>
      <c r="C3" s="657"/>
      <c r="D3" s="657"/>
      <c r="E3" s="657"/>
      <c r="F3" s="657"/>
      <c r="G3" s="657"/>
      <c r="H3" s="657"/>
      <c r="I3" s="657"/>
    </row>
    <row r="4" spans="2:11" ht="22.05" customHeight="1">
      <c r="B4" s="159"/>
      <c r="C4" s="159"/>
      <c r="D4" s="159"/>
      <c r="E4" s="159"/>
      <c r="F4" s="159"/>
      <c r="G4" s="159"/>
      <c r="H4" s="159"/>
      <c r="I4" s="159"/>
    </row>
    <row r="5" spans="2:11" ht="22.05" customHeight="1">
      <c r="B5" s="669" t="s">
        <v>428</v>
      </c>
      <c r="C5" s="669"/>
      <c r="D5" s="669"/>
      <c r="E5" s="669"/>
      <c r="F5" s="669"/>
      <c r="G5" s="669"/>
      <c r="H5" s="669"/>
      <c r="I5" s="669"/>
    </row>
    <row r="6" spans="2:11" ht="40.049999999999997" customHeight="1">
      <c r="B6" s="668" t="s">
        <v>399</v>
      </c>
      <c r="C6" s="668"/>
      <c r="D6" s="128" t="s">
        <v>191</v>
      </c>
      <c r="E6" s="128" t="s">
        <v>429</v>
      </c>
      <c r="F6" s="128" t="s">
        <v>430</v>
      </c>
      <c r="G6" s="128" t="s">
        <v>431</v>
      </c>
      <c r="H6" s="128"/>
      <c r="I6" s="128" t="s">
        <v>432</v>
      </c>
      <c r="K6" s="128" t="s">
        <v>433</v>
      </c>
    </row>
    <row r="7" spans="2:11" ht="22.05" customHeight="1">
      <c r="B7" s="324" t="str">
        <f>CONCATENATE("Inversiones en el extranjero - ",Datos!D24)</f>
        <v>Inversiones en el extranjero - Cuentas Personales</v>
      </c>
      <c r="C7" s="324"/>
      <c r="D7" s="313" t="s">
        <v>350</v>
      </c>
      <c r="E7" s="320">
        <f t="shared" ref="E7:E11" si="0">G7/F7</f>
        <v>0</v>
      </c>
      <c r="F7" s="537">
        <f>ROUND(1/(1-0.3),4)</f>
        <v>1.4286000000000001</v>
      </c>
      <c r="G7" s="570"/>
      <c r="H7" s="308"/>
      <c r="I7" s="320">
        <f>+G7-E7</f>
        <v>0</v>
      </c>
      <c r="K7" s="106"/>
    </row>
    <row r="8" spans="2:11" ht="22.05" customHeight="1">
      <c r="B8" s="324" t="str">
        <f>CONCATENATE("Inversiones en el extranjero - ",Datos!D25)</f>
        <v>Inversiones en el extranjero - Nombre de la LP 1</v>
      </c>
      <c r="C8" s="324"/>
      <c r="D8" s="313" t="s">
        <v>350</v>
      </c>
      <c r="E8" s="320">
        <f t="shared" si="0"/>
        <v>0</v>
      </c>
      <c r="F8" s="537">
        <f t="shared" ref="F8:F11" si="1">ROUND(1/(1-0.3),4)</f>
        <v>1.4286000000000001</v>
      </c>
      <c r="G8" s="570"/>
      <c r="H8" s="308"/>
      <c r="I8" s="320">
        <f t="shared" ref="I8:I11" si="2">+G8-E8</f>
        <v>0</v>
      </c>
      <c r="K8" s="106"/>
    </row>
    <row r="9" spans="2:11" ht="22.05" customHeight="1">
      <c r="B9" s="324" t="str">
        <f>CONCATENATE("Inversiones en el extranjero - ",Datos!D26)</f>
        <v>Inversiones en el extranjero - Nombre de la LP 2</v>
      </c>
      <c r="C9" s="324"/>
      <c r="D9" s="313" t="s">
        <v>350</v>
      </c>
      <c r="E9" s="320">
        <f t="shared" si="0"/>
        <v>0</v>
      </c>
      <c r="F9" s="537">
        <f t="shared" si="1"/>
        <v>1.4286000000000001</v>
      </c>
      <c r="G9" s="570"/>
      <c r="H9" s="308"/>
      <c r="I9" s="320">
        <f t="shared" si="2"/>
        <v>0</v>
      </c>
      <c r="K9" s="106"/>
    </row>
    <row r="10" spans="2:11" ht="22.05" customHeight="1">
      <c r="B10" s="324" t="str">
        <f>CONCATENATE("Inversiones en el extranjero - ",Datos!D27)</f>
        <v>Inversiones en el extranjero - Nombre de la LP 3</v>
      </c>
      <c r="C10" s="324"/>
      <c r="D10" s="313" t="s">
        <v>350</v>
      </c>
      <c r="E10" s="320">
        <f t="shared" si="0"/>
        <v>0</v>
      </c>
      <c r="F10" s="537">
        <f t="shared" si="1"/>
        <v>1.4286000000000001</v>
      </c>
      <c r="G10" s="570"/>
      <c r="H10" s="308"/>
      <c r="I10" s="320">
        <f t="shared" si="2"/>
        <v>0</v>
      </c>
      <c r="K10" s="106"/>
    </row>
    <row r="11" spans="2:11" ht="22.05" customHeight="1">
      <c r="B11" s="324" t="str">
        <f>CONCATENATE("Inversiones en el extranjero - ",Datos!D28)</f>
        <v>Inversiones en el extranjero - Nombre de la LP 4</v>
      </c>
      <c r="C11" s="324"/>
      <c r="D11" s="313" t="s">
        <v>350</v>
      </c>
      <c r="E11" s="320">
        <f t="shared" si="0"/>
        <v>0</v>
      </c>
      <c r="F11" s="537">
        <f t="shared" si="1"/>
        <v>1.4286000000000001</v>
      </c>
      <c r="G11" s="570"/>
      <c r="H11" s="308"/>
      <c r="I11" s="320">
        <f t="shared" si="2"/>
        <v>0</v>
      </c>
      <c r="K11" s="106"/>
    </row>
    <row r="12" spans="2:11" ht="22.05" customHeight="1">
      <c r="B12" s="321" t="s">
        <v>434</v>
      </c>
      <c r="C12" s="316"/>
      <c r="D12" s="494"/>
      <c r="E12" s="317">
        <f>+SUM(E7:E11)</f>
        <v>0</v>
      </c>
      <c r="F12" s="317"/>
      <c r="G12" s="317">
        <f>+SUM(G7:G11)</f>
        <v>0</v>
      </c>
      <c r="H12" s="317"/>
      <c r="I12" s="317">
        <f>SUM(I7:I11)</f>
        <v>0</v>
      </c>
      <c r="K12" s="88"/>
    </row>
    <row r="15" spans="2:11" ht="22.05" customHeight="1">
      <c r="B15" s="158"/>
      <c r="C15" s="158"/>
      <c r="D15" s="158"/>
      <c r="E15" s="158"/>
      <c r="F15" s="158"/>
      <c r="G15" s="158"/>
      <c r="H15" s="158"/>
      <c r="I15" s="158"/>
    </row>
    <row r="16" spans="2:11" ht="22.05" customHeight="1">
      <c r="B16" s="669" t="s">
        <v>435</v>
      </c>
      <c r="C16" s="669"/>
      <c r="D16" s="669"/>
      <c r="E16" s="669"/>
      <c r="F16" s="669"/>
      <c r="G16" s="669"/>
      <c r="H16" s="669"/>
      <c r="I16" s="669"/>
    </row>
    <row r="17" spans="2:11" ht="40.950000000000003" customHeight="1">
      <c r="B17" s="128" t="s">
        <v>436</v>
      </c>
      <c r="C17" s="128" t="s">
        <v>437</v>
      </c>
      <c r="D17" s="128" t="s">
        <v>191</v>
      </c>
      <c r="E17" s="128" t="s">
        <v>429</v>
      </c>
      <c r="F17" s="95" t="s">
        <v>430</v>
      </c>
      <c r="G17" s="128" t="s">
        <v>431</v>
      </c>
      <c r="H17" s="128"/>
      <c r="I17" s="128" t="s">
        <v>432</v>
      </c>
      <c r="K17" s="128" t="s">
        <v>433</v>
      </c>
    </row>
    <row r="18" spans="2:11" ht="22.05" customHeight="1">
      <c r="B18" s="579" t="s">
        <v>410</v>
      </c>
      <c r="C18" s="579"/>
      <c r="D18" s="579"/>
      <c r="E18" s="320">
        <f>+G18-I18</f>
        <v>0</v>
      </c>
      <c r="F18" s="537">
        <f t="shared" ref="F18:F29" si="3">ROUND(1/(1-0.3),4)</f>
        <v>1.4286000000000001</v>
      </c>
      <c r="G18" s="570"/>
      <c r="H18" s="308"/>
      <c r="I18" s="570"/>
      <c r="K18" s="106"/>
    </row>
    <row r="19" spans="2:11" ht="22.05" customHeight="1">
      <c r="B19" s="579" t="s">
        <v>411</v>
      </c>
      <c r="C19" s="579"/>
      <c r="D19" s="579"/>
      <c r="E19" s="320">
        <f t="shared" ref="E19:E29" si="4">+G19-I19</f>
        <v>0</v>
      </c>
      <c r="F19" s="537">
        <f t="shared" si="3"/>
        <v>1.4286000000000001</v>
      </c>
      <c r="G19" s="570"/>
      <c r="H19" s="308"/>
      <c r="I19" s="570"/>
      <c r="K19" s="106"/>
    </row>
    <row r="20" spans="2:11" ht="22.05" customHeight="1">
      <c r="B20" s="579" t="s">
        <v>412</v>
      </c>
      <c r="C20" s="579"/>
      <c r="D20" s="579"/>
      <c r="E20" s="320">
        <f t="shared" si="4"/>
        <v>0</v>
      </c>
      <c r="F20" s="537">
        <f t="shared" si="3"/>
        <v>1.4286000000000001</v>
      </c>
      <c r="G20" s="570"/>
      <c r="H20" s="308"/>
      <c r="I20" s="570"/>
      <c r="K20" s="106"/>
    </row>
    <row r="21" spans="2:11" ht="22.05" customHeight="1">
      <c r="B21" s="579" t="s">
        <v>413</v>
      </c>
      <c r="C21" s="579"/>
      <c r="D21" s="579"/>
      <c r="E21" s="320">
        <f t="shared" si="4"/>
        <v>0</v>
      </c>
      <c r="F21" s="537">
        <f t="shared" si="3"/>
        <v>1.4286000000000001</v>
      </c>
      <c r="G21" s="570"/>
      <c r="H21" s="308"/>
      <c r="I21" s="570"/>
      <c r="K21" s="106"/>
    </row>
    <row r="22" spans="2:11" ht="22.05" customHeight="1">
      <c r="B22" s="579" t="s">
        <v>414</v>
      </c>
      <c r="C22" s="579"/>
      <c r="D22" s="579"/>
      <c r="E22" s="320">
        <f t="shared" si="4"/>
        <v>0</v>
      </c>
      <c r="F22" s="537">
        <f t="shared" si="3"/>
        <v>1.4286000000000001</v>
      </c>
      <c r="G22" s="570"/>
      <c r="H22" s="308"/>
      <c r="I22" s="570"/>
      <c r="K22" s="106"/>
    </row>
    <row r="23" spans="2:11" ht="22.05" customHeight="1">
      <c r="B23" s="579" t="s">
        <v>415</v>
      </c>
      <c r="C23" s="579"/>
      <c r="D23" s="579"/>
      <c r="E23" s="320">
        <f t="shared" si="4"/>
        <v>0</v>
      </c>
      <c r="F23" s="537">
        <f t="shared" si="3"/>
        <v>1.4286000000000001</v>
      </c>
      <c r="G23" s="570"/>
      <c r="H23" s="308"/>
      <c r="I23" s="570"/>
      <c r="K23" s="106"/>
    </row>
    <row r="24" spans="2:11" ht="22.05" customHeight="1">
      <c r="B24" s="579" t="s">
        <v>416</v>
      </c>
      <c r="C24" s="579"/>
      <c r="D24" s="579"/>
      <c r="E24" s="320">
        <f t="shared" si="4"/>
        <v>0</v>
      </c>
      <c r="F24" s="537">
        <f t="shared" si="3"/>
        <v>1.4286000000000001</v>
      </c>
      <c r="G24" s="570"/>
      <c r="H24" s="308"/>
      <c r="I24" s="570"/>
      <c r="K24" s="106"/>
    </row>
    <row r="25" spans="2:11" ht="22.05" customHeight="1">
      <c r="B25" s="579" t="s">
        <v>410</v>
      </c>
      <c r="C25" s="579"/>
      <c r="D25" s="579"/>
      <c r="E25" s="320">
        <f t="shared" si="4"/>
        <v>0</v>
      </c>
      <c r="F25" s="537">
        <f t="shared" si="3"/>
        <v>1.4286000000000001</v>
      </c>
      <c r="G25" s="570"/>
      <c r="H25" s="308"/>
      <c r="I25" s="570"/>
      <c r="K25" s="106"/>
    </row>
    <row r="26" spans="2:11" ht="22.05" customHeight="1">
      <c r="B26" s="579" t="s">
        <v>411</v>
      </c>
      <c r="C26" s="579"/>
      <c r="D26" s="579"/>
      <c r="E26" s="320">
        <f t="shared" si="4"/>
        <v>0</v>
      </c>
      <c r="F26" s="537">
        <f t="shared" si="3"/>
        <v>1.4286000000000001</v>
      </c>
      <c r="G26" s="570"/>
      <c r="H26" s="308"/>
      <c r="I26" s="570"/>
      <c r="K26" s="106"/>
    </row>
    <row r="27" spans="2:11" ht="22.05" customHeight="1">
      <c r="B27" s="579" t="s">
        <v>412</v>
      </c>
      <c r="C27" s="579"/>
      <c r="D27" s="579"/>
      <c r="E27" s="320">
        <f t="shared" si="4"/>
        <v>0</v>
      </c>
      <c r="F27" s="537">
        <f t="shared" si="3"/>
        <v>1.4286000000000001</v>
      </c>
      <c r="G27" s="570"/>
      <c r="H27" s="308"/>
      <c r="I27" s="570"/>
      <c r="K27" s="106"/>
    </row>
    <row r="28" spans="2:11" ht="22.05" customHeight="1">
      <c r="B28" s="579" t="s">
        <v>413</v>
      </c>
      <c r="C28" s="579"/>
      <c r="D28" s="579"/>
      <c r="E28" s="320">
        <f t="shared" si="4"/>
        <v>0</v>
      </c>
      <c r="F28" s="537">
        <f t="shared" si="3"/>
        <v>1.4286000000000001</v>
      </c>
      <c r="G28" s="570"/>
      <c r="H28" s="308"/>
      <c r="I28" s="570"/>
      <c r="K28" s="106"/>
    </row>
    <row r="29" spans="2:11" ht="22.05" customHeight="1">
      <c r="B29" s="579" t="s">
        <v>414</v>
      </c>
      <c r="C29" s="579"/>
      <c r="D29" s="579"/>
      <c r="E29" s="320">
        <f t="shared" si="4"/>
        <v>0</v>
      </c>
      <c r="F29" s="537">
        <f t="shared" si="3"/>
        <v>1.4286000000000001</v>
      </c>
      <c r="G29" s="570"/>
      <c r="H29" s="308"/>
      <c r="I29" s="570"/>
      <c r="K29" s="106"/>
    </row>
    <row r="30" spans="2:11" ht="22.05" customHeight="1">
      <c r="B30" s="324"/>
      <c r="C30" s="324"/>
      <c r="D30" s="324"/>
      <c r="E30" s="320"/>
      <c r="F30" s="537"/>
      <c r="G30" s="320"/>
      <c r="H30" s="308"/>
      <c r="I30" s="320"/>
      <c r="K30" s="106"/>
    </row>
    <row r="31" spans="2:11" ht="22.05" customHeight="1">
      <c r="B31" s="321" t="s">
        <v>438</v>
      </c>
      <c r="C31" s="316"/>
      <c r="D31" s="494"/>
      <c r="E31" s="317">
        <f>+SUM(E18:E30)</f>
        <v>0</v>
      </c>
      <c r="F31" s="317"/>
      <c r="G31" s="317">
        <f>+SUM(G18:G30)</f>
        <v>0</v>
      </c>
      <c r="H31" s="317"/>
      <c r="I31" s="317">
        <f>SUM(I18:I30)</f>
        <v>0</v>
      </c>
      <c r="K31" s="88"/>
    </row>
    <row r="35" spans="2:3" ht="22.05" customHeight="1">
      <c r="B35" s="43" t="s">
        <v>214</v>
      </c>
      <c r="C35" s="43"/>
    </row>
  </sheetData>
  <sheetProtection formatCells="0" formatColumns="0" formatRows="0" insertColumns="0" insertRows="0" deleteColumns="0" deleteRows="0"/>
  <mergeCells count="5">
    <mergeCell ref="B5:I5"/>
    <mergeCell ref="B3:I3"/>
    <mergeCell ref="B2:I2"/>
    <mergeCell ref="B16:I16"/>
    <mergeCell ref="B6:C6"/>
  </mergeCells>
  <phoneticPr fontId="7" type="noConversion"/>
  <printOptions horizontalCentered="1"/>
  <pageMargins left="0.7" right="0.7" top="0.75" bottom="0.75" header="0.3" footer="0.3"/>
  <pageSetup scale="54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2:I67"/>
  <sheetViews>
    <sheetView zoomScaleNormal="100" zoomScaleSheetLayoutView="110" zoomScalePageLayoutView="120" workbookViewId="0">
      <selection activeCell="H11" sqref="H11"/>
    </sheetView>
  </sheetViews>
  <sheetFormatPr defaultColWidth="10.796875" defaultRowHeight="22.95" customHeight="1"/>
  <cols>
    <col min="1" max="1" width="10.796875" style="41"/>
    <col min="2" max="2" width="75.796875" style="41" customWidth="1"/>
    <col min="3" max="3" width="19.19921875" style="41" customWidth="1"/>
    <col min="4" max="4" width="23.19921875" style="41" customWidth="1"/>
    <col min="5" max="6" width="22.796875" style="41" customWidth="1"/>
    <col min="7" max="7" width="8.5" style="41" customWidth="1"/>
    <col min="8" max="8" width="21" style="41" customWidth="1"/>
    <col min="9" max="9" width="20.69921875" style="41" customWidth="1"/>
    <col min="10" max="11" width="13.19921875" style="41" customWidth="1"/>
    <col min="12" max="13" width="17.296875" style="41" customWidth="1"/>
    <col min="14" max="18" width="13.19921875" style="41" customWidth="1"/>
    <col min="19" max="16384" width="10.796875" style="41"/>
  </cols>
  <sheetData>
    <row r="2" spans="2:9" ht="22.95" customHeight="1">
      <c r="B2" s="157" t="str">
        <f>Datos!C6</f>
        <v>NOMBRE EN MAYUSCULAS</v>
      </c>
      <c r="C2" s="154"/>
      <c r="D2" s="154"/>
      <c r="E2" s="154"/>
      <c r="F2" s="154"/>
      <c r="G2" s="154"/>
      <c r="H2" s="154"/>
    </row>
    <row r="3" spans="2:9" ht="22.95" customHeight="1">
      <c r="B3" s="154" t="s">
        <v>439</v>
      </c>
      <c r="C3" s="154"/>
      <c r="D3" s="154"/>
      <c r="E3" s="154"/>
      <c r="F3" s="154"/>
      <c r="G3" s="154"/>
      <c r="H3" s="154"/>
    </row>
    <row r="4" spans="2:9" ht="22.95" customHeight="1">
      <c r="B4" s="160"/>
      <c r="C4" s="160"/>
      <c r="D4" s="160"/>
      <c r="E4" s="160"/>
      <c r="F4" s="160"/>
      <c r="G4" s="160"/>
      <c r="H4" s="160"/>
    </row>
    <row r="5" spans="2:9" ht="22.95" customHeight="1">
      <c r="B5" s="67" t="s">
        <v>440</v>
      </c>
      <c r="C5" s="67"/>
      <c r="D5" s="67"/>
      <c r="E5" s="67"/>
      <c r="F5" s="67"/>
      <c r="G5" s="67"/>
      <c r="H5" s="67"/>
      <c r="I5" s="95"/>
    </row>
    <row r="6" spans="2:9" ht="49.05" customHeight="1">
      <c r="B6" s="670" t="s">
        <v>399</v>
      </c>
      <c r="C6" s="670"/>
      <c r="D6" s="620" t="s">
        <v>191</v>
      </c>
      <c r="E6" s="620" t="s">
        <v>441</v>
      </c>
      <c r="F6" s="620" t="s">
        <v>442</v>
      </c>
      <c r="G6" s="620"/>
      <c r="H6" s="620" t="s">
        <v>443</v>
      </c>
    </row>
    <row r="7" spans="2:9" ht="22.95" customHeight="1">
      <c r="B7" s="324" t="str">
        <f>CONCATENATE("Inversiones en el extranjero - ",Datos!D24)</f>
        <v>Inversiones en el extranjero - Cuentas Personales</v>
      </c>
      <c r="C7" s="324"/>
      <c r="D7" s="313" t="s">
        <v>350</v>
      </c>
      <c r="E7" s="320">
        <f>H7-F7</f>
        <v>0</v>
      </c>
      <c r="F7" s="570"/>
      <c r="G7" s="535"/>
      <c r="H7" s="571"/>
    </row>
    <row r="8" spans="2:9" ht="22.95" customHeight="1">
      <c r="B8" s="324" t="str">
        <f>CONCATENATE("Inversiones en el extranjero - ",Datos!D25)</f>
        <v>Inversiones en el extranjero - Nombre de la LP 1</v>
      </c>
      <c r="C8" s="324"/>
      <c r="D8" s="313" t="s">
        <v>350</v>
      </c>
      <c r="E8" s="320">
        <f t="shared" ref="E8:E11" si="0">H8-F8</f>
        <v>0</v>
      </c>
      <c r="F8" s="570"/>
      <c r="G8" s="535"/>
      <c r="H8" s="571"/>
    </row>
    <row r="9" spans="2:9" ht="22.95" customHeight="1">
      <c r="B9" s="324" t="str">
        <f>CONCATENATE("Inversiones en el extranjero - ",Datos!D26)</f>
        <v>Inversiones en el extranjero - Nombre de la LP 2</v>
      </c>
      <c r="C9" s="324"/>
      <c r="D9" s="313" t="s">
        <v>350</v>
      </c>
      <c r="E9" s="320">
        <f t="shared" si="0"/>
        <v>0</v>
      </c>
      <c r="F9" s="570"/>
      <c r="G9" s="535"/>
      <c r="H9" s="571"/>
    </row>
    <row r="10" spans="2:9" ht="22.95" customHeight="1">
      <c r="B10" s="324" t="str">
        <f>CONCATENATE("Inversiones en el extranjero - ",Datos!D27)</f>
        <v>Inversiones en el extranjero - Nombre de la LP 3</v>
      </c>
      <c r="C10" s="324"/>
      <c r="D10" s="313" t="s">
        <v>350</v>
      </c>
      <c r="E10" s="320">
        <f t="shared" si="0"/>
        <v>0</v>
      </c>
      <c r="F10" s="570"/>
      <c r="G10" s="535"/>
      <c r="H10" s="571"/>
    </row>
    <row r="11" spans="2:9" ht="22.95" customHeight="1">
      <c r="B11" s="324" t="str">
        <f>CONCATENATE("Inversiones en el extranjero - ",Datos!D28)</f>
        <v>Inversiones en el extranjero - Nombre de la LP 4</v>
      </c>
      <c r="C11" s="324"/>
      <c r="D11" s="313" t="s">
        <v>350</v>
      </c>
      <c r="E11" s="320">
        <f t="shared" si="0"/>
        <v>0</v>
      </c>
      <c r="F11" s="570"/>
      <c r="G11" s="535"/>
      <c r="H11" s="571"/>
    </row>
    <row r="12" spans="2:9" ht="22.95" customHeight="1">
      <c r="B12" s="321" t="s">
        <v>444</v>
      </c>
      <c r="C12" s="316"/>
      <c r="D12" s="494"/>
      <c r="E12" s="326">
        <f>+SUM(E7:E11)</f>
        <v>0</v>
      </c>
      <c r="F12" s="326">
        <f>+SUM(F7:F11)</f>
        <v>0</v>
      </c>
      <c r="G12" s="326">
        <f>+SUM(G7:G11)</f>
        <v>0</v>
      </c>
      <c r="H12" s="326">
        <f>+SUM(H7:H11)</f>
        <v>0</v>
      </c>
    </row>
    <row r="14" spans="2:9" ht="22.95" customHeight="1">
      <c r="B14" s="43" t="s">
        <v>445</v>
      </c>
    </row>
    <row r="15" spans="2:9" ht="22.95" customHeight="1">
      <c r="C15" s="43"/>
    </row>
    <row r="17" spans="2:8" ht="22.95" customHeight="1">
      <c r="B17" s="158"/>
      <c r="C17" s="158"/>
      <c r="D17" s="158"/>
      <c r="E17" s="158"/>
      <c r="F17" s="158"/>
      <c r="G17" s="158"/>
      <c r="H17" s="158"/>
    </row>
    <row r="18" spans="2:8" ht="22.95" customHeight="1">
      <c r="B18" s="67" t="s">
        <v>446</v>
      </c>
      <c r="C18" s="67"/>
      <c r="D18" s="67"/>
      <c r="E18" s="67"/>
      <c r="F18" s="67"/>
      <c r="G18" s="67"/>
      <c r="H18" s="67"/>
    </row>
    <row r="20" spans="2:8" ht="55.95" customHeight="1">
      <c r="B20" s="620" t="s">
        <v>447</v>
      </c>
      <c r="C20" s="620" t="s">
        <v>448</v>
      </c>
      <c r="D20" s="620" t="s">
        <v>191</v>
      </c>
      <c r="E20" s="620" t="s">
        <v>441</v>
      </c>
      <c r="F20" s="620" t="s">
        <v>442</v>
      </c>
      <c r="G20" s="620"/>
      <c r="H20" s="620" t="s">
        <v>443</v>
      </c>
    </row>
    <row r="21" spans="2:8" ht="22.95" customHeight="1">
      <c r="B21" s="579" t="s">
        <v>410</v>
      </c>
      <c r="C21" s="579"/>
      <c r="D21" s="585"/>
      <c r="E21" s="320">
        <f>H21-F21</f>
        <v>0</v>
      </c>
      <c r="F21" s="570"/>
      <c r="G21" s="535"/>
      <c r="H21" s="570"/>
    </row>
    <row r="22" spans="2:8" ht="22.95" customHeight="1">
      <c r="B22" s="579" t="s">
        <v>411</v>
      </c>
      <c r="C22" s="579"/>
      <c r="D22" s="585"/>
      <c r="E22" s="320">
        <f t="shared" ref="E22:E27" si="1">H22-F22</f>
        <v>0</v>
      </c>
      <c r="F22" s="570"/>
      <c r="G22" s="535"/>
      <c r="H22" s="570"/>
    </row>
    <row r="23" spans="2:8" ht="22.95" customHeight="1">
      <c r="B23" s="579" t="s">
        <v>412</v>
      </c>
      <c r="C23" s="579"/>
      <c r="D23" s="585"/>
      <c r="E23" s="320">
        <f t="shared" si="1"/>
        <v>0</v>
      </c>
      <c r="F23" s="570"/>
      <c r="G23" s="535"/>
      <c r="H23" s="570"/>
    </row>
    <row r="24" spans="2:8" ht="22.95" customHeight="1">
      <c r="B24" s="579" t="s">
        <v>413</v>
      </c>
      <c r="C24" s="579"/>
      <c r="D24" s="585"/>
      <c r="E24" s="320">
        <f t="shared" si="1"/>
        <v>0</v>
      </c>
      <c r="F24" s="570"/>
      <c r="G24" s="535"/>
      <c r="H24" s="570"/>
    </row>
    <row r="25" spans="2:8" ht="22.95" customHeight="1">
      <c r="B25" s="579" t="s">
        <v>414</v>
      </c>
      <c r="C25" s="579"/>
      <c r="D25" s="585"/>
      <c r="E25" s="320">
        <f t="shared" si="1"/>
        <v>0</v>
      </c>
      <c r="F25" s="570"/>
      <c r="G25" s="535"/>
      <c r="H25" s="570"/>
    </row>
    <row r="26" spans="2:8" ht="22.95" customHeight="1">
      <c r="B26" s="579" t="s">
        <v>415</v>
      </c>
      <c r="C26" s="579"/>
      <c r="D26" s="585"/>
      <c r="E26" s="320">
        <f t="shared" si="1"/>
        <v>0</v>
      </c>
      <c r="F26" s="570"/>
      <c r="G26" s="535"/>
      <c r="H26" s="570"/>
    </row>
    <row r="27" spans="2:8" ht="22.95" customHeight="1">
      <c r="B27" s="579" t="s">
        <v>416</v>
      </c>
      <c r="C27" s="579"/>
      <c r="D27" s="585"/>
      <c r="E27" s="320">
        <f t="shared" si="1"/>
        <v>0</v>
      </c>
      <c r="F27" s="570"/>
      <c r="G27" s="535"/>
      <c r="H27" s="570"/>
    </row>
    <row r="28" spans="2:8" ht="22.95" customHeight="1">
      <c r="B28" s="321" t="s">
        <v>449</v>
      </c>
      <c r="C28" s="316"/>
      <c r="D28" s="494"/>
      <c r="E28" s="326">
        <f>+SUM(E21:E27)</f>
        <v>0</v>
      </c>
      <c r="F28" s="326">
        <f>+SUM(F21:F27)</f>
        <v>0</v>
      </c>
      <c r="G28" s="326">
        <f>+SUM(G21:G27)</f>
        <v>0</v>
      </c>
      <c r="H28" s="326">
        <f>+SUM(H21:H27)</f>
        <v>0</v>
      </c>
    </row>
    <row r="31" spans="2:8" ht="22.95" customHeight="1">
      <c r="B31" s="43"/>
      <c r="C31" s="43"/>
      <c r="F31" s="519"/>
      <c r="G31" s="519" t="s">
        <v>450</v>
      </c>
      <c r="H31" s="536">
        <f>+H12+H28</f>
        <v>0</v>
      </c>
    </row>
    <row r="32" spans="2:8" ht="22.95" customHeight="1">
      <c r="B32" s="43"/>
      <c r="C32" s="43"/>
    </row>
    <row r="33" spans="2:8" ht="22.95" customHeight="1">
      <c r="B33" s="43"/>
      <c r="C33" s="43"/>
    </row>
    <row r="34" spans="2:8" ht="22.95" customHeight="1">
      <c r="H34" s="102"/>
    </row>
    <row r="35" spans="2:8" ht="22.95" customHeight="1">
      <c r="H35" s="102"/>
    </row>
    <row r="36" spans="2:8" ht="22.95" customHeight="1">
      <c r="H36" s="102"/>
    </row>
    <row r="38" spans="2:8" ht="22.95" customHeight="1">
      <c r="H38" s="620"/>
    </row>
    <row r="39" spans="2:8" ht="22.95" customHeight="1">
      <c r="H39" s="99"/>
    </row>
    <row r="40" spans="2:8" ht="22.95" customHeight="1">
      <c r="H40" s="81"/>
    </row>
    <row r="41" spans="2:8" ht="22.95" customHeight="1">
      <c r="H41" s="81"/>
    </row>
    <row r="42" spans="2:8" ht="22.95" customHeight="1">
      <c r="H42" s="81"/>
    </row>
    <row r="43" spans="2:8" ht="22.95" customHeight="1">
      <c r="H43" s="81"/>
    </row>
    <row r="44" spans="2:8" ht="22.95" customHeight="1">
      <c r="H44" s="81"/>
    </row>
    <row r="45" spans="2:8" ht="22.95" customHeight="1">
      <c r="H45" s="81"/>
    </row>
    <row r="51" spans="8:8" ht="22.95" customHeight="1">
      <c r="H51" s="102"/>
    </row>
    <row r="52" spans="8:8" ht="22.95" customHeight="1">
      <c r="H52" s="102"/>
    </row>
    <row r="53" spans="8:8" ht="22.95" customHeight="1">
      <c r="H53" s="102"/>
    </row>
    <row r="55" spans="8:8" ht="22.95" customHeight="1">
      <c r="H55" s="620"/>
    </row>
    <row r="56" spans="8:8" ht="22.95" customHeight="1">
      <c r="H56" s="99"/>
    </row>
    <row r="57" spans="8:8" ht="22.95" customHeight="1">
      <c r="H57" s="81"/>
    </row>
    <row r="58" spans="8:8" ht="22.95" customHeight="1">
      <c r="H58" s="81"/>
    </row>
    <row r="59" spans="8:8" ht="22.95" customHeight="1">
      <c r="H59" s="81"/>
    </row>
    <row r="60" spans="8:8" ht="22.95" customHeight="1">
      <c r="H60" s="81"/>
    </row>
    <row r="61" spans="8:8" ht="22.95" customHeight="1">
      <c r="H61" s="81"/>
    </row>
    <row r="62" spans="8:8" ht="22.95" customHeight="1">
      <c r="H62" s="81"/>
    </row>
    <row r="63" spans="8:8" ht="22.95" customHeight="1">
      <c r="H63" s="81"/>
    </row>
    <row r="64" spans="8:8" ht="22.95" customHeight="1">
      <c r="H64" s="81"/>
    </row>
    <row r="65" spans="8:8" ht="22.95" customHeight="1">
      <c r="H65" s="81"/>
    </row>
    <row r="66" spans="8:8" ht="22.95" customHeight="1">
      <c r="H66" s="81"/>
    </row>
    <row r="67" spans="8:8" ht="22.95" customHeight="1">
      <c r="H67" s="81"/>
    </row>
  </sheetData>
  <sheetProtection formatCells="0" formatColumns="0" formatRows="0" insertColumns="0" insertRows="0" deleteColumns="0" deleteRows="0"/>
  <mergeCells count="1">
    <mergeCell ref="B6:C6"/>
  </mergeCells>
  <phoneticPr fontId="7" type="noConversion"/>
  <printOptions horizontalCentered="1"/>
  <pageMargins left="0.7" right="0.7" top="0.75" bottom="0.75" header="0.3" footer="0.3"/>
  <pageSetup scale="5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3AF5-1DC1-9147-B827-9E29ADB8F3B5}">
  <sheetPr>
    <pageSetUpPr fitToPage="1"/>
  </sheetPr>
  <dimension ref="B2:I60"/>
  <sheetViews>
    <sheetView zoomScale="110" zoomScaleNormal="110" zoomScaleSheetLayoutView="120" workbookViewId="0">
      <selection activeCell="N40" sqref="N40"/>
    </sheetView>
  </sheetViews>
  <sheetFormatPr defaultColWidth="10.796875" defaultRowHeight="22.05" customHeight="1"/>
  <cols>
    <col min="1" max="1" width="10.796875" style="8"/>
    <col min="2" max="2" width="73" style="8" customWidth="1"/>
    <col min="3" max="3" width="21.796875" style="8" customWidth="1"/>
    <col min="4" max="4" width="32.796875" style="8" customWidth="1"/>
    <col min="5" max="5" width="23.5" style="8" customWidth="1"/>
    <col min="6" max="6" width="10.796875" style="8"/>
    <col min="7" max="7" width="25.796875" style="8" customWidth="1"/>
    <col min="8" max="16384" width="10.796875" style="8"/>
  </cols>
  <sheetData>
    <row r="2" spans="2:7" ht="22.05" customHeight="1">
      <c r="B2" s="157" t="str">
        <f>+'Capítulo IX - Dividendos '!B2</f>
        <v>NOMBRE EN MAYUSCULAS</v>
      </c>
      <c r="C2" s="154"/>
      <c r="D2" s="154"/>
      <c r="E2" s="154"/>
      <c r="F2" s="102"/>
    </row>
    <row r="3" spans="2:7" ht="22.05" customHeight="1">
      <c r="B3" s="154" t="s">
        <v>439</v>
      </c>
      <c r="C3" s="154"/>
      <c r="D3" s="154"/>
      <c r="E3" s="154"/>
      <c r="F3" s="102"/>
    </row>
    <row r="4" spans="2:7" ht="22.05" customHeight="1">
      <c r="B4" s="177" t="s">
        <v>451</v>
      </c>
      <c r="C4" s="67"/>
      <c r="D4" s="67"/>
      <c r="E4" s="67"/>
      <c r="F4" s="102"/>
    </row>
    <row r="5" spans="2:7" ht="22.05" customHeight="1">
      <c r="B5" s="158"/>
      <c r="C5" s="158"/>
      <c r="D5" s="158"/>
      <c r="E5" s="158"/>
      <c r="F5" s="41"/>
      <c r="G5" s="8" t="s">
        <v>452</v>
      </c>
    </row>
    <row r="6" spans="2:7" ht="19.2">
      <c r="B6" s="99" t="s">
        <v>399</v>
      </c>
      <c r="C6" s="620" t="s">
        <v>191</v>
      </c>
      <c r="D6" s="620" t="s">
        <v>453</v>
      </c>
      <c r="E6" s="620" t="s">
        <v>454</v>
      </c>
      <c r="F6" s="41"/>
    </row>
    <row r="7" spans="2:7" ht="22.05" customHeight="1">
      <c r="B7" s="324" t="str">
        <f>CONCATENATE("Inversiones en el extranjero - ",Datos!D24)</f>
        <v>Inversiones en el extranjero - Cuentas Personales</v>
      </c>
      <c r="C7" s="313" t="s">
        <v>350</v>
      </c>
      <c r="D7" s="583"/>
      <c r="E7" s="583"/>
      <c r="F7" s="41"/>
    </row>
    <row r="8" spans="2:7" ht="22.05" customHeight="1">
      <c r="B8" s="324" t="str">
        <f>CONCATENATE("Inversiones en el extranjero - ",Datos!D25)</f>
        <v>Inversiones en el extranjero - Nombre de la LP 1</v>
      </c>
      <c r="C8" s="313" t="s">
        <v>350</v>
      </c>
      <c r="D8" s="583"/>
      <c r="E8" s="583"/>
      <c r="F8" s="41"/>
    </row>
    <row r="9" spans="2:7" ht="22.05" customHeight="1">
      <c r="B9" s="324" t="str">
        <f>CONCATENATE("Inversiones en el extranjero - ",Datos!D26)</f>
        <v>Inversiones en el extranjero - Nombre de la LP 2</v>
      </c>
      <c r="C9" s="313" t="s">
        <v>350</v>
      </c>
      <c r="D9" s="583"/>
      <c r="E9" s="583"/>
      <c r="F9" s="41"/>
    </row>
    <row r="10" spans="2:7" ht="22.05" customHeight="1">
      <c r="B10" s="324" t="str">
        <f>CONCATENATE("Inversiones en el extranjero - ",Datos!D27)</f>
        <v>Inversiones en el extranjero - Nombre de la LP 3</v>
      </c>
      <c r="C10" s="313" t="s">
        <v>350</v>
      </c>
      <c r="D10" s="583"/>
      <c r="E10" s="583"/>
      <c r="F10" s="41"/>
    </row>
    <row r="11" spans="2:7" ht="22.05" customHeight="1">
      <c r="B11" s="324" t="str">
        <f>CONCATENATE("Inversiones en el extranjero - ",Datos!D28)</f>
        <v>Inversiones en el extranjero - Nombre de la LP 4</v>
      </c>
      <c r="C11" s="313" t="s">
        <v>350</v>
      </c>
      <c r="D11" s="583"/>
      <c r="E11" s="583"/>
      <c r="F11" s="41"/>
    </row>
    <row r="12" spans="2:7" ht="22.05" customHeight="1">
      <c r="B12" s="321" t="s">
        <v>455</v>
      </c>
      <c r="C12" s="494"/>
      <c r="D12" s="326">
        <f>+SUM(D7:D11)</f>
        <v>0</v>
      </c>
      <c r="E12" s="326">
        <f>+SUM(E7:E11)</f>
        <v>0</v>
      </c>
      <c r="F12" s="41"/>
    </row>
    <row r="13" spans="2:7" ht="22.05" customHeight="1">
      <c r="B13" s="41"/>
      <c r="C13" s="41"/>
      <c r="D13" s="81"/>
      <c r="E13" s="81"/>
      <c r="F13" s="81"/>
    </row>
    <row r="14" spans="2:7" ht="22.05" customHeight="1">
      <c r="B14" s="41" t="s">
        <v>456</v>
      </c>
      <c r="C14" s="41"/>
      <c r="D14" s="41"/>
      <c r="E14" s="41"/>
      <c r="F14" s="41"/>
    </row>
    <row r="15" spans="2:7" ht="22.05" customHeight="1">
      <c r="C15" s="41"/>
      <c r="D15" s="41"/>
      <c r="E15" s="41"/>
      <c r="F15" s="41"/>
    </row>
    <row r="16" spans="2:7" ht="22.05" customHeight="1">
      <c r="B16" s="41"/>
      <c r="C16" s="41"/>
      <c r="D16" s="41"/>
      <c r="E16" s="41"/>
      <c r="F16" s="41"/>
    </row>
    <row r="17" spans="2:6" ht="22.05" customHeight="1">
      <c r="B17" s="157" t="str">
        <f>+B2</f>
        <v>NOMBRE EN MAYUSCULAS</v>
      </c>
      <c r="C17" s="154"/>
      <c r="D17" s="154"/>
      <c r="E17" s="154"/>
      <c r="F17" s="67"/>
    </row>
    <row r="18" spans="2:6" ht="22.05" customHeight="1">
      <c r="B18" s="154" t="s">
        <v>439</v>
      </c>
      <c r="C18" s="154"/>
      <c r="D18" s="154"/>
      <c r="E18" s="154"/>
      <c r="F18" s="67"/>
    </row>
    <row r="19" spans="2:6" ht="22.05" customHeight="1">
      <c r="B19" s="177" t="s">
        <v>457</v>
      </c>
      <c r="C19" s="67"/>
      <c r="D19" s="67"/>
      <c r="E19" s="67"/>
      <c r="F19" s="67"/>
    </row>
    <row r="20" spans="2:6" ht="22.05" customHeight="1">
      <c r="B20" s="158"/>
      <c r="C20" s="158"/>
      <c r="D20" s="158"/>
      <c r="E20" s="158"/>
      <c r="F20" s="41"/>
    </row>
    <row r="21" spans="2:6" ht="19.2">
      <c r="B21" s="99" t="s">
        <v>399</v>
      </c>
      <c r="C21" s="620" t="s">
        <v>191</v>
      </c>
      <c r="D21" s="620" t="s">
        <v>196</v>
      </c>
      <c r="E21" s="620" t="s">
        <v>458</v>
      </c>
      <c r="F21" s="41"/>
    </row>
    <row r="22" spans="2:6" ht="22.05" customHeight="1">
      <c r="B22" s="324" t="str">
        <f>CONCATENATE("Inversiones en el extranjero - ",Datos!D24)</f>
        <v>Inversiones en el extranjero - Cuentas Personales</v>
      </c>
      <c r="C22" s="313" t="s">
        <v>350</v>
      </c>
      <c r="D22" s="583"/>
      <c r="E22" s="583"/>
      <c r="F22" s="41"/>
    </row>
    <row r="23" spans="2:6" ht="22.05" customHeight="1">
      <c r="B23" s="324" t="str">
        <f>CONCATENATE("Inversiones en el extranjero - ",Datos!D25)</f>
        <v>Inversiones en el extranjero - Nombre de la LP 1</v>
      </c>
      <c r="C23" s="313" t="s">
        <v>350</v>
      </c>
      <c r="D23" s="583"/>
      <c r="E23" s="583"/>
      <c r="F23" s="41"/>
    </row>
    <row r="24" spans="2:6" ht="22.05" customHeight="1">
      <c r="B24" s="324" t="str">
        <f>CONCATENATE("Inversiones en el extranjero - ",Datos!D26)</f>
        <v>Inversiones en el extranjero - Nombre de la LP 2</v>
      </c>
      <c r="C24" s="313" t="s">
        <v>350</v>
      </c>
      <c r="D24" s="583"/>
      <c r="E24" s="583"/>
      <c r="F24" s="41"/>
    </row>
    <row r="25" spans="2:6" ht="22.05" customHeight="1">
      <c r="B25" s="324" t="str">
        <f>CONCATENATE("Inversiones en el extranjero - ",Datos!D27)</f>
        <v>Inversiones en el extranjero - Nombre de la LP 3</v>
      </c>
      <c r="C25" s="313" t="s">
        <v>350</v>
      </c>
      <c r="D25" s="583"/>
      <c r="E25" s="583"/>
      <c r="F25" s="41"/>
    </row>
    <row r="26" spans="2:6" ht="22.05" customHeight="1">
      <c r="B26" s="324" t="str">
        <f>CONCATENATE("Inversiones en el extranjero - ",Datos!D28)</f>
        <v>Inversiones en el extranjero - Nombre de la LP 4</v>
      </c>
      <c r="C26" s="313" t="s">
        <v>350</v>
      </c>
      <c r="D26" s="583"/>
      <c r="E26" s="583"/>
      <c r="F26" s="41"/>
    </row>
    <row r="27" spans="2:6" ht="22.05" customHeight="1">
      <c r="B27" s="321" t="s">
        <v>459</v>
      </c>
      <c r="C27" s="494"/>
      <c r="D27" s="326">
        <f>+SUM(D22:D26)</f>
        <v>0</v>
      </c>
      <c r="E27" s="326">
        <f>+SUM(E22:E26)</f>
        <v>0</v>
      </c>
      <c r="F27" s="41"/>
    </row>
    <row r="28" spans="2:6" ht="22.05" customHeight="1">
      <c r="B28" s="41"/>
      <c r="C28" s="41"/>
      <c r="D28" s="41"/>
      <c r="E28" s="41"/>
      <c r="F28" s="41"/>
    </row>
    <row r="29" spans="2:6" ht="22.05" customHeight="1">
      <c r="B29" s="41"/>
      <c r="C29" s="41"/>
      <c r="D29" s="41"/>
      <c r="E29" s="41"/>
      <c r="F29" s="41"/>
    </row>
    <row r="30" spans="2:6" ht="22.05" customHeight="1">
      <c r="B30" s="41"/>
      <c r="C30" s="41"/>
      <c r="D30" s="41"/>
      <c r="E30" s="41"/>
      <c r="F30" s="41"/>
    </row>
    <row r="31" spans="2:6" ht="22.05" customHeight="1">
      <c r="B31" s="41"/>
      <c r="C31" s="41"/>
      <c r="D31" s="41"/>
      <c r="E31" s="41"/>
      <c r="F31" s="41"/>
    </row>
    <row r="32" spans="2:6" ht="22.05" customHeight="1">
      <c r="B32" s="157" t="str">
        <f>+B17</f>
        <v>NOMBRE EN MAYUSCULAS</v>
      </c>
      <c r="C32" s="154"/>
      <c r="D32" s="154"/>
      <c r="E32" s="154"/>
      <c r="F32" s="41"/>
    </row>
    <row r="33" spans="2:9" ht="22.05" customHeight="1">
      <c r="B33" s="154" t="s">
        <v>439</v>
      </c>
      <c r="C33" s="154"/>
      <c r="D33" s="154"/>
      <c r="E33" s="154"/>
      <c r="F33" s="41"/>
    </row>
    <row r="34" spans="2:9" ht="22.05" customHeight="1">
      <c r="B34" s="177" t="s">
        <v>460</v>
      </c>
      <c r="C34" s="67"/>
      <c r="D34" s="67"/>
      <c r="E34" s="67"/>
      <c r="F34" s="41"/>
    </row>
    <row r="35" spans="2:9" ht="22.05" customHeight="1">
      <c r="B35" s="158"/>
      <c r="C35" s="158"/>
      <c r="D35" s="158"/>
      <c r="E35" s="41"/>
      <c r="F35" s="41"/>
    </row>
    <row r="36" spans="2:9" ht="22.05" customHeight="1">
      <c r="B36" s="99" t="s">
        <v>399</v>
      </c>
      <c r="C36" s="620" t="s">
        <v>191</v>
      </c>
      <c r="D36" s="620" t="s">
        <v>196</v>
      </c>
      <c r="F36" s="41"/>
      <c r="G36" s="620" t="s">
        <v>461</v>
      </c>
    </row>
    <row r="37" spans="2:9" ht="22.05" customHeight="1">
      <c r="B37" s="324" t="str">
        <f>CONCATENATE("Inversiones en el extranjero - ",Datos!D24)</f>
        <v>Inversiones en el extranjero - Cuentas Personales</v>
      </c>
      <c r="C37" s="313" t="s">
        <v>350</v>
      </c>
      <c r="D37" s="583"/>
      <c r="E37" s="138"/>
      <c r="F37" s="41"/>
      <c r="G37" s="583"/>
      <c r="I37" s="8" t="s">
        <v>462</v>
      </c>
    </row>
    <row r="38" spans="2:9" ht="22.05" customHeight="1">
      <c r="B38" s="324" t="str">
        <f>CONCATENATE("Inversiones en el extranjero - ",Datos!D25)</f>
        <v>Inversiones en el extranjero - Nombre de la LP 1</v>
      </c>
      <c r="C38" s="313" t="s">
        <v>350</v>
      </c>
      <c r="D38" s="583"/>
      <c r="E38" s="138"/>
      <c r="F38" s="41"/>
      <c r="G38" s="583"/>
      <c r="I38" s="8" t="s">
        <v>462</v>
      </c>
    </row>
    <row r="39" spans="2:9" ht="22.05" customHeight="1">
      <c r="B39" s="324" t="str">
        <f>CONCATENATE("Inversiones en el extranjero - ",Datos!D26)</f>
        <v>Inversiones en el extranjero - Nombre de la LP 2</v>
      </c>
      <c r="C39" s="313" t="s">
        <v>350</v>
      </c>
      <c r="D39" s="583"/>
      <c r="E39" s="138"/>
      <c r="F39" s="41"/>
      <c r="G39" s="583"/>
      <c r="I39" s="8" t="s">
        <v>462</v>
      </c>
    </row>
    <row r="40" spans="2:9" ht="22.05" customHeight="1">
      <c r="B40" s="324" t="str">
        <f>CONCATENATE("Inversiones en el extranjero - ",Datos!D27)</f>
        <v>Inversiones en el extranjero - Nombre de la LP 3</v>
      </c>
      <c r="C40" s="313" t="s">
        <v>350</v>
      </c>
      <c r="D40" s="583"/>
      <c r="E40" s="138"/>
      <c r="F40" s="41"/>
      <c r="G40" s="583"/>
      <c r="I40" s="8" t="s">
        <v>462</v>
      </c>
    </row>
    <row r="41" spans="2:9" ht="22.05" customHeight="1">
      <c r="B41" s="324" t="str">
        <f>CONCATENATE("Inversiones en el extranjero - ",Datos!D28)</f>
        <v>Inversiones en el extranjero - Nombre de la LP 4</v>
      </c>
      <c r="C41" s="313" t="s">
        <v>350</v>
      </c>
      <c r="D41" s="583"/>
      <c r="E41" s="138"/>
      <c r="F41" s="41"/>
      <c r="G41" s="583"/>
      <c r="I41" s="8" t="s">
        <v>462</v>
      </c>
    </row>
    <row r="42" spans="2:9" ht="22.05" customHeight="1">
      <c r="B42" s="321" t="s">
        <v>459</v>
      </c>
      <c r="C42" s="494"/>
      <c r="D42" s="326">
        <f>+SUM(D37:D41)</f>
        <v>0</v>
      </c>
      <c r="E42" s="141"/>
      <c r="F42" s="41"/>
      <c r="G42" s="326">
        <f>+SUM(G37:G41)</f>
        <v>0</v>
      </c>
    </row>
    <row r="43" spans="2:9" ht="22.05" customHeight="1">
      <c r="B43" s="41"/>
      <c r="C43" s="41"/>
      <c r="D43" s="41"/>
      <c r="E43" s="41"/>
      <c r="F43" s="41"/>
    </row>
    <row r="44" spans="2:9" ht="22.05" customHeight="1">
      <c r="B44" s="41"/>
      <c r="C44" s="41"/>
      <c r="D44" s="41"/>
      <c r="E44" s="41"/>
      <c r="F44" s="41"/>
    </row>
    <row r="45" spans="2:9" ht="22.05" customHeight="1">
      <c r="B45" s="41"/>
      <c r="C45" s="41"/>
      <c r="D45" s="41"/>
      <c r="E45" s="41"/>
      <c r="F45" s="41"/>
    </row>
    <row r="46" spans="2:9" ht="22.05" customHeight="1">
      <c r="B46" s="41"/>
      <c r="C46" s="41"/>
      <c r="D46" s="41"/>
      <c r="E46" s="41"/>
      <c r="F46" s="41"/>
    </row>
    <row r="47" spans="2:9" ht="22.05" customHeight="1">
      <c r="B47" s="157" t="str">
        <f>+'Capitulo IX - Regalias'!B3</f>
        <v>NOMBRE EN MAYUSCULAS</v>
      </c>
      <c r="C47" s="154"/>
      <c r="D47" s="154"/>
      <c r="E47" s="154"/>
      <c r="F47" s="67"/>
    </row>
    <row r="48" spans="2:9" ht="22.05" customHeight="1">
      <c r="B48" s="154" t="s">
        <v>439</v>
      </c>
      <c r="C48" s="154"/>
      <c r="D48" s="154"/>
      <c r="E48" s="154"/>
      <c r="F48" s="67"/>
    </row>
    <row r="49" spans="2:6" ht="22.05" customHeight="1">
      <c r="B49" s="177" t="s">
        <v>463</v>
      </c>
      <c r="C49" s="67"/>
      <c r="D49" s="67"/>
      <c r="E49" s="67"/>
      <c r="F49" s="67"/>
    </row>
    <row r="50" spans="2:6" ht="22.05" customHeight="1">
      <c r="B50" s="158"/>
      <c r="C50" s="158"/>
      <c r="D50" s="158"/>
      <c r="E50" s="158"/>
      <c r="F50" s="41"/>
    </row>
    <row r="51" spans="2:6" ht="19.2">
      <c r="B51" s="99" t="s">
        <v>399</v>
      </c>
      <c r="C51" s="620" t="s">
        <v>191</v>
      </c>
      <c r="D51" s="620" t="s">
        <v>196</v>
      </c>
      <c r="E51" s="620" t="s">
        <v>458</v>
      </c>
      <c r="F51" s="41"/>
    </row>
    <row r="52" spans="2:6" ht="22.05" customHeight="1">
      <c r="B52" s="579"/>
      <c r="C52" s="579"/>
      <c r="D52" s="583"/>
      <c r="E52" s="583"/>
      <c r="F52" s="41"/>
    </row>
    <row r="53" spans="2:6" ht="22.05" customHeight="1">
      <c r="B53" s="579"/>
      <c r="C53" s="579"/>
      <c r="D53" s="583"/>
      <c r="E53" s="583"/>
      <c r="F53" s="41"/>
    </row>
    <row r="54" spans="2:6" ht="22.05" customHeight="1">
      <c r="B54" s="579"/>
      <c r="C54" s="579"/>
      <c r="D54" s="583"/>
      <c r="E54" s="583"/>
      <c r="F54" s="41"/>
    </row>
    <row r="55" spans="2:6" ht="22.05" customHeight="1">
      <c r="B55" s="579"/>
      <c r="C55" s="579"/>
      <c r="D55" s="583"/>
      <c r="E55" s="583"/>
      <c r="F55" s="41"/>
    </row>
    <row r="56" spans="2:6" ht="22.05" customHeight="1">
      <c r="B56" s="579"/>
      <c r="C56" s="579"/>
      <c r="D56" s="583"/>
      <c r="E56" s="583"/>
      <c r="F56" s="41"/>
    </row>
    <row r="57" spans="2:6" ht="22.05" customHeight="1">
      <c r="B57" s="321" t="s">
        <v>464</v>
      </c>
      <c r="C57" s="494"/>
      <c r="D57" s="326">
        <f>+SUM(D52:D56)</f>
        <v>0</v>
      </c>
      <c r="E57" s="326">
        <f>+SUM(E52:E56)</f>
        <v>0</v>
      </c>
      <c r="F57" s="41"/>
    </row>
    <row r="58" spans="2:6" ht="22.05" customHeight="1">
      <c r="B58" s="41"/>
      <c r="C58" s="41"/>
      <c r="D58" s="81"/>
      <c r="E58" s="81"/>
      <c r="F58" s="81"/>
    </row>
    <row r="59" spans="2:6" ht="22.05" customHeight="1">
      <c r="B59" s="41"/>
      <c r="C59" s="41"/>
      <c r="D59" s="41"/>
      <c r="E59" s="41"/>
      <c r="F59" s="41"/>
    </row>
    <row r="60" spans="2:6" ht="22.05" customHeight="1">
      <c r="B60" s="43" t="s">
        <v>214</v>
      </c>
      <c r="C60" s="41"/>
      <c r="D60" s="41"/>
      <c r="E60" s="41"/>
      <c r="F60" s="41"/>
    </row>
  </sheetData>
  <sheetProtection formatCells="0" formatColumns="0" formatRows="0" insertColumns="0" insertRows="0" deleteColumns="0" deleteRows="0"/>
  <printOptions horizontalCentered="1"/>
  <pageMargins left="0.7" right="0.7" top="0.75" bottom="0.75" header="0.3" footer="0.3"/>
  <pageSetup scale="76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24EB-27E1-F647-8EF3-AF399B5C6A5E}">
  <sheetPr>
    <pageSetUpPr fitToPage="1"/>
  </sheetPr>
  <dimension ref="B2:H27"/>
  <sheetViews>
    <sheetView zoomScale="110" zoomScaleNormal="110" zoomScaleSheetLayoutView="110" workbookViewId="0">
      <selection activeCell="H20" sqref="H20:H24"/>
    </sheetView>
  </sheetViews>
  <sheetFormatPr defaultColWidth="10.796875" defaultRowHeight="22.05" customHeight="1"/>
  <cols>
    <col min="1" max="1" width="10.796875" style="8"/>
    <col min="2" max="2" width="61.69921875" style="8" customWidth="1"/>
    <col min="3" max="3" width="18.296875" style="8" customWidth="1"/>
    <col min="4" max="6" width="22.796875" style="8" customWidth="1"/>
    <col min="7" max="7" width="3.5" style="8" customWidth="1"/>
    <col min="8" max="8" width="19.796875" style="8" customWidth="1"/>
    <col min="9" max="16384" width="10.796875" style="8"/>
  </cols>
  <sheetData>
    <row r="2" spans="2:8" ht="22.05" customHeight="1">
      <c r="B2" s="157" t="str">
        <f>+Datos!C6</f>
        <v>NOMBRE EN MAYUSCULAS</v>
      </c>
      <c r="C2" s="154"/>
      <c r="D2" s="154"/>
      <c r="E2" s="154"/>
      <c r="F2" s="154"/>
      <c r="G2" s="154"/>
      <c r="H2" s="154"/>
    </row>
    <row r="3" spans="2:8" ht="22.05" customHeight="1">
      <c r="B3" s="154" t="s">
        <v>465</v>
      </c>
      <c r="C3" s="154"/>
      <c r="D3" s="154"/>
      <c r="E3" s="154"/>
      <c r="F3" s="154"/>
      <c r="G3" s="154"/>
      <c r="H3" s="154"/>
    </row>
    <row r="4" spans="2:8" ht="22.05" customHeight="1">
      <c r="B4" s="158"/>
      <c r="C4" s="158"/>
      <c r="D4" s="158"/>
      <c r="E4" s="158"/>
      <c r="F4" s="158"/>
      <c r="G4" s="158"/>
      <c r="H4" s="158"/>
    </row>
    <row r="5" spans="2:8" ht="31.05" customHeight="1">
      <c r="B5" s="177" t="s">
        <v>466</v>
      </c>
      <c r="C5" s="43"/>
      <c r="D5" s="43"/>
      <c r="E5" s="43"/>
      <c r="F5" s="43"/>
      <c r="G5" s="43"/>
      <c r="H5" s="43"/>
    </row>
    <row r="6" spans="2:8" ht="19.2">
      <c r="B6" s="95" t="s">
        <v>352</v>
      </c>
      <c r="C6" s="95" t="s">
        <v>339</v>
      </c>
      <c r="D6" s="128" t="s">
        <v>467</v>
      </c>
      <c r="E6" s="128" t="s">
        <v>468</v>
      </c>
      <c r="F6" s="128" t="s">
        <v>469</v>
      </c>
      <c r="G6" s="128"/>
      <c r="H6" s="128" t="s">
        <v>405</v>
      </c>
    </row>
    <row r="7" spans="2:8" ht="22.05" customHeight="1">
      <c r="B7" s="324" t="str">
        <f>CONCATENATE("Inversiones en el extranjero - ",Datos!D24)</f>
        <v>Inversiones en el extranjero - Cuentas Personales</v>
      </c>
      <c r="C7" s="313" t="s">
        <v>350</v>
      </c>
      <c r="D7" s="570"/>
      <c r="E7" s="570"/>
      <c r="F7" s="320">
        <f>D7-E7</f>
        <v>0</v>
      </c>
      <c r="G7" s="83"/>
      <c r="H7" s="570"/>
    </row>
    <row r="8" spans="2:8" ht="22.05" customHeight="1">
      <c r="B8" s="324" t="str">
        <f>CONCATENATE("Inversiones en el extranjero - ",Datos!D25)</f>
        <v>Inversiones en el extranjero - Nombre de la LP 1</v>
      </c>
      <c r="C8" s="313" t="s">
        <v>350</v>
      </c>
      <c r="D8" s="570"/>
      <c r="E8" s="570"/>
      <c r="F8" s="320">
        <f t="shared" ref="F8:F11" si="0">D8-E8</f>
        <v>0</v>
      </c>
      <c r="G8" s="83"/>
      <c r="H8" s="570"/>
    </row>
    <row r="9" spans="2:8" ht="22.05" customHeight="1">
      <c r="B9" s="324" t="str">
        <f>CONCATENATE("Inversiones en el extranjero - ",Datos!D26)</f>
        <v>Inversiones en el extranjero - Nombre de la LP 2</v>
      </c>
      <c r="C9" s="313" t="s">
        <v>350</v>
      </c>
      <c r="D9" s="570"/>
      <c r="E9" s="570"/>
      <c r="F9" s="320">
        <f t="shared" si="0"/>
        <v>0</v>
      </c>
      <c r="G9" s="83"/>
      <c r="H9" s="570"/>
    </row>
    <row r="10" spans="2:8" ht="22.05" customHeight="1">
      <c r="B10" s="324" t="str">
        <f>CONCATENATE("Inversiones en el extranjero - ",Datos!D27)</f>
        <v>Inversiones en el extranjero - Nombre de la LP 3</v>
      </c>
      <c r="C10" s="313" t="s">
        <v>350</v>
      </c>
      <c r="D10" s="570"/>
      <c r="E10" s="570"/>
      <c r="F10" s="320">
        <f t="shared" si="0"/>
        <v>0</v>
      </c>
      <c r="G10" s="83"/>
      <c r="H10" s="570"/>
    </row>
    <row r="11" spans="2:8" ht="22.05" customHeight="1">
      <c r="B11" s="324" t="str">
        <f>CONCATENATE("Inversiones en el extranjero - ",Datos!D28)</f>
        <v>Inversiones en el extranjero - Nombre de la LP 4</v>
      </c>
      <c r="C11" s="313" t="s">
        <v>350</v>
      </c>
      <c r="D11" s="570"/>
      <c r="E11" s="570"/>
      <c r="F11" s="320">
        <f t="shared" si="0"/>
        <v>0</v>
      </c>
      <c r="G11" s="83"/>
      <c r="H11" s="570"/>
    </row>
    <row r="12" spans="2:8" ht="22.05" customHeight="1">
      <c r="B12" s="316"/>
      <c r="C12" s="494" t="s">
        <v>213</v>
      </c>
      <c r="D12" s="317">
        <f>+SUM(D7:D11)</f>
        <v>0</v>
      </c>
      <c r="E12" s="317">
        <f>+SUM(E7:E11)</f>
        <v>0</v>
      </c>
      <c r="F12" s="317">
        <f>+SUM(F7:F11)</f>
        <v>0</v>
      </c>
      <c r="G12" s="84"/>
      <c r="H12" s="317">
        <f>+SUM(H7:H11)</f>
        <v>0</v>
      </c>
    </row>
    <row r="13" spans="2:8" ht="22.05" customHeight="1">
      <c r="B13" s="41"/>
      <c r="C13" s="41"/>
      <c r="D13" s="81"/>
      <c r="E13" s="81"/>
      <c r="F13" s="81"/>
      <c r="G13" s="81"/>
      <c r="H13" s="81"/>
    </row>
    <row r="14" spans="2:8" ht="22.05" customHeight="1">
      <c r="B14" s="498"/>
      <c r="C14" s="619" t="s">
        <v>470</v>
      </c>
      <c r="D14" s="534"/>
      <c r="E14" s="534"/>
      <c r="F14" s="534">
        <f>+D12-E12</f>
        <v>0</v>
      </c>
      <c r="G14" s="144"/>
      <c r="H14" s="312">
        <f>+H12</f>
        <v>0</v>
      </c>
    </row>
    <row r="17" spans="2:8" ht="22.05" customHeight="1">
      <c r="B17" s="161"/>
      <c r="C17" s="161"/>
      <c r="D17" s="161"/>
      <c r="E17" s="161"/>
      <c r="F17" s="161"/>
      <c r="G17" s="161"/>
      <c r="H17" s="161"/>
    </row>
    <row r="18" spans="2:8" ht="31.95" customHeight="1">
      <c r="B18" s="671" t="s">
        <v>471</v>
      </c>
      <c r="C18" s="671"/>
      <c r="D18" s="671"/>
      <c r="E18" s="671"/>
      <c r="F18" s="671"/>
      <c r="G18" s="671"/>
      <c r="H18" s="671"/>
    </row>
    <row r="19" spans="2:8" ht="19.2">
      <c r="B19" s="95" t="s">
        <v>318</v>
      </c>
      <c r="C19" s="95" t="s">
        <v>339</v>
      </c>
      <c r="D19" s="128" t="s">
        <v>467</v>
      </c>
      <c r="E19" s="128" t="s">
        <v>468</v>
      </c>
      <c r="F19" s="128" t="s">
        <v>469</v>
      </c>
      <c r="G19" s="128"/>
      <c r="H19" s="128" t="s">
        <v>405</v>
      </c>
    </row>
    <row r="20" spans="2:8" ht="22.05" customHeight="1">
      <c r="B20" s="579" t="s">
        <v>199</v>
      </c>
      <c r="C20" s="569"/>
      <c r="D20" s="570"/>
      <c r="E20" s="570"/>
      <c r="F20" s="320">
        <f>D20-E20</f>
        <v>0</v>
      </c>
      <c r="G20" s="83"/>
      <c r="H20" s="570"/>
    </row>
    <row r="21" spans="2:8" ht="22.05" customHeight="1">
      <c r="B21" s="579" t="s">
        <v>200</v>
      </c>
      <c r="C21" s="569"/>
      <c r="D21" s="570"/>
      <c r="E21" s="570"/>
      <c r="F21" s="320">
        <f t="shared" ref="F21:F24" si="1">D21-E21</f>
        <v>0</v>
      </c>
      <c r="G21" s="83"/>
      <c r="H21" s="570"/>
    </row>
    <row r="22" spans="2:8" ht="22.05" customHeight="1">
      <c r="B22" s="579" t="s">
        <v>201</v>
      </c>
      <c r="C22" s="569"/>
      <c r="D22" s="570"/>
      <c r="E22" s="570"/>
      <c r="F22" s="320">
        <f t="shared" si="1"/>
        <v>0</v>
      </c>
      <c r="G22" s="83"/>
      <c r="H22" s="570"/>
    </row>
    <row r="23" spans="2:8" ht="22.05" customHeight="1">
      <c r="B23" s="579" t="s">
        <v>202</v>
      </c>
      <c r="C23" s="569"/>
      <c r="D23" s="570"/>
      <c r="E23" s="570"/>
      <c r="F23" s="320">
        <f t="shared" si="1"/>
        <v>0</v>
      </c>
      <c r="G23" s="83"/>
      <c r="H23" s="570"/>
    </row>
    <row r="24" spans="2:8" ht="22.05" customHeight="1">
      <c r="B24" s="579" t="s">
        <v>203</v>
      </c>
      <c r="C24" s="569"/>
      <c r="D24" s="570"/>
      <c r="E24" s="570"/>
      <c r="F24" s="320">
        <f t="shared" si="1"/>
        <v>0</v>
      </c>
      <c r="G24" s="83"/>
      <c r="H24" s="570"/>
    </row>
    <row r="25" spans="2:8" ht="22.05" customHeight="1">
      <c r="B25" s="316"/>
      <c r="C25" s="494" t="s">
        <v>213</v>
      </c>
      <c r="D25" s="317">
        <f>+SUM(D20:D24)</f>
        <v>0</v>
      </c>
      <c r="E25" s="317">
        <f>+SUM(E20:E24)</f>
        <v>0</v>
      </c>
      <c r="F25" s="317">
        <f>+SUM(F20:F24)</f>
        <v>0</v>
      </c>
      <c r="G25" s="84"/>
      <c r="H25" s="317">
        <f>+SUM(H20:H24)</f>
        <v>0</v>
      </c>
    </row>
    <row r="26" spans="2:8" ht="22.05" customHeight="1">
      <c r="B26" s="319"/>
      <c r="C26" s="319"/>
      <c r="D26" s="325"/>
      <c r="E26" s="325"/>
      <c r="F26" s="325"/>
      <c r="G26" s="81"/>
      <c r="H26" s="325"/>
    </row>
    <row r="27" spans="2:8" ht="22.05" customHeight="1">
      <c r="B27" s="498"/>
      <c r="C27" s="619" t="s">
        <v>472</v>
      </c>
      <c r="D27" s="534"/>
      <c r="E27" s="534"/>
      <c r="F27" s="534">
        <f>+D25-E25</f>
        <v>0</v>
      </c>
      <c r="G27" s="144"/>
      <c r="H27" s="312">
        <f>+H25</f>
        <v>0</v>
      </c>
    </row>
  </sheetData>
  <mergeCells count="1">
    <mergeCell ref="B18:H18"/>
  </mergeCells>
  <printOptions horizontalCentered="1"/>
  <pageMargins left="0.7" right="0.7" top="0.75" bottom="0.75" header="0.3" footer="0.3"/>
  <pageSetup scale="4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4B2C-7BA8-C042-9360-4BD6B7EE2E5E}">
  <sheetPr>
    <pageSetUpPr fitToPage="1"/>
  </sheetPr>
  <dimension ref="B3:V85"/>
  <sheetViews>
    <sheetView view="pageBreakPreview" topLeftCell="D1" zoomScale="110" zoomScaleNormal="70" zoomScaleSheetLayoutView="110" workbookViewId="0">
      <pane ySplit="7" topLeftCell="A8" activePane="bottomLeft" state="frozen"/>
      <selection pane="bottomLeft" activeCell="U74" sqref="U74:U76"/>
    </sheetView>
  </sheetViews>
  <sheetFormatPr defaultColWidth="10.796875" defaultRowHeight="22.05" customHeight="1"/>
  <cols>
    <col min="1" max="1" width="10.796875" style="8"/>
    <col min="2" max="2" width="66.296875" style="8" customWidth="1"/>
    <col min="3" max="3" width="22.796875" style="8" customWidth="1"/>
    <col min="4" max="4" width="19.19921875" style="8" customWidth="1"/>
    <col min="5" max="5" width="17.796875" style="8" customWidth="1"/>
    <col min="6" max="6" width="20.69921875" style="8" customWidth="1"/>
    <col min="7" max="7" width="17.5" style="8" customWidth="1"/>
    <col min="8" max="8" width="4.796875" style="8" customWidth="1"/>
    <col min="9" max="10" width="22" style="8" customWidth="1"/>
    <col min="11" max="12" width="10.796875" style="8"/>
    <col min="13" max="13" width="34.5" style="8" customWidth="1"/>
    <col min="14" max="14" width="15.296875" style="8" customWidth="1"/>
    <col min="15" max="15" width="10.796875" style="8"/>
    <col min="16" max="16" width="34" style="8" customWidth="1"/>
    <col min="17" max="17" width="15.796875" style="8" customWidth="1"/>
    <col min="18" max="18" width="15" style="8" customWidth="1"/>
    <col min="19" max="19" width="15.5" style="8" customWidth="1"/>
    <col min="20" max="20" width="14.296875" style="8" customWidth="1"/>
    <col min="21" max="21" width="12" style="8" customWidth="1"/>
    <col min="22" max="22" width="11.296875" style="8" customWidth="1"/>
    <col min="23" max="16384" width="10.796875" style="8"/>
  </cols>
  <sheetData>
    <row r="3" spans="2:22" ht="22.05" customHeight="1">
      <c r="B3" s="157" t="str">
        <f>+'Capìtulo IX - PE - Otros'!B2</f>
        <v>NOMBRE EN MAYUSCULAS</v>
      </c>
      <c r="C3" s="154"/>
      <c r="D3" s="154"/>
      <c r="E3" s="154"/>
      <c r="F3" s="67"/>
      <c r="G3" s="67"/>
      <c r="H3" s="67"/>
      <c r="I3" s="67"/>
      <c r="J3" s="67"/>
    </row>
    <row r="4" spans="2:22" ht="22.05" customHeight="1">
      <c r="B4" s="154" t="s">
        <v>439</v>
      </c>
      <c r="C4" s="154"/>
      <c r="D4" s="154"/>
      <c r="E4" s="154"/>
      <c r="F4" s="67"/>
      <c r="G4" s="67"/>
      <c r="H4" s="67"/>
      <c r="I4" s="67"/>
      <c r="J4" s="67"/>
    </row>
    <row r="5" spans="2:22" ht="22.05" customHeight="1">
      <c r="B5" s="67" t="s">
        <v>473</v>
      </c>
      <c r="C5" s="67"/>
      <c r="D5" s="67"/>
      <c r="E5" s="67"/>
      <c r="F5" s="67"/>
      <c r="G5" s="67"/>
      <c r="H5" s="67"/>
      <c r="I5" s="67"/>
      <c r="J5" s="67"/>
    </row>
    <row r="6" spans="2:22" ht="22.05" customHeight="1">
      <c r="B6" s="158"/>
      <c r="C6" s="158"/>
      <c r="D6" s="158"/>
      <c r="E6" s="158"/>
      <c r="F6" s="158"/>
      <c r="G6" s="158"/>
      <c r="H6" s="158"/>
      <c r="I6" s="158"/>
      <c r="J6" s="158"/>
      <c r="M6" s="161"/>
      <c r="N6" s="161"/>
      <c r="O6" s="161"/>
      <c r="P6" s="161"/>
      <c r="Q6" s="161"/>
      <c r="R6" s="161"/>
      <c r="S6" s="161"/>
      <c r="T6" s="161"/>
      <c r="U6" s="161"/>
      <c r="V6" s="161"/>
    </row>
    <row r="7" spans="2:22" ht="37.950000000000003" customHeight="1">
      <c r="B7" s="99" t="s">
        <v>474</v>
      </c>
      <c r="C7" s="620" t="s">
        <v>191</v>
      </c>
      <c r="D7" s="620" t="s">
        <v>192</v>
      </c>
      <c r="E7" s="620" t="s">
        <v>194</v>
      </c>
      <c r="F7" s="620" t="s">
        <v>195</v>
      </c>
      <c r="G7" s="620" t="s">
        <v>196</v>
      </c>
      <c r="H7" s="620"/>
      <c r="I7" s="620" t="s">
        <v>458</v>
      </c>
      <c r="J7" s="620" t="s">
        <v>475</v>
      </c>
      <c r="M7" s="95" t="s">
        <v>476</v>
      </c>
      <c r="N7" s="95" t="s">
        <v>477</v>
      </c>
      <c r="O7" s="95" t="s">
        <v>478</v>
      </c>
      <c r="P7" s="95" t="s">
        <v>479</v>
      </c>
      <c r="Q7" s="95" t="s">
        <v>227</v>
      </c>
      <c r="R7" s="95" t="s">
        <v>228</v>
      </c>
      <c r="S7" s="95" t="s">
        <v>480</v>
      </c>
      <c r="T7" s="95" t="s">
        <v>481</v>
      </c>
      <c r="U7" s="95" t="s">
        <v>482</v>
      </c>
      <c r="V7" s="95" t="s">
        <v>483</v>
      </c>
    </row>
    <row r="8" spans="2:22" ht="22.05" customHeight="1">
      <c r="B8" s="586"/>
      <c r="C8" s="528"/>
      <c r="D8" s="587" t="s">
        <v>232</v>
      </c>
      <c r="E8" s="529">
        <f>Q11</f>
        <v>0</v>
      </c>
      <c r="F8" s="588">
        <v>0</v>
      </c>
      <c r="G8" s="304">
        <f>E8-F8</f>
        <v>0</v>
      </c>
      <c r="H8" s="145"/>
      <c r="I8" s="529">
        <f>T11</f>
        <v>0</v>
      </c>
      <c r="J8" s="588">
        <v>0</v>
      </c>
      <c r="M8" s="590"/>
      <c r="N8" s="590"/>
      <c r="O8" s="590"/>
      <c r="P8" s="590"/>
      <c r="Q8" s="591"/>
      <c r="R8" s="530">
        <f>+Q8*0.16</f>
        <v>0</v>
      </c>
      <c r="S8" s="530">
        <f>+Q8+R8</f>
        <v>0</v>
      </c>
      <c r="T8" s="530">
        <f>+Q8*35%</f>
        <v>0</v>
      </c>
      <c r="U8" s="592"/>
      <c r="V8" s="530">
        <f>+S8-T8-U8</f>
        <v>0</v>
      </c>
    </row>
    <row r="9" spans="2:22" ht="22.05" customHeight="1">
      <c r="B9" s="579"/>
      <c r="C9" s="324"/>
      <c r="D9" s="313" t="s">
        <v>235</v>
      </c>
      <c r="E9" s="320">
        <f>Q17</f>
        <v>0</v>
      </c>
      <c r="F9" s="570">
        <v>0</v>
      </c>
      <c r="G9" s="308">
        <f>E9-F9</f>
        <v>0</v>
      </c>
      <c r="H9" s="325"/>
      <c r="I9" s="320">
        <f>T17</f>
        <v>0</v>
      </c>
      <c r="J9" s="589">
        <v>0</v>
      </c>
      <c r="M9" s="580"/>
      <c r="N9" s="580"/>
      <c r="O9" s="580"/>
      <c r="P9" s="580"/>
      <c r="Q9" s="571"/>
      <c r="R9" s="531">
        <f>+Q9*0.16</f>
        <v>0</v>
      </c>
      <c r="S9" s="531">
        <f>+Q9+R9</f>
        <v>0</v>
      </c>
      <c r="T9" s="531">
        <f>+Q9*35%</f>
        <v>0</v>
      </c>
      <c r="U9" s="593"/>
      <c r="V9" s="531">
        <f>+S9-T9-U9</f>
        <v>0</v>
      </c>
    </row>
    <row r="10" spans="2:22" ht="22.05" customHeight="1">
      <c r="B10" s="579"/>
      <c r="C10" s="324"/>
      <c r="D10" s="313" t="s">
        <v>238</v>
      </c>
      <c r="E10" s="320">
        <f>Q23</f>
        <v>0</v>
      </c>
      <c r="F10" s="570">
        <v>0</v>
      </c>
      <c r="G10" s="308">
        <f t="shared" ref="G10:G19" si="0">E10-F10</f>
        <v>0</v>
      </c>
      <c r="H10" s="325"/>
      <c r="I10" s="320">
        <f>T23</f>
        <v>0</v>
      </c>
      <c r="J10" s="589">
        <v>0</v>
      </c>
      <c r="M10" s="580"/>
      <c r="N10" s="580"/>
      <c r="O10" s="580"/>
      <c r="P10" s="580"/>
      <c r="Q10" s="571"/>
      <c r="R10" s="531">
        <f>+Q10*0.16</f>
        <v>0</v>
      </c>
      <c r="S10" s="531">
        <f>+Q10+R10</f>
        <v>0</v>
      </c>
      <c r="T10" s="531">
        <f>+Q10*35%</f>
        <v>0</v>
      </c>
      <c r="U10" s="593"/>
      <c r="V10" s="531">
        <f>+S10-T10-U10</f>
        <v>0</v>
      </c>
    </row>
    <row r="11" spans="2:22" ht="22.05" customHeight="1">
      <c r="B11" s="579"/>
      <c r="C11" s="324"/>
      <c r="D11" s="313" t="s">
        <v>484</v>
      </c>
      <c r="E11" s="320">
        <f>Q29</f>
        <v>0</v>
      </c>
      <c r="F11" s="570">
        <v>0</v>
      </c>
      <c r="G11" s="308">
        <f t="shared" si="0"/>
        <v>0</v>
      </c>
      <c r="H11" s="325"/>
      <c r="I11" s="320">
        <f>T29</f>
        <v>0</v>
      </c>
      <c r="J11" s="589">
        <v>0</v>
      </c>
      <c r="M11" s="315" t="s">
        <v>485</v>
      </c>
      <c r="N11" s="316"/>
      <c r="O11" s="316"/>
      <c r="P11" s="316"/>
      <c r="Q11" s="333">
        <f t="shared" ref="Q11:V11" si="1">+SUM(Q8:Q10)</f>
        <v>0</v>
      </c>
      <c r="R11" s="333">
        <f t="shared" si="1"/>
        <v>0</v>
      </c>
      <c r="S11" s="333">
        <f t="shared" si="1"/>
        <v>0</v>
      </c>
      <c r="T11" s="333">
        <f t="shared" si="1"/>
        <v>0</v>
      </c>
      <c r="U11" s="333">
        <f t="shared" si="1"/>
        <v>0</v>
      </c>
      <c r="V11" s="333">
        <f t="shared" si="1"/>
        <v>0</v>
      </c>
    </row>
    <row r="12" spans="2:22" ht="22.05" customHeight="1">
      <c r="B12" s="579"/>
      <c r="C12" s="324"/>
      <c r="D12" s="313" t="s">
        <v>486</v>
      </c>
      <c r="E12" s="320">
        <f>Q35</f>
        <v>0</v>
      </c>
      <c r="F12" s="570">
        <v>0</v>
      </c>
      <c r="G12" s="308">
        <f t="shared" si="0"/>
        <v>0</v>
      </c>
      <c r="H12" s="325"/>
      <c r="I12" s="320">
        <f>T35</f>
        <v>0</v>
      </c>
      <c r="J12" s="589">
        <v>0</v>
      </c>
      <c r="M12" s="41"/>
      <c r="N12" s="41"/>
      <c r="O12" s="41"/>
      <c r="P12" s="41"/>
      <c r="Q12" s="92"/>
      <c r="R12" s="41"/>
      <c r="S12" s="41"/>
      <c r="T12" s="41"/>
      <c r="U12" s="41"/>
      <c r="V12" s="41"/>
    </row>
    <row r="13" spans="2:22" ht="22.05" customHeight="1">
      <c r="B13" s="579"/>
      <c r="C13" s="324"/>
      <c r="D13" s="313" t="s">
        <v>487</v>
      </c>
      <c r="E13" s="320">
        <f>Q41</f>
        <v>0</v>
      </c>
      <c r="F13" s="570">
        <v>0</v>
      </c>
      <c r="G13" s="308">
        <f t="shared" si="0"/>
        <v>0</v>
      </c>
      <c r="H13" s="325"/>
      <c r="I13" s="320">
        <f>T41</f>
        <v>0</v>
      </c>
      <c r="J13" s="589">
        <v>0</v>
      </c>
      <c r="M13" s="41"/>
      <c r="N13" s="41"/>
      <c r="O13" s="41"/>
      <c r="P13" s="41"/>
      <c r="Q13" s="92"/>
      <c r="R13" s="41"/>
      <c r="S13" s="41"/>
      <c r="T13" s="41"/>
      <c r="U13" s="41"/>
      <c r="V13" s="41"/>
    </row>
    <row r="14" spans="2:22" ht="22.05" customHeight="1">
      <c r="B14" s="579"/>
      <c r="C14" s="324"/>
      <c r="D14" s="313" t="s">
        <v>488</v>
      </c>
      <c r="E14" s="320">
        <f>Q47</f>
        <v>0</v>
      </c>
      <c r="F14" s="570">
        <v>0</v>
      </c>
      <c r="G14" s="308">
        <f t="shared" si="0"/>
        <v>0</v>
      </c>
      <c r="H14" s="325"/>
      <c r="I14" s="320">
        <f>T47</f>
        <v>0</v>
      </c>
      <c r="J14" s="589">
        <v>0</v>
      </c>
      <c r="M14" s="580"/>
      <c r="N14" s="580"/>
      <c r="O14" s="580"/>
      <c r="P14" s="580"/>
      <c r="Q14" s="571"/>
      <c r="R14" s="532">
        <f>+Q14*0.16</f>
        <v>0</v>
      </c>
      <c r="S14" s="532">
        <f>+Q14+R14</f>
        <v>0</v>
      </c>
      <c r="T14" s="532">
        <f>+Q14*35%</f>
        <v>0</v>
      </c>
      <c r="U14" s="594"/>
      <c r="V14" s="532">
        <f>+S14-T14-U14</f>
        <v>0</v>
      </c>
    </row>
    <row r="15" spans="2:22" ht="22.05" customHeight="1">
      <c r="B15" s="579"/>
      <c r="C15" s="324"/>
      <c r="D15" s="313" t="s">
        <v>489</v>
      </c>
      <c r="E15" s="320">
        <f>Q53</f>
        <v>0</v>
      </c>
      <c r="F15" s="570">
        <v>0</v>
      </c>
      <c r="G15" s="308">
        <f t="shared" si="0"/>
        <v>0</v>
      </c>
      <c r="H15" s="325"/>
      <c r="I15" s="320">
        <f>T53</f>
        <v>0</v>
      </c>
      <c r="J15" s="589">
        <v>0</v>
      </c>
      <c r="M15" s="580"/>
      <c r="N15" s="580"/>
      <c r="O15" s="580"/>
      <c r="P15" s="580"/>
      <c r="Q15" s="571"/>
      <c r="R15" s="531">
        <f>+Q15*0.16</f>
        <v>0</v>
      </c>
      <c r="S15" s="531">
        <f>+Q15+R15</f>
        <v>0</v>
      </c>
      <c r="T15" s="531">
        <f>+Q15*35%</f>
        <v>0</v>
      </c>
      <c r="U15" s="593"/>
      <c r="V15" s="531">
        <f>+S15-T15-U15</f>
        <v>0</v>
      </c>
    </row>
    <row r="16" spans="2:22" ht="22.05" customHeight="1">
      <c r="B16" s="580"/>
      <c r="C16" s="319"/>
      <c r="D16" s="314" t="s">
        <v>255</v>
      </c>
      <c r="E16" s="308">
        <f>Q59</f>
        <v>0</v>
      </c>
      <c r="F16" s="571">
        <v>0</v>
      </c>
      <c r="G16" s="308">
        <f t="shared" si="0"/>
        <v>0</v>
      </c>
      <c r="H16" s="325"/>
      <c r="I16" s="308">
        <f>T59</f>
        <v>0</v>
      </c>
      <c r="J16" s="589">
        <v>0</v>
      </c>
      <c r="M16" s="580"/>
      <c r="N16" s="580"/>
      <c r="O16" s="580"/>
      <c r="P16" s="580"/>
      <c r="Q16" s="571"/>
      <c r="R16" s="531">
        <f>+Q16*0.16</f>
        <v>0</v>
      </c>
      <c r="S16" s="531">
        <f>+Q16+R16</f>
        <v>0</v>
      </c>
      <c r="T16" s="531">
        <f>+Q16*35%</f>
        <v>0</v>
      </c>
      <c r="U16" s="593"/>
      <c r="V16" s="531">
        <f>+S16-T16-U16</f>
        <v>0</v>
      </c>
    </row>
    <row r="17" spans="2:22" ht="22.05" customHeight="1">
      <c r="B17" s="580"/>
      <c r="C17" s="319"/>
      <c r="D17" s="314" t="s">
        <v>258</v>
      </c>
      <c r="E17" s="308">
        <f>Q65</f>
        <v>0</v>
      </c>
      <c r="F17" s="571"/>
      <c r="G17" s="308">
        <f t="shared" si="0"/>
        <v>0</v>
      </c>
      <c r="H17" s="325"/>
      <c r="I17" s="308">
        <f>T65</f>
        <v>0</v>
      </c>
      <c r="J17" s="589">
        <v>0</v>
      </c>
      <c r="M17" s="315" t="s">
        <v>490</v>
      </c>
      <c r="N17" s="316"/>
      <c r="O17" s="316"/>
      <c r="P17" s="316"/>
      <c r="Q17" s="333">
        <f t="shared" ref="Q17:V17" si="2">+SUM(Q14:Q16)</f>
        <v>0</v>
      </c>
      <c r="R17" s="333">
        <f t="shared" si="2"/>
        <v>0</v>
      </c>
      <c r="S17" s="333">
        <f t="shared" si="2"/>
        <v>0</v>
      </c>
      <c r="T17" s="333">
        <f t="shared" si="2"/>
        <v>0</v>
      </c>
      <c r="U17" s="333">
        <f t="shared" si="2"/>
        <v>0</v>
      </c>
      <c r="V17" s="333">
        <f t="shared" si="2"/>
        <v>0</v>
      </c>
    </row>
    <row r="18" spans="2:22" ht="22.05" customHeight="1">
      <c r="B18" s="580"/>
      <c r="C18" s="319"/>
      <c r="D18" s="314" t="s">
        <v>261</v>
      </c>
      <c r="E18" s="308">
        <f>Q71</f>
        <v>0</v>
      </c>
      <c r="F18" s="571"/>
      <c r="G18" s="308">
        <f t="shared" si="0"/>
        <v>0</v>
      </c>
      <c r="H18" s="325"/>
      <c r="I18" s="308">
        <f>T71</f>
        <v>0</v>
      </c>
      <c r="J18" s="589">
        <v>0</v>
      </c>
      <c r="M18" s="41"/>
      <c r="N18" s="41"/>
      <c r="O18" s="41"/>
      <c r="P18" s="41"/>
      <c r="Q18" s="92"/>
      <c r="R18" s="41"/>
      <c r="S18" s="41"/>
      <c r="T18" s="41"/>
      <c r="U18" s="41"/>
      <c r="V18" s="41"/>
    </row>
    <row r="19" spans="2:22" ht="22.05" customHeight="1">
      <c r="B19" s="580"/>
      <c r="C19" s="319"/>
      <c r="D19" s="314" t="s">
        <v>264</v>
      </c>
      <c r="E19" s="308">
        <f>Q77</f>
        <v>0</v>
      </c>
      <c r="F19" s="571"/>
      <c r="G19" s="308">
        <f t="shared" si="0"/>
        <v>0</v>
      </c>
      <c r="H19" s="325"/>
      <c r="I19" s="308">
        <f>T77</f>
        <v>0</v>
      </c>
      <c r="J19" s="589">
        <v>0</v>
      </c>
      <c r="M19" s="41"/>
      <c r="N19" s="41"/>
      <c r="O19" s="41"/>
      <c r="P19" s="41"/>
      <c r="Q19" s="92"/>
      <c r="R19" s="41"/>
      <c r="S19" s="41"/>
      <c r="T19" s="41"/>
      <c r="U19" s="41"/>
      <c r="V19" s="41"/>
    </row>
    <row r="20" spans="2:22" ht="22.05" customHeight="1">
      <c r="B20" s="316"/>
      <c r="C20" s="316"/>
      <c r="D20" s="494" t="s">
        <v>281</v>
      </c>
      <c r="E20" s="326">
        <f>SUM(E8:E19)</f>
        <v>0</v>
      </c>
      <c r="F20" s="326">
        <f>SUM(F8:F19)</f>
        <v>0</v>
      </c>
      <c r="G20" s="326">
        <f>SUM(G8:G19)</f>
        <v>0</v>
      </c>
      <c r="H20" s="516"/>
      <c r="I20" s="326">
        <f>SUM(I8:I19)</f>
        <v>0</v>
      </c>
      <c r="J20" s="326">
        <f>SUM(J8:J19)</f>
        <v>0</v>
      </c>
      <c r="M20" s="580"/>
      <c r="N20" s="580"/>
      <c r="O20" s="580"/>
      <c r="P20" s="580"/>
      <c r="Q20" s="571"/>
      <c r="R20" s="532">
        <f>+Q20*0.16</f>
        <v>0</v>
      </c>
      <c r="S20" s="532">
        <f>+Q20+R20</f>
        <v>0</v>
      </c>
      <c r="T20" s="532">
        <f>+Q20*35%</f>
        <v>0</v>
      </c>
      <c r="U20" s="594"/>
      <c r="V20" s="532">
        <f>+S20-T20-U20</f>
        <v>0</v>
      </c>
    </row>
    <row r="21" spans="2:22" ht="22.05" customHeight="1">
      <c r="M21" s="580"/>
      <c r="N21" s="580"/>
      <c r="O21" s="580"/>
      <c r="P21" s="580"/>
      <c r="Q21" s="571"/>
      <c r="R21" s="531">
        <f>+Q21*0.16</f>
        <v>0</v>
      </c>
      <c r="S21" s="531">
        <f>+Q21+R21</f>
        <v>0</v>
      </c>
      <c r="T21" s="531">
        <f>+Q21*35%</f>
        <v>0</v>
      </c>
      <c r="U21" s="593"/>
      <c r="V21" s="531">
        <f>+S21-T21-U21</f>
        <v>0</v>
      </c>
    </row>
    <row r="22" spans="2:22" ht="22.05" customHeight="1">
      <c r="M22" s="580"/>
      <c r="N22" s="580"/>
      <c r="O22" s="580"/>
      <c r="P22" s="580"/>
      <c r="Q22" s="571"/>
      <c r="R22" s="531">
        <f>+Q22*0.16</f>
        <v>0</v>
      </c>
      <c r="S22" s="531">
        <f>+Q22+R22</f>
        <v>0</v>
      </c>
      <c r="T22" s="531">
        <f>+Q22*35%</f>
        <v>0</v>
      </c>
      <c r="U22" s="593"/>
      <c r="V22" s="531">
        <f>+S22-T22-U22</f>
        <v>0</v>
      </c>
    </row>
    <row r="23" spans="2:22" ht="22.05" customHeight="1">
      <c r="M23" s="315" t="s">
        <v>491</v>
      </c>
      <c r="N23" s="316"/>
      <c r="O23" s="316"/>
      <c r="P23" s="316"/>
      <c r="Q23" s="333">
        <f t="shared" ref="Q23:V23" si="3">+SUM(Q20:Q22)</f>
        <v>0</v>
      </c>
      <c r="R23" s="333">
        <f t="shared" si="3"/>
        <v>0</v>
      </c>
      <c r="S23" s="333">
        <f t="shared" si="3"/>
        <v>0</v>
      </c>
      <c r="T23" s="333">
        <f t="shared" si="3"/>
        <v>0</v>
      </c>
      <c r="U23" s="333">
        <f t="shared" si="3"/>
        <v>0</v>
      </c>
      <c r="V23" s="333">
        <f t="shared" si="3"/>
        <v>0</v>
      </c>
    </row>
    <row r="24" spans="2:22" ht="22.05" customHeight="1">
      <c r="M24" s="41"/>
      <c r="N24" s="41"/>
      <c r="O24" s="41"/>
      <c r="P24" s="41"/>
      <c r="Q24" s="92"/>
      <c r="R24" s="41"/>
      <c r="S24" s="41"/>
      <c r="T24" s="41"/>
      <c r="U24" s="41"/>
      <c r="V24" s="41"/>
    </row>
    <row r="25" spans="2:22" ht="22.05" customHeight="1">
      <c r="M25" s="41"/>
      <c r="N25" s="41"/>
      <c r="O25" s="41"/>
      <c r="P25" s="41"/>
      <c r="Q25" s="92"/>
      <c r="R25" s="41"/>
      <c r="S25" s="41"/>
      <c r="T25" s="41"/>
      <c r="U25" s="41"/>
      <c r="V25" s="41"/>
    </row>
    <row r="26" spans="2:22" ht="22.05" customHeight="1">
      <c r="M26" s="580"/>
      <c r="N26" s="580"/>
      <c r="O26" s="580"/>
      <c r="P26" s="580"/>
      <c r="Q26" s="571"/>
      <c r="R26" s="532">
        <f>+Q26*0.16</f>
        <v>0</v>
      </c>
      <c r="S26" s="532">
        <f>+Q26+R26</f>
        <v>0</v>
      </c>
      <c r="T26" s="532">
        <f>+Q26*35%</f>
        <v>0</v>
      </c>
      <c r="U26" s="594"/>
      <c r="V26" s="532">
        <f>+S26-T26-U26</f>
        <v>0</v>
      </c>
    </row>
    <row r="27" spans="2:22" ht="22.05" customHeight="1">
      <c r="M27" s="580"/>
      <c r="N27" s="580"/>
      <c r="O27" s="580"/>
      <c r="P27" s="580"/>
      <c r="Q27" s="571"/>
      <c r="R27" s="531">
        <f>+Q27*0.16</f>
        <v>0</v>
      </c>
      <c r="S27" s="531">
        <f>+Q27+R27</f>
        <v>0</v>
      </c>
      <c r="T27" s="531">
        <f>+Q27*35%</f>
        <v>0</v>
      </c>
      <c r="U27" s="593"/>
      <c r="V27" s="531">
        <f>+S27-T27-U27</f>
        <v>0</v>
      </c>
    </row>
    <row r="28" spans="2:22" ht="22.05" customHeight="1">
      <c r="M28" s="580"/>
      <c r="N28" s="580"/>
      <c r="O28" s="580"/>
      <c r="P28" s="580"/>
      <c r="Q28" s="571"/>
      <c r="R28" s="531">
        <f>+Q28*0.16</f>
        <v>0</v>
      </c>
      <c r="S28" s="531">
        <f>+Q28+R28</f>
        <v>0</v>
      </c>
      <c r="T28" s="531">
        <f>+Q28*35%</f>
        <v>0</v>
      </c>
      <c r="U28" s="593"/>
      <c r="V28" s="531">
        <f>+S28-T28-U28</f>
        <v>0</v>
      </c>
    </row>
    <row r="29" spans="2:22" ht="22.05" customHeight="1">
      <c r="M29" s="315" t="s">
        <v>492</v>
      </c>
      <c r="N29" s="316"/>
      <c r="O29" s="316"/>
      <c r="P29" s="316"/>
      <c r="Q29" s="333">
        <f t="shared" ref="Q29:V29" si="4">+SUM(Q26:Q28)</f>
        <v>0</v>
      </c>
      <c r="R29" s="333">
        <f t="shared" si="4"/>
        <v>0</v>
      </c>
      <c r="S29" s="333">
        <f t="shared" si="4"/>
        <v>0</v>
      </c>
      <c r="T29" s="333">
        <f t="shared" si="4"/>
        <v>0</v>
      </c>
      <c r="U29" s="333">
        <f t="shared" si="4"/>
        <v>0</v>
      </c>
      <c r="V29" s="333">
        <f t="shared" si="4"/>
        <v>0</v>
      </c>
    </row>
    <row r="30" spans="2:22" ht="22.05" customHeight="1">
      <c r="M30" s="41"/>
      <c r="N30" s="41"/>
      <c r="O30" s="41"/>
      <c r="P30" s="41"/>
      <c r="Q30" s="92"/>
      <c r="R30" s="41"/>
      <c r="S30" s="41"/>
      <c r="T30" s="41"/>
      <c r="U30" s="41"/>
      <c r="V30" s="41"/>
    </row>
    <row r="31" spans="2:22" ht="22.05" customHeight="1">
      <c r="M31" s="41"/>
      <c r="N31" s="41"/>
      <c r="O31" s="41"/>
      <c r="P31" s="41"/>
      <c r="Q31" s="92"/>
      <c r="R31" s="41"/>
      <c r="S31" s="41"/>
      <c r="T31" s="41"/>
      <c r="U31" s="41"/>
      <c r="V31" s="41"/>
    </row>
    <row r="32" spans="2:22" ht="22.05" customHeight="1">
      <c r="M32" s="580"/>
      <c r="N32" s="580"/>
      <c r="O32" s="580"/>
      <c r="P32" s="580"/>
      <c r="Q32" s="571"/>
      <c r="R32" s="532">
        <f>+Q32*0.16</f>
        <v>0</v>
      </c>
      <c r="S32" s="532">
        <f>+Q32+R32</f>
        <v>0</v>
      </c>
      <c r="T32" s="532">
        <f>+Q32*35%</f>
        <v>0</v>
      </c>
      <c r="U32" s="594"/>
      <c r="V32" s="532">
        <f>+S32-T32-U32</f>
        <v>0</v>
      </c>
    </row>
    <row r="33" spans="13:22" ht="22.05" customHeight="1">
      <c r="M33" s="580"/>
      <c r="N33" s="580"/>
      <c r="O33" s="580"/>
      <c r="P33" s="580"/>
      <c r="Q33" s="571"/>
      <c r="R33" s="531">
        <f>+Q33*0.16</f>
        <v>0</v>
      </c>
      <c r="S33" s="531">
        <f>+Q33+R33</f>
        <v>0</v>
      </c>
      <c r="T33" s="531">
        <f>+Q33*35%</f>
        <v>0</v>
      </c>
      <c r="U33" s="593"/>
      <c r="V33" s="531">
        <f>+S33-T33-U33</f>
        <v>0</v>
      </c>
    </row>
    <row r="34" spans="13:22" ht="22.05" customHeight="1">
      <c r="M34" s="580"/>
      <c r="N34" s="580"/>
      <c r="O34" s="580"/>
      <c r="P34" s="580"/>
      <c r="Q34" s="571"/>
      <c r="R34" s="531">
        <f>+Q34*0.16</f>
        <v>0</v>
      </c>
      <c r="S34" s="531">
        <f>+Q34+R34</f>
        <v>0</v>
      </c>
      <c r="T34" s="531">
        <f>+Q34*35%</f>
        <v>0</v>
      </c>
      <c r="U34" s="593"/>
      <c r="V34" s="531">
        <f>+S34-T34-U34</f>
        <v>0</v>
      </c>
    </row>
    <row r="35" spans="13:22" ht="22.05" customHeight="1">
      <c r="M35" s="315" t="s">
        <v>493</v>
      </c>
      <c r="N35" s="316"/>
      <c r="O35" s="316"/>
      <c r="P35" s="316"/>
      <c r="Q35" s="333">
        <f t="shared" ref="Q35:V35" si="5">+SUM(Q32:Q34)</f>
        <v>0</v>
      </c>
      <c r="R35" s="333">
        <f t="shared" si="5"/>
        <v>0</v>
      </c>
      <c r="S35" s="333">
        <f t="shared" si="5"/>
        <v>0</v>
      </c>
      <c r="T35" s="333">
        <f t="shared" si="5"/>
        <v>0</v>
      </c>
      <c r="U35" s="333">
        <f t="shared" si="5"/>
        <v>0</v>
      </c>
      <c r="V35" s="333">
        <f t="shared" si="5"/>
        <v>0</v>
      </c>
    </row>
    <row r="36" spans="13:22" ht="22.05" customHeight="1">
      <c r="M36" s="41"/>
      <c r="N36" s="41"/>
      <c r="O36" s="41"/>
      <c r="P36" s="41"/>
      <c r="Q36" s="92"/>
      <c r="R36" s="41"/>
      <c r="S36" s="41"/>
      <c r="T36" s="41"/>
      <c r="U36" s="41"/>
      <c r="V36" s="41"/>
    </row>
    <row r="37" spans="13:22" ht="22.05" customHeight="1">
      <c r="M37" s="41"/>
      <c r="N37" s="41"/>
      <c r="O37" s="41"/>
      <c r="P37" s="41"/>
      <c r="Q37" s="92"/>
      <c r="R37" s="41"/>
      <c r="S37" s="41"/>
      <c r="T37" s="41"/>
      <c r="U37" s="41"/>
      <c r="V37" s="41"/>
    </row>
    <row r="38" spans="13:22" ht="22.05" customHeight="1">
      <c r="M38" s="580"/>
      <c r="N38" s="580"/>
      <c r="O38" s="580"/>
      <c r="P38" s="580"/>
      <c r="Q38" s="571"/>
      <c r="R38" s="532">
        <f>+Q38*0.16</f>
        <v>0</v>
      </c>
      <c r="S38" s="532">
        <f>+Q38+R38</f>
        <v>0</v>
      </c>
      <c r="T38" s="532">
        <f>+Q38*35%</f>
        <v>0</v>
      </c>
      <c r="U38" s="594"/>
      <c r="V38" s="532">
        <f>+S38-T38-U38</f>
        <v>0</v>
      </c>
    </row>
    <row r="39" spans="13:22" ht="22.05" customHeight="1">
      <c r="M39" s="580"/>
      <c r="N39" s="580"/>
      <c r="O39" s="580"/>
      <c r="P39" s="580"/>
      <c r="Q39" s="571"/>
      <c r="R39" s="531">
        <f>+Q39*0.16</f>
        <v>0</v>
      </c>
      <c r="S39" s="531">
        <f>+Q39+R39</f>
        <v>0</v>
      </c>
      <c r="T39" s="531">
        <f>+Q39*35%</f>
        <v>0</v>
      </c>
      <c r="U39" s="593"/>
      <c r="V39" s="531">
        <f>+S39-T39-U39</f>
        <v>0</v>
      </c>
    </row>
    <row r="40" spans="13:22" ht="22.05" customHeight="1">
      <c r="M40" s="580"/>
      <c r="N40" s="580"/>
      <c r="O40" s="580"/>
      <c r="P40" s="580"/>
      <c r="Q40" s="571"/>
      <c r="R40" s="531">
        <f>+Q40*0.16</f>
        <v>0</v>
      </c>
      <c r="S40" s="531">
        <f>+Q40+R40</f>
        <v>0</v>
      </c>
      <c r="T40" s="531">
        <f>+Q40*35%</f>
        <v>0</v>
      </c>
      <c r="U40" s="593"/>
      <c r="V40" s="531">
        <f>+S40-T40-U40</f>
        <v>0</v>
      </c>
    </row>
    <row r="41" spans="13:22" ht="22.05" customHeight="1">
      <c r="M41" s="315" t="s">
        <v>494</v>
      </c>
      <c r="N41" s="316"/>
      <c r="O41" s="316"/>
      <c r="P41" s="316"/>
      <c r="Q41" s="333">
        <f t="shared" ref="Q41:V41" si="6">+SUM(Q38:Q40)</f>
        <v>0</v>
      </c>
      <c r="R41" s="333">
        <f t="shared" si="6"/>
        <v>0</v>
      </c>
      <c r="S41" s="333">
        <f t="shared" si="6"/>
        <v>0</v>
      </c>
      <c r="T41" s="333">
        <f t="shared" si="6"/>
        <v>0</v>
      </c>
      <c r="U41" s="333">
        <f t="shared" si="6"/>
        <v>0</v>
      </c>
      <c r="V41" s="333">
        <f t="shared" si="6"/>
        <v>0</v>
      </c>
    </row>
    <row r="42" spans="13:22" ht="22.05" customHeight="1">
      <c r="M42" s="41"/>
      <c r="N42" s="41"/>
      <c r="O42" s="41"/>
      <c r="P42" s="41"/>
      <c r="Q42" s="92"/>
      <c r="R42" s="41"/>
      <c r="S42" s="41"/>
      <c r="T42" s="41"/>
      <c r="U42" s="41"/>
      <c r="V42" s="41"/>
    </row>
    <row r="43" spans="13:22" ht="22.05" customHeight="1">
      <c r="M43" s="41"/>
      <c r="N43" s="41"/>
      <c r="O43" s="41"/>
      <c r="P43" s="41"/>
      <c r="Q43" s="92"/>
      <c r="R43" s="41"/>
      <c r="S43" s="41"/>
      <c r="T43" s="41"/>
      <c r="U43" s="41"/>
      <c r="V43" s="41"/>
    </row>
    <row r="44" spans="13:22" ht="22.05" customHeight="1">
      <c r="M44" s="580"/>
      <c r="N44" s="580"/>
      <c r="O44" s="580"/>
      <c r="P44" s="580"/>
      <c r="Q44" s="571"/>
      <c r="R44" s="532">
        <f>+Q44*0.16</f>
        <v>0</v>
      </c>
      <c r="S44" s="532">
        <f>+Q44+R44</f>
        <v>0</v>
      </c>
      <c r="T44" s="532">
        <f>+Q44*35%</f>
        <v>0</v>
      </c>
      <c r="U44" s="594"/>
      <c r="V44" s="532">
        <f>+S44-T44-U44</f>
        <v>0</v>
      </c>
    </row>
    <row r="45" spans="13:22" ht="22.05" customHeight="1">
      <c r="M45" s="580"/>
      <c r="N45" s="580"/>
      <c r="O45" s="580"/>
      <c r="P45" s="580"/>
      <c r="Q45" s="571"/>
      <c r="R45" s="531">
        <f>+Q45*0.16</f>
        <v>0</v>
      </c>
      <c r="S45" s="531">
        <f>+Q45+R45</f>
        <v>0</v>
      </c>
      <c r="T45" s="531">
        <f>+Q45*35%</f>
        <v>0</v>
      </c>
      <c r="U45" s="593"/>
      <c r="V45" s="531">
        <f>+S45-T45-U45</f>
        <v>0</v>
      </c>
    </row>
    <row r="46" spans="13:22" ht="22.05" customHeight="1">
      <c r="M46" s="580"/>
      <c r="N46" s="580"/>
      <c r="O46" s="580"/>
      <c r="P46" s="580"/>
      <c r="Q46" s="571"/>
      <c r="R46" s="531">
        <f>+Q46*0.16</f>
        <v>0</v>
      </c>
      <c r="S46" s="531">
        <f>+Q46+R46</f>
        <v>0</v>
      </c>
      <c r="T46" s="531">
        <f>+Q46*35%</f>
        <v>0</v>
      </c>
      <c r="U46" s="593"/>
      <c r="V46" s="531">
        <f>+S46-T46-U46</f>
        <v>0</v>
      </c>
    </row>
    <row r="47" spans="13:22" ht="22.05" customHeight="1">
      <c r="M47" s="315" t="s">
        <v>495</v>
      </c>
      <c r="N47" s="316"/>
      <c r="O47" s="316"/>
      <c r="P47" s="316"/>
      <c r="Q47" s="333">
        <f t="shared" ref="Q47:V47" si="7">+SUM(Q44:Q46)</f>
        <v>0</v>
      </c>
      <c r="R47" s="333">
        <f t="shared" si="7"/>
        <v>0</v>
      </c>
      <c r="S47" s="333">
        <f t="shared" si="7"/>
        <v>0</v>
      </c>
      <c r="T47" s="333">
        <f t="shared" si="7"/>
        <v>0</v>
      </c>
      <c r="U47" s="333">
        <f t="shared" si="7"/>
        <v>0</v>
      </c>
      <c r="V47" s="333">
        <f t="shared" si="7"/>
        <v>0</v>
      </c>
    </row>
    <row r="48" spans="13:22" ht="22.05" customHeight="1">
      <c r="M48" s="41"/>
      <c r="N48" s="41"/>
      <c r="O48" s="41"/>
      <c r="P48" s="41"/>
      <c r="Q48" s="92"/>
      <c r="R48" s="41"/>
      <c r="S48" s="41"/>
      <c r="T48" s="41"/>
      <c r="U48" s="41"/>
      <c r="V48" s="41"/>
    </row>
    <row r="49" spans="13:22" ht="22.05" customHeight="1">
      <c r="M49" s="41"/>
      <c r="N49" s="41"/>
      <c r="O49" s="41"/>
      <c r="P49" s="41"/>
      <c r="Q49" s="92"/>
      <c r="R49" s="41"/>
      <c r="S49" s="41"/>
      <c r="T49" s="41"/>
      <c r="U49" s="41"/>
      <c r="V49" s="41"/>
    </row>
    <row r="50" spans="13:22" ht="22.05" customHeight="1">
      <c r="M50" s="580"/>
      <c r="N50" s="580"/>
      <c r="O50" s="580"/>
      <c r="P50" s="580"/>
      <c r="Q50" s="571"/>
      <c r="R50" s="532">
        <f>+Q50*0.16</f>
        <v>0</v>
      </c>
      <c r="S50" s="532">
        <f>+Q50+R50</f>
        <v>0</v>
      </c>
      <c r="T50" s="532">
        <f>+Q50*35%</f>
        <v>0</v>
      </c>
      <c r="U50" s="594"/>
      <c r="V50" s="532">
        <f>+S50-T50-U50</f>
        <v>0</v>
      </c>
    </row>
    <row r="51" spans="13:22" ht="22.05" customHeight="1">
      <c r="M51" s="580"/>
      <c r="N51" s="580"/>
      <c r="O51" s="580"/>
      <c r="P51" s="580"/>
      <c r="Q51" s="571"/>
      <c r="R51" s="531">
        <f>+Q51*0.16</f>
        <v>0</v>
      </c>
      <c r="S51" s="531">
        <f>+Q51+R51</f>
        <v>0</v>
      </c>
      <c r="T51" s="531">
        <f>+Q51*35%</f>
        <v>0</v>
      </c>
      <c r="U51" s="593"/>
      <c r="V51" s="531">
        <f>+S51-T51-U51</f>
        <v>0</v>
      </c>
    </row>
    <row r="52" spans="13:22" ht="22.05" customHeight="1">
      <c r="M52" s="580"/>
      <c r="N52" s="580"/>
      <c r="O52" s="580"/>
      <c r="P52" s="580"/>
      <c r="Q52" s="571"/>
      <c r="R52" s="531">
        <f>+Q52*0.16</f>
        <v>0</v>
      </c>
      <c r="S52" s="531">
        <f>+Q52+R52</f>
        <v>0</v>
      </c>
      <c r="T52" s="531">
        <f>+Q52*35%</f>
        <v>0</v>
      </c>
      <c r="U52" s="593"/>
      <c r="V52" s="531">
        <f>+S52-T52-U52</f>
        <v>0</v>
      </c>
    </row>
    <row r="53" spans="13:22" ht="22.05" customHeight="1">
      <c r="M53" s="315" t="s">
        <v>496</v>
      </c>
      <c r="N53" s="316"/>
      <c r="O53" s="316"/>
      <c r="P53" s="316"/>
      <c r="Q53" s="333">
        <f t="shared" ref="Q53:V53" si="8">+SUM(Q50:Q52)</f>
        <v>0</v>
      </c>
      <c r="R53" s="333">
        <f t="shared" si="8"/>
        <v>0</v>
      </c>
      <c r="S53" s="333">
        <f t="shared" si="8"/>
        <v>0</v>
      </c>
      <c r="T53" s="333">
        <f t="shared" si="8"/>
        <v>0</v>
      </c>
      <c r="U53" s="333">
        <f t="shared" si="8"/>
        <v>0</v>
      </c>
      <c r="V53" s="333">
        <f t="shared" si="8"/>
        <v>0</v>
      </c>
    </row>
    <row r="54" spans="13:22" ht="22.05" customHeight="1">
      <c r="M54" s="41"/>
      <c r="N54" s="41"/>
      <c r="O54" s="41"/>
      <c r="P54" s="41"/>
      <c r="Q54" s="92"/>
      <c r="R54" s="41"/>
      <c r="S54" s="41"/>
      <c r="T54" s="41"/>
      <c r="U54" s="41"/>
      <c r="V54" s="41"/>
    </row>
    <row r="55" spans="13:22" ht="22.05" customHeight="1">
      <c r="M55" s="41"/>
      <c r="N55" s="41"/>
      <c r="O55" s="41"/>
      <c r="P55" s="41"/>
      <c r="Q55" s="92"/>
      <c r="R55" s="41"/>
      <c r="S55" s="41"/>
      <c r="T55" s="41"/>
      <c r="U55" s="41"/>
      <c r="V55" s="41"/>
    </row>
    <row r="56" spans="13:22" ht="22.05" customHeight="1">
      <c r="M56" s="580"/>
      <c r="N56" s="580"/>
      <c r="O56" s="580"/>
      <c r="P56" s="580"/>
      <c r="Q56" s="571"/>
      <c r="R56" s="532">
        <f>+Q56*0.16</f>
        <v>0</v>
      </c>
      <c r="S56" s="532">
        <f>+Q56+R56</f>
        <v>0</v>
      </c>
      <c r="T56" s="532">
        <f>+Q56*35%</f>
        <v>0</v>
      </c>
      <c r="U56" s="594"/>
      <c r="V56" s="532">
        <f>+S56-T56-U56</f>
        <v>0</v>
      </c>
    </row>
    <row r="57" spans="13:22" ht="22.05" customHeight="1">
      <c r="M57" s="580"/>
      <c r="N57" s="580"/>
      <c r="O57" s="580"/>
      <c r="P57" s="580"/>
      <c r="Q57" s="571"/>
      <c r="R57" s="531">
        <f>+Q57*0.16</f>
        <v>0</v>
      </c>
      <c r="S57" s="531">
        <f>+Q57+R57</f>
        <v>0</v>
      </c>
      <c r="T57" s="531">
        <f>+Q57*35%</f>
        <v>0</v>
      </c>
      <c r="U57" s="593"/>
      <c r="V57" s="531">
        <f>+S57-T57-U57</f>
        <v>0</v>
      </c>
    </row>
    <row r="58" spans="13:22" ht="22.05" customHeight="1">
      <c r="M58" s="580"/>
      <c r="N58" s="580"/>
      <c r="O58" s="580"/>
      <c r="P58" s="580"/>
      <c r="Q58" s="571"/>
      <c r="R58" s="531">
        <f>+Q58*0.16</f>
        <v>0</v>
      </c>
      <c r="S58" s="531">
        <f>+Q58+R58</f>
        <v>0</v>
      </c>
      <c r="T58" s="531">
        <f>+Q58*35%</f>
        <v>0</v>
      </c>
      <c r="U58" s="593"/>
      <c r="V58" s="531">
        <f>+S58-T58-U58</f>
        <v>0</v>
      </c>
    </row>
    <row r="59" spans="13:22" ht="22.05" customHeight="1">
      <c r="M59" s="315" t="s">
        <v>497</v>
      </c>
      <c r="N59" s="316"/>
      <c r="O59" s="316"/>
      <c r="P59" s="316"/>
      <c r="Q59" s="333">
        <f t="shared" ref="Q59:V59" si="9">+SUM(Q56:Q58)</f>
        <v>0</v>
      </c>
      <c r="R59" s="333">
        <f t="shared" si="9"/>
        <v>0</v>
      </c>
      <c r="S59" s="333">
        <f t="shared" si="9"/>
        <v>0</v>
      </c>
      <c r="T59" s="333">
        <f t="shared" si="9"/>
        <v>0</v>
      </c>
      <c r="U59" s="333">
        <f t="shared" si="9"/>
        <v>0</v>
      </c>
      <c r="V59" s="333">
        <f t="shared" si="9"/>
        <v>0</v>
      </c>
    </row>
    <row r="60" spans="13:22" ht="22.05" customHeight="1">
      <c r="M60" s="41"/>
      <c r="N60" s="41"/>
      <c r="O60" s="41"/>
      <c r="P60" s="41"/>
      <c r="Q60" s="92"/>
      <c r="R60" s="41"/>
      <c r="S60" s="41"/>
      <c r="T60" s="41"/>
      <c r="U60" s="41"/>
      <c r="V60" s="41"/>
    </row>
    <row r="61" spans="13:22" ht="22.05" customHeight="1">
      <c r="M61" s="41"/>
      <c r="N61" s="41"/>
      <c r="O61" s="41"/>
      <c r="P61" s="41"/>
      <c r="Q61" s="92"/>
      <c r="R61" s="41"/>
      <c r="S61" s="41"/>
      <c r="T61" s="41"/>
      <c r="U61" s="41"/>
      <c r="V61" s="41"/>
    </row>
    <row r="62" spans="13:22" ht="22.05" customHeight="1">
      <c r="M62" s="580"/>
      <c r="N62" s="580"/>
      <c r="O62" s="580"/>
      <c r="P62" s="580"/>
      <c r="Q62" s="571"/>
      <c r="R62" s="532">
        <f>+Q62*0.16</f>
        <v>0</v>
      </c>
      <c r="S62" s="532">
        <f>+Q62+R62</f>
        <v>0</v>
      </c>
      <c r="T62" s="532">
        <f>+Q62*35%</f>
        <v>0</v>
      </c>
      <c r="U62" s="594"/>
      <c r="V62" s="532">
        <f>+S62-T62-U62</f>
        <v>0</v>
      </c>
    </row>
    <row r="63" spans="13:22" ht="22.05" customHeight="1">
      <c r="M63" s="580"/>
      <c r="N63" s="580"/>
      <c r="O63" s="580"/>
      <c r="P63" s="580"/>
      <c r="Q63" s="571"/>
      <c r="R63" s="531">
        <f>+Q63*0.16</f>
        <v>0</v>
      </c>
      <c r="S63" s="531">
        <f>+Q63+R63</f>
        <v>0</v>
      </c>
      <c r="T63" s="531">
        <f>+Q63*35%</f>
        <v>0</v>
      </c>
      <c r="U63" s="593"/>
      <c r="V63" s="531">
        <f>+S63-T63-U63</f>
        <v>0</v>
      </c>
    </row>
    <row r="64" spans="13:22" ht="22.05" customHeight="1">
      <c r="M64" s="580"/>
      <c r="N64" s="580"/>
      <c r="O64" s="580"/>
      <c r="P64" s="580"/>
      <c r="Q64" s="571"/>
      <c r="R64" s="531">
        <f>+Q64*0.16</f>
        <v>0</v>
      </c>
      <c r="S64" s="531">
        <f>+Q64+R64</f>
        <v>0</v>
      </c>
      <c r="T64" s="531">
        <f>+Q64*35%</f>
        <v>0</v>
      </c>
      <c r="U64" s="593"/>
      <c r="V64" s="531">
        <f>+S64-T64-U64</f>
        <v>0</v>
      </c>
    </row>
    <row r="65" spans="13:22" ht="22.05" customHeight="1">
      <c r="M65" s="315" t="s">
        <v>498</v>
      </c>
      <c r="N65" s="316"/>
      <c r="O65" s="316"/>
      <c r="P65" s="316"/>
      <c r="Q65" s="333">
        <f t="shared" ref="Q65:V65" si="10">+SUM(Q62:Q64)</f>
        <v>0</v>
      </c>
      <c r="R65" s="333">
        <f t="shared" si="10"/>
        <v>0</v>
      </c>
      <c r="S65" s="333">
        <f t="shared" si="10"/>
        <v>0</v>
      </c>
      <c r="T65" s="333">
        <f t="shared" si="10"/>
        <v>0</v>
      </c>
      <c r="U65" s="333">
        <f t="shared" si="10"/>
        <v>0</v>
      </c>
      <c r="V65" s="333">
        <f t="shared" si="10"/>
        <v>0</v>
      </c>
    </row>
    <row r="66" spans="13:22" ht="22.05" customHeight="1">
      <c r="M66" s="41"/>
      <c r="N66" s="41"/>
      <c r="O66" s="41"/>
      <c r="P66" s="41"/>
      <c r="Q66" s="92"/>
      <c r="R66" s="41"/>
      <c r="S66" s="41"/>
      <c r="T66" s="41"/>
      <c r="U66" s="41"/>
      <c r="V66" s="41"/>
    </row>
    <row r="67" spans="13:22" ht="22.05" customHeight="1">
      <c r="M67" s="41"/>
      <c r="N67" s="41"/>
      <c r="O67" s="41"/>
      <c r="P67" s="41"/>
      <c r="Q67" s="92"/>
      <c r="R67" s="41"/>
      <c r="S67" s="41"/>
      <c r="T67" s="41"/>
      <c r="U67" s="41"/>
      <c r="V67" s="41"/>
    </row>
    <row r="68" spans="13:22" ht="22.05" customHeight="1">
      <c r="M68" s="580"/>
      <c r="N68" s="580"/>
      <c r="O68" s="580"/>
      <c r="P68" s="580"/>
      <c r="Q68" s="571"/>
      <c r="R68" s="532">
        <f>+Q68*0.16</f>
        <v>0</v>
      </c>
      <c r="S68" s="532">
        <f>+Q68+R68</f>
        <v>0</v>
      </c>
      <c r="T68" s="532">
        <f>+Q68*35%</f>
        <v>0</v>
      </c>
      <c r="U68" s="594"/>
      <c r="V68" s="532">
        <f>+S68-T68-U68</f>
        <v>0</v>
      </c>
    </row>
    <row r="69" spans="13:22" ht="22.05" customHeight="1">
      <c r="M69" s="580"/>
      <c r="N69" s="580"/>
      <c r="O69" s="580"/>
      <c r="P69" s="580"/>
      <c r="Q69" s="571"/>
      <c r="R69" s="531">
        <f>+Q69*0.16</f>
        <v>0</v>
      </c>
      <c r="S69" s="531">
        <f>+Q69+R69</f>
        <v>0</v>
      </c>
      <c r="T69" s="531">
        <f>+Q69*35%</f>
        <v>0</v>
      </c>
      <c r="U69" s="593"/>
      <c r="V69" s="531">
        <f>+S69-T69-U69</f>
        <v>0</v>
      </c>
    </row>
    <row r="70" spans="13:22" ht="22.05" customHeight="1">
      <c r="M70" s="580"/>
      <c r="N70" s="580"/>
      <c r="O70" s="580"/>
      <c r="P70" s="580"/>
      <c r="Q70" s="571"/>
      <c r="R70" s="531">
        <f>+Q70*0.16</f>
        <v>0</v>
      </c>
      <c r="S70" s="531">
        <f>+Q70+R70</f>
        <v>0</v>
      </c>
      <c r="T70" s="531">
        <f>+Q70*35%</f>
        <v>0</v>
      </c>
      <c r="U70" s="593"/>
      <c r="V70" s="531">
        <f>+S70-T70-U70</f>
        <v>0</v>
      </c>
    </row>
    <row r="71" spans="13:22" ht="22.05" customHeight="1">
      <c r="M71" s="315" t="s">
        <v>499</v>
      </c>
      <c r="N71" s="316"/>
      <c r="O71" s="316"/>
      <c r="P71" s="316"/>
      <c r="Q71" s="333">
        <f t="shared" ref="Q71:V71" si="11">+SUM(Q68:Q70)</f>
        <v>0</v>
      </c>
      <c r="R71" s="333">
        <f t="shared" si="11"/>
        <v>0</v>
      </c>
      <c r="S71" s="333">
        <f t="shared" si="11"/>
        <v>0</v>
      </c>
      <c r="T71" s="333">
        <f t="shared" si="11"/>
        <v>0</v>
      </c>
      <c r="U71" s="333">
        <f t="shared" si="11"/>
        <v>0</v>
      </c>
      <c r="V71" s="333">
        <f t="shared" si="11"/>
        <v>0</v>
      </c>
    </row>
    <row r="72" spans="13:22" ht="22.05" customHeight="1">
      <c r="M72" s="41"/>
      <c r="N72" s="41"/>
      <c r="O72" s="41"/>
      <c r="P72" s="41"/>
      <c r="Q72" s="92"/>
      <c r="R72" s="41"/>
      <c r="S72" s="41"/>
      <c r="T72" s="41"/>
      <c r="U72" s="41"/>
      <c r="V72" s="41"/>
    </row>
    <row r="73" spans="13:22" ht="22.05" customHeight="1">
      <c r="M73" s="41"/>
      <c r="N73" s="41"/>
      <c r="O73" s="41"/>
      <c r="P73" s="41"/>
      <c r="Q73" s="92"/>
      <c r="R73" s="41"/>
      <c r="S73" s="41"/>
      <c r="T73" s="41"/>
      <c r="U73" s="41"/>
      <c r="V73" s="41"/>
    </row>
    <row r="74" spans="13:22" ht="22.05" customHeight="1">
      <c r="M74" s="580"/>
      <c r="N74" s="580"/>
      <c r="O74" s="580"/>
      <c r="P74" s="580"/>
      <c r="Q74" s="571"/>
      <c r="R74" s="532">
        <f>+Q74*0.16</f>
        <v>0</v>
      </c>
      <c r="S74" s="532">
        <f>+Q74+R74</f>
        <v>0</v>
      </c>
      <c r="T74" s="532">
        <f>+Q74*35%</f>
        <v>0</v>
      </c>
      <c r="U74" s="594"/>
      <c r="V74" s="532">
        <f>+S74-T74-U74</f>
        <v>0</v>
      </c>
    </row>
    <row r="75" spans="13:22" ht="22.05" customHeight="1">
      <c r="M75" s="580"/>
      <c r="N75" s="580"/>
      <c r="O75" s="580"/>
      <c r="P75" s="580"/>
      <c r="Q75" s="571"/>
      <c r="R75" s="531">
        <f>+Q75*0.16</f>
        <v>0</v>
      </c>
      <c r="S75" s="531">
        <f>+Q75+R75</f>
        <v>0</v>
      </c>
      <c r="T75" s="531">
        <f>+Q75*35%</f>
        <v>0</v>
      </c>
      <c r="U75" s="593"/>
      <c r="V75" s="531">
        <f>+S75-T75-U75</f>
        <v>0</v>
      </c>
    </row>
    <row r="76" spans="13:22" ht="22.05" customHeight="1">
      <c r="M76" s="580"/>
      <c r="N76" s="580"/>
      <c r="O76" s="580"/>
      <c r="P76" s="580"/>
      <c r="Q76" s="571"/>
      <c r="R76" s="531">
        <f>+Q76*0.16</f>
        <v>0</v>
      </c>
      <c r="S76" s="531">
        <f>+Q76+R76</f>
        <v>0</v>
      </c>
      <c r="T76" s="531">
        <f>+Q76*35%</f>
        <v>0</v>
      </c>
      <c r="U76" s="593"/>
      <c r="V76" s="531">
        <f>+S76-T76-U76</f>
        <v>0</v>
      </c>
    </row>
    <row r="77" spans="13:22" ht="22.05" customHeight="1">
      <c r="M77" s="315" t="s">
        <v>500</v>
      </c>
      <c r="N77" s="316"/>
      <c r="O77" s="316"/>
      <c r="P77" s="316"/>
      <c r="Q77" s="333">
        <f t="shared" ref="Q77:V77" si="12">+SUM(Q74:Q76)</f>
        <v>0</v>
      </c>
      <c r="R77" s="333">
        <f t="shared" si="12"/>
        <v>0</v>
      </c>
      <c r="S77" s="333">
        <f t="shared" si="12"/>
        <v>0</v>
      </c>
      <c r="T77" s="333">
        <f t="shared" si="12"/>
        <v>0</v>
      </c>
      <c r="U77" s="333">
        <f t="shared" si="12"/>
        <v>0</v>
      </c>
      <c r="V77" s="333">
        <f t="shared" si="12"/>
        <v>0</v>
      </c>
    </row>
    <row r="78" spans="13:22" ht="22.05" customHeight="1"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13:22" ht="22.05" customHeight="1">
      <c r="M79" s="498"/>
      <c r="N79" s="498"/>
      <c r="O79" s="498"/>
      <c r="P79" s="533" t="s">
        <v>281</v>
      </c>
      <c r="Q79" s="312">
        <f t="shared" ref="Q79:V79" si="13">+Q11+Q17+Q23+Q29+Q35+Q41+Q47+Q53+Q59+Q65+Q71+Q77</f>
        <v>0</v>
      </c>
      <c r="R79" s="312">
        <f t="shared" si="13"/>
        <v>0</v>
      </c>
      <c r="S79" s="312">
        <f t="shared" si="13"/>
        <v>0</v>
      </c>
      <c r="T79" s="312">
        <f t="shared" si="13"/>
        <v>0</v>
      </c>
      <c r="U79" s="312">
        <f t="shared" si="13"/>
        <v>0</v>
      </c>
      <c r="V79" s="312">
        <f t="shared" si="13"/>
        <v>0</v>
      </c>
    </row>
    <row r="80" spans="13:22" ht="22.05" customHeight="1"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13:22" ht="22.05" customHeight="1"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3:22" ht="22.05" customHeight="1"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13:22" ht="22.05" customHeight="1">
      <c r="M83" s="41"/>
      <c r="N83" s="41"/>
      <c r="O83" s="41"/>
      <c r="P83" s="180"/>
      <c r="Q83" s="40"/>
      <c r="R83" s="40"/>
      <c r="S83" s="40"/>
      <c r="T83" s="40"/>
      <c r="U83" s="40"/>
      <c r="V83" s="40"/>
    </row>
    <row r="84" spans="13:22" ht="22.05" customHeight="1">
      <c r="M84" s="41"/>
      <c r="N84" s="41"/>
      <c r="O84" s="41"/>
      <c r="P84" s="180"/>
      <c r="Q84" s="40"/>
      <c r="R84" s="40"/>
      <c r="S84" s="40"/>
      <c r="T84" s="40"/>
      <c r="U84" s="40"/>
      <c r="V84" s="40"/>
    </row>
    <row r="85" spans="13:22" ht="22.05" customHeight="1">
      <c r="M85" s="41"/>
      <c r="N85" s="41"/>
      <c r="O85" s="41"/>
      <c r="P85" s="181"/>
      <c r="Q85" s="88">
        <f>+SUM(Q83:Q84)</f>
        <v>0</v>
      </c>
      <c r="R85" s="88">
        <f t="shared" ref="R85:V85" si="14">+SUM(R83:R84)</f>
        <v>0</v>
      </c>
      <c r="S85" s="88">
        <f t="shared" si="14"/>
        <v>0</v>
      </c>
      <c r="T85" s="88">
        <f t="shared" si="14"/>
        <v>0</v>
      </c>
      <c r="U85" s="88">
        <f t="shared" si="14"/>
        <v>0</v>
      </c>
      <c r="V85" s="88">
        <f t="shared" si="14"/>
        <v>0</v>
      </c>
    </row>
  </sheetData>
  <sheetProtection formatCells="0" formatColumns="0" formatRows="0" insertColumns="0" insertRows="0" deleteColumns="0" deleteRows="0"/>
  <printOptions horizontalCentered="1"/>
  <pageMargins left="0.7" right="0.7" top="0.75" bottom="0.75" header="0.3" footer="0.3"/>
  <pageSetup scale="3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2:L117"/>
  <sheetViews>
    <sheetView topLeftCell="A80" zoomScale="110" zoomScaleNormal="110" zoomScaleSheetLayoutView="90" zoomScalePageLayoutView="140" workbookViewId="0">
      <selection activeCell="E114" sqref="E114"/>
    </sheetView>
  </sheetViews>
  <sheetFormatPr defaultColWidth="10.796875" defaultRowHeight="22.95" customHeight="1"/>
  <cols>
    <col min="1" max="1" width="10.796875" style="41"/>
    <col min="2" max="2" width="32.796875" style="41" customWidth="1"/>
    <col min="3" max="3" width="32.5" style="41" customWidth="1"/>
    <col min="4" max="4" width="53" style="41" customWidth="1"/>
    <col min="5" max="5" width="31" style="41" customWidth="1"/>
    <col min="6" max="6" width="25" style="41" customWidth="1"/>
    <col min="7" max="9" width="22.19921875" style="41" customWidth="1"/>
    <col min="10" max="10" width="10.796875" style="41"/>
    <col min="11" max="11" width="12.796875" style="41" bestFit="1" customWidth="1"/>
    <col min="12" max="12" width="33.69921875" style="41" bestFit="1" customWidth="1"/>
    <col min="13" max="13" width="20.69921875" style="41" bestFit="1" customWidth="1"/>
    <col min="14" max="14" width="31.69921875" style="41" bestFit="1" customWidth="1"/>
    <col min="15" max="15" width="18.796875" style="41" customWidth="1"/>
    <col min="16" max="16384" width="10.796875" style="41"/>
  </cols>
  <sheetData>
    <row r="2" spans="2:9" ht="22.95" customHeight="1">
      <c r="B2" s="157" t="str">
        <f>Datos!C6</f>
        <v>NOMBRE EN MAYUSCULAS</v>
      </c>
      <c r="C2" s="154"/>
      <c r="D2" s="154"/>
      <c r="E2" s="154"/>
      <c r="F2" s="154"/>
      <c r="G2" s="154"/>
      <c r="H2" s="154"/>
      <c r="I2" s="154"/>
    </row>
    <row r="3" spans="2:9" ht="22.95" customHeight="1">
      <c r="B3" s="154" t="s">
        <v>501</v>
      </c>
      <c r="C3" s="154"/>
      <c r="D3" s="154"/>
      <c r="E3" s="154"/>
      <c r="F3" s="154"/>
      <c r="G3" s="154"/>
      <c r="H3" s="154"/>
      <c r="I3" s="154"/>
    </row>
    <row r="4" spans="2:9" ht="22.95" customHeight="1">
      <c r="B4" s="158"/>
      <c r="C4" s="158"/>
      <c r="D4" s="158"/>
      <c r="E4" s="158"/>
      <c r="F4" s="158"/>
      <c r="G4" s="158"/>
      <c r="H4" s="158"/>
      <c r="I4" s="158"/>
    </row>
    <row r="5" spans="2:9" ht="22.95" customHeight="1">
      <c r="B5" s="95" t="s">
        <v>502</v>
      </c>
      <c r="C5" s="95" t="s">
        <v>478</v>
      </c>
      <c r="D5" s="95" t="s">
        <v>503</v>
      </c>
      <c r="E5" s="95" t="s">
        <v>191</v>
      </c>
      <c r="F5" s="95" t="s">
        <v>504</v>
      </c>
      <c r="G5" s="95" t="s">
        <v>227</v>
      </c>
      <c r="H5" s="95" t="s">
        <v>505</v>
      </c>
      <c r="I5" s="95" t="s">
        <v>213</v>
      </c>
    </row>
    <row r="6" spans="2:9" ht="22.95" customHeight="1">
      <c r="B6" s="313"/>
      <c r="C6" s="523"/>
      <c r="D6" s="336"/>
      <c r="E6" s="313"/>
      <c r="F6" s="313"/>
      <c r="G6" s="320"/>
      <c r="H6" s="320"/>
      <c r="I6" s="308">
        <f t="shared" ref="I6:I26" si="0">+G6+H6</f>
        <v>0</v>
      </c>
    </row>
    <row r="7" spans="2:9" ht="22.95" customHeight="1">
      <c r="B7" s="569"/>
      <c r="C7" s="595"/>
      <c r="D7" s="568"/>
      <c r="E7" s="569"/>
      <c r="F7" s="569"/>
      <c r="G7" s="570"/>
      <c r="H7" s="570"/>
      <c r="I7" s="308">
        <f t="shared" si="0"/>
        <v>0</v>
      </c>
    </row>
    <row r="8" spans="2:9" ht="22.95" customHeight="1">
      <c r="B8" s="569"/>
      <c r="C8" s="595"/>
      <c r="D8" s="568"/>
      <c r="E8" s="569"/>
      <c r="F8" s="569"/>
      <c r="G8" s="570"/>
      <c r="H8" s="570"/>
      <c r="I8" s="308">
        <f t="shared" si="0"/>
        <v>0</v>
      </c>
    </row>
    <row r="9" spans="2:9" ht="22.95" customHeight="1">
      <c r="B9" s="569"/>
      <c r="C9" s="595"/>
      <c r="D9" s="568"/>
      <c r="E9" s="569"/>
      <c r="F9" s="569"/>
      <c r="G9" s="570"/>
      <c r="H9" s="570"/>
      <c r="I9" s="308">
        <f t="shared" si="0"/>
        <v>0</v>
      </c>
    </row>
    <row r="10" spans="2:9" ht="22.95" customHeight="1">
      <c r="B10" s="569"/>
      <c r="C10" s="595"/>
      <c r="D10" s="568"/>
      <c r="E10" s="569"/>
      <c r="F10" s="569"/>
      <c r="G10" s="570"/>
      <c r="H10" s="570"/>
      <c r="I10" s="308">
        <f t="shared" si="0"/>
        <v>0</v>
      </c>
    </row>
    <row r="11" spans="2:9" ht="22.95" customHeight="1">
      <c r="B11" s="569"/>
      <c r="C11" s="595"/>
      <c r="D11" s="568"/>
      <c r="E11" s="569"/>
      <c r="F11" s="569"/>
      <c r="G11" s="570"/>
      <c r="H11" s="570"/>
      <c r="I11" s="308">
        <f t="shared" si="0"/>
        <v>0</v>
      </c>
    </row>
    <row r="12" spans="2:9" ht="22.95" customHeight="1">
      <c r="B12" s="569"/>
      <c r="C12" s="595"/>
      <c r="D12" s="568"/>
      <c r="E12" s="569"/>
      <c r="F12" s="569"/>
      <c r="G12" s="570"/>
      <c r="H12" s="570"/>
      <c r="I12" s="308">
        <f t="shared" si="0"/>
        <v>0</v>
      </c>
    </row>
    <row r="13" spans="2:9" ht="22.95" customHeight="1">
      <c r="B13" s="569"/>
      <c r="C13" s="595"/>
      <c r="D13" s="568"/>
      <c r="E13" s="569"/>
      <c r="F13" s="569"/>
      <c r="G13" s="570"/>
      <c r="H13" s="570"/>
      <c r="I13" s="308">
        <f t="shared" si="0"/>
        <v>0</v>
      </c>
    </row>
    <row r="14" spans="2:9" ht="22.95" customHeight="1">
      <c r="B14" s="569"/>
      <c r="C14" s="595"/>
      <c r="D14" s="568"/>
      <c r="E14" s="569"/>
      <c r="F14" s="569"/>
      <c r="G14" s="570"/>
      <c r="H14" s="570"/>
      <c r="I14" s="308">
        <f t="shared" si="0"/>
        <v>0</v>
      </c>
    </row>
    <row r="15" spans="2:9" ht="22.95" customHeight="1">
      <c r="B15" s="569"/>
      <c r="C15" s="595"/>
      <c r="D15" s="568"/>
      <c r="E15" s="569"/>
      <c r="F15" s="569"/>
      <c r="G15" s="570"/>
      <c r="H15" s="570"/>
      <c r="I15" s="308">
        <f t="shared" si="0"/>
        <v>0</v>
      </c>
    </row>
    <row r="16" spans="2:9" ht="22.95" customHeight="1">
      <c r="B16" s="569"/>
      <c r="C16" s="595"/>
      <c r="D16" s="568"/>
      <c r="E16" s="569"/>
      <c r="F16" s="569"/>
      <c r="G16" s="570"/>
      <c r="H16" s="570"/>
      <c r="I16" s="308">
        <f t="shared" si="0"/>
        <v>0</v>
      </c>
    </row>
    <row r="17" spans="2:9" ht="22.95" customHeight="1">
      <c r="B17" s="569"/>
      <c r="C17" s="595"/>
      <c r="D17" s="568"/>
      <c r="E17" s="569"/>
      <c r="F17" s="569"/>
      <c r="G17" s="570"/>
      <c r="H17" s="570"/>
      <c r="I17" s="308">
        <f t="shared" si="0"/>
        <v>0</v>
      </c>
    </row>
    <row r="18" spans="2:9" ht="22.95" customHeight="1">
      <c r="B18" s="569"/>
      <c r="C18" s="595"/>
      <c r="D18" s="568"/>
      <c r="E18" s="569"/>
      <c r="F18" s="569"/>
      <c r="G18" s="570"/>
      <c r="H18" s="570"/>
      <c r="I18" s="308">
        <f t="shared" si="0"/>
        <v>0</v>
      </c>
    </row>
    <row r="19" spans="2:9" ht="22.95" customHeight="1">
      <c r="B19" s="569"/>
      <c r="C19" s="595"/>
      <c r="D19" s="568"/>
      <c r="E19" s="569"/>
      <c r="F19" s="569"/>
      <c r="G19" s="570"/>
      <c r="H19" s="570"/>
      <c r="I19" s="308">
        <f t="shared" si="0"/>
        <v>0</v>
      </c>
    </row>
    <row r="20" spans="2:9" ht="22.95" customHeight="1">
      <c r="B20" s="569"/>
      <c r="C20" s="595"/>
      <c r="D20" s="568"/>
      <c r="E20" s="569"/>
      <c r="F20" s="569"/>
      <c r="G20" s="570"/>
      <c r="H20" s="570"/>
      <c r="I20" s="308">
        <f t="shared" si="0"/>
        <v>0</v>
      </c>
    </row>
    <row r="21" spans="2:9" ht="22.95" customHeight="1">
      <c r="B21" s="569"/>
      <c r="C21" s="595"/>
      <c r="D21" s="568"/>
      <c r="E21" s="569"/>
      <c r="F21" s="569"/>
      <c r="G21" s="570"/>
      <c r="H21" s="570"/>
      <c r="I21" s="308">
        <f t="shared" si="0"/>
        <v>0</v>
      </c>
    </row>
    <row r="22" spans="2:9" ht="22.95" customHeight="1">
      <c r="B22" s="569"/>
      <c r="C22" s="595"/>
      <c r="D22" s="568"/>
      <c r="E22" s="569"/>
      <c r="F22" s="569"/>
      <c r="G22" s="570"/>
      <c r="H22" s="570"/>
      <c r="I22" s="308">
        <f t="shared" si="0"/>
        <v>0</v>
      </c>
    </row>
    <row r="23" spans="2:9" ht="22.95" customHeight="1">
      <c r="B23" s="569"/>
      <c r="C23" s="595"/>
      <c r="D23" s="568"/>
      <c r="E23" s="569"/>
      <c r="F23" s="569"/>
      <c r="G23" s="570"/>
      <c r="H23" s="570"/>
      <c r="I23" s="308">
        <f t="shared" si="0"/>
        <v>0</v>
      </c>
    </row>
    <row r="24" spans="2:9" ht="22.95" customHeight="1">
      <c r="B24" s="569"/>
      <c r="C24" s="595"/>
      <c r="D24" s="568"/>
      <c r="E24" s="569"/>
      <c r="F24" s="569"/>
      <c r="G24" s="570"/>
      <c r="H24" s="570"/>
      <c r="I24" s="308">
        <f t="shared" si="0"/>
        <v>0</v>
      </c>
    </row>
    <row r="25" spans="2:9" ht="22.95" customHeight="1">
      <c r="B25" s="569"/>
      <c r="C25" s="595"/>
      <c r="D25" s="568"/>
      <c r="E25" s="569"/>
      <c r="F25" s="569"/>
      <c r="G25" s="570"/>
      <c r="H25" s="570"/>
      <c r="I25" s="308">
        <f t="shared" si="0"/>
        <v>0</v>
      </c>
    </row>
    <row r="26" spans="2:9" ht="22.95" customHeight="1">
      <c r="B26" s="569"/>
      <c r="C26" s="595"/>
      <c r="D26" s="568"/>
      <c r="E26" s="569"/>
      <c r="F26" s="569"/>
      <c r="G26" s="570"/>
      <c r="H26" s="570"/>
      <c r="I26" s="308">
        <f t="shared" si="0"/>
        <v>0</v>
      </c>
    </row>
    <row r="27" spans="2:9" ht="22.95" customHeight="1">
      <c r="B27" s="319"/>
      <c r="C27" s="319"/>
      <c r="D27" s="319"/>
      <c r="E27" s="319"/>
      <c r="F27" s="319"/>
      <c r="G27" s="524"/>
      <c r="H27" s="524"/>
      <c r="I27" s="308"/>
    </row>
    <row r="28" spans="2:9" ht="22.95" customHeight="1">
      <c r="B28" s="316"/>
      <c r="C28" s="316"/>
      <c r="D28" s="316"/>
      <c r="E28" s="316"/>
      <c r="F28" s="618" t="s">
        <v>506</v>
      </c>
      <c r="G28" s="311">
        <f>+SUM(G6:G27)</f>
        <v>0</v>
      </c>
      <c r="H28" s="311">
        <f>+SUM(H6:H27)</f>
        <v>0</v>
      </c>
      <c r="I28" s="311">
        <f>+SUM(I6:I27)</f>
        <v>0</v>
      </c>
    </row>
    <row r="30" spans="2:9" ht="22.95" customHeight="1">
      <c r="G30" s="319"/>
      <c r="H30" s="525" t="s">
        <v>507</v>
      </c>
      <c r="I30" s="526">
        <f>SUM(I6:I27)-(SUMIF(B6:B27,"Donativo",I6:I27))</f>
        <v>0</v>
      </c>
    </row>
    <row r="31" spans="2:9" ht="22.95" customHeight="1">
      <c r="G31" s="319"/>
      <c r="H31" s="525" t="s">
        <v>508</v>
      </c>
      <c r="I31" s="526">
        <f>IF(I30=0,0,MIN(F104,F109))</f>
        <v>0</v>
      </c>
    </row>
    <row r="32" spans="2:9" ht="22.95" customHeight="1">
      <c r="G32" s="316"/>
      <c r="H32" s="527" t="s">
        <v>509</v>
      </c>
      <c r="I32" s="311">
        <f>+IF(I30&gt;I31,I31,I30)</f>
        <v>0</v>
      </c>
    </row>
    <row r="33" spans="2:12" ht="22.95" customHeight="1">
      <c r="G33" s="43"/>
      <c r="I33" s="94"/>
    </row>
    <row r="34" spans="2:12" ht="22.95" customHeight="1">
      <c r="G34" s="43"/>
      <c r="I34" s="94"/>
    </row>
    <row r="35" spans="2:12" ht="22.95" customHeight="1">
      <c r="G35" s="319"/>
      <c r="H35" s="525" t="s">
        <v>510</v>
      </c>
      <c r="I35" s="308">
        <f>+SUMIF(B6:B27,"Donativo",I6:I27)</f>
        <v>0</v>
      </c>
    </row>
    <row r="36" spans="2:12" ht="22.95" customHeight="1">
      <c r="G36" s="319"/>
      <c r="H36" s="525" t="s">
        <v>511</v>
      </c>
      <c r="I36" s="308">
        <f>+F116</f>
        <v>0</v>
      </c>
    </row>
    <row r="37" spans="2:12" ht="22.95" customHeight="1">
      <c r="G37" s="316"/>
      <c r="H37" s="527" t="s">
        <v>512</v>
      </c>
      <c r="I37" s="317">
        <f>+IF(I35&gt;I36,I36,I35)</f>
        <v>0</v>
      </c>
    </row>
    <row r="38" spans="2:12" ht="22.95" customHeight="1">
      <c r="H38" s="93"/>
      <c r="I38" s="84"/>
    </row>
    <row r="39" spans="2:12" ht="22.95" customHeight="1">
      <c r="H39" s="93"/>
      <c r="I39" s="84"/>
    </row>
    <row r="40" spans="2:12" ht="22.95" customHeight="1">
      <c r="G40" s="43"/>
      <c r="I40" s="94"/>
    </row>
    <row r="41" spans="2:12" s="15" customFormat="1" ht="22.95" customHeight="1">
      <c r="B41" s="95" t="s">
        <v>502</v>
      </c>
      <c r="C41" s="95" t="s">
        <v>365</v>
      </c>
      <c r="D41" s="95" t="s">
        <v>513</v>
      </c>
      <c r="E41" s="95" t="s">
        <v>514</v>
      </c>
      <c r="F41" s="95" t="s">
        <v>515</v>
      </c>
      <c r="G41" s="95" t="s">
        <v>516</v>
      </c>
      <c r="H41" s="95" t="s">
        <v>517</v>
      </c>
      <c r="I41" s="96" t="s">
        <v>518</v>
      </c>
      <c r="L41" s="97"/>
    </row>
    <row r="42" spans="2:12" ht="22.95" customHeight="1">
      <c r="E42" s="15"/>
      <c r="F42" s="15"/>
    </row>
    <row r="43" spans="2:12" ht="22.95" customHeight="1">
      <c r="B43" s="68" t="s">
        <v>519</v>
      </c>
      <c r="C43" s="596" t="s">
        <v>520</v>
      </c>
      <c r="D43" s="596"/>
      <c r="E43" s="597"/>
      <c r="F43" s="597"/>
      <c r="G43" s="598"/>
      <c r="H43" s="86">
        <f>IF(B43=0,0,VLOOKUP(B43,$B$113:$C$116,2,0))</f>
        <v>14200</v>
      </c>
      <c r="I43" s="86">
        <f>+IF(G43&gt;H43,H43,G43)</f>
        <v>0</v>
      </c>
    </row>
    <row r="44" spans="2:12" ht="22.95" customHeight="1">
      <c r="B44" s="68" t="s">
        <v>519</v>
      </c>
      <c r="C44" s="596" t="s">
        <v>520</v>
      </c>
      <c r="D44" s="596"/>
      <c r="E44" s="597"/>
      <c r="F44" s="597"/>
      <c r="G44" s="598"/>
      <c r="H44" s="86">
        <f>H43-I43</f>
        <v>14200</v>
      </c>
      <c r="I44" s="86">
        <f>+IF(G44&gt;H44,H44,G44)</f>
        <v>0</v>
      </c>
    </row>
    <row r="45" spans="2:12" ht="22.95" customHeight="1">
      <c r="B45" s="68" t="s">
        <v>519</v>
      </c>
      <c r="C45" s="596" t="s">
        <v>520</v>
      </c>
      <c r="D45" s="596"/>
      <c r="E45" s="597"/>
      <c r="F45" s="597"/>
      <c r="G45" s="598"/>
      <c r="H45" s="86">
        <f>H44-I44</f>
        <v>14200</v>
      </c>
      <c r="I45" s="86">
        <f>+IF(G45&gt;H45,H45,G45)</f>
        <v>0</v>
      </c>
    </row>
    <row r="46" spans="2:12" ht="22.95" customHeight="1">
      <c r="B46" s="599"/>
      <c r="C46" s="599"/>
      <c r="D46" s="599"/>
      <c r="E46" s="600"/>
      <c r="F46" s="600"/>
      <c r="G46" s="601"/>
      <c r="H46" s="602"/>
      <c r="I46" s="602"/>
    </row>
    <row r="47" spans="2:12" ht="22.95" customHeight="1">
      <c r="B47" s="68" t="s">
        <v>519</v>
      </c>
      <c r="C47" s="596" t="s">
        <v>521</v>
      </c>
      <c r="D47" s="596"/>
      <c r="E47" s="597"/>
      <c r="F47" s="597"/>
      <c r="G47" s="598"/>
      <c r="H47" s="86">
        <f>IF(B47=0,0,VLOOKUP(B47,$B$113:$C$116,2,0))</f>
        <v>14200</v>
      </c>
      <c r="I47" s="86">
        <f>+IF(G47&gt;H47,H47,G47)</f>
        <v>0</v>
      </c>
    </row>
    <row r="48" spans="2:12" ht="22.95" customHeight="1">
      <c r="B48" s="68" t="s">
        <v>519</v>
      </c>
      <c r="C48" s="596" t="s">
        <v>521</v>
      </c>
      <c r="D48" s="596"/>
      <c r="E48" s="597"/>
      <c r="F48" s="597"/>
      <c r="G48" s="598"/>
      <c r="H48" s="86">
        <f>H47-I47</f>
        <v>14200</v>
      </c>
      <c r="I48" s="86">
        <f>+IF(G48&gt;H48,H48,G48)</f>
        <v>0</v>
      </c>
    </row>
    <row r="49" spans="2:9" ht="22.95" customHeight="1">
      <c r="B49" s="68" t="s">
        <v>519</v>
      </c>
      <c r="C49" s="596" t="s">
        <v>521</v>
      </c>
      <c r="D49" s="596"/>
      <c r="E49" s="597"/>
      <c r="F49" s="597"/>
      <c r="G49" s="598"/>
      <c r="H49" s="86">
        <f>H48-I48</f>
        <v>14200</v>
      </c>
      <c r="I49" s="86">
        <f>+IF(G49&gt;H49,H49,G49)</f>
        <v>0</v>
      </c>
    </row>
    <row r="50" spans="2:9" ht="22.95" customHeight="1">
      <c r="B50" s="599"/>
      <c r="C50" s="599"/>
      <c r="D50" s="599"/>
      <c r="E50" s="600"/>
      <c r="F50" s="600"/>
      <c r="G50" s="601"/>
      <c r="H50" s="602"/>
      <c r="I50" s="602"/>
    </row>
    <row r="51" spans="2:9" ht="22.95" customHeight="1">
      <c r="B51" s="68" t="s">
        <v>522</v>
      </c>
      <c r="C51" s="596" t="s">
        <v>520</v>
      </c>
      <c r="D51" s="596"/>
      <c r="E51" s="597"/>
      <c r="F51" s="597"/>
      <c r="G51" s="598"/>
      <c r="H51" s="86">
        <f>IF(B51=0,0,VLOOKUP(B51,$B$113:$C$116,2,0))</f>
        <v>12900</v>
      </c>
      <c r="I51" s="86">
        <f t="shared" ref="I51:I64" si="1">+IF(G51&gt;H51,H51,G51)</f>
        <v>0</v>
      </c>
    </row>
    <row r="52" spans="2:9" ht="22.95" customHeight="1">
      <c r="B52" s="68" t="s">
        <v>522</v>
      </c>
      <c r="C52" s="596" t="s">
        <v>520</v>
      </c>
      <c r="D52" s="596"/>
      <c r="E52" s="597"/>
      <c r="F52" s="597"/>
      <c r="G52" s="598"/>
      <c r="H52" s="86">
        <f>H51-I51</f>
        <v>12900</v>
      </c>
      <c r="I52" s="86">
        <f>+IF(G52&gt;H52,H52,G52)</f>
        <v>0</v>
      </c>
    </row>
    <row r="53" spans="2:9" ht="22.95" customHeight="1">
      <c r="B53" s="68" t="s">
        <v>522</v>
      </c>
      <c r="C53" s="596" t="s">
        <v>520</v>
      </c>
      <c r="D53" s="596"/>
      <c r="E53" s="597"/>
      <c r="F53" s="597"/>
      <c r="G53" s="598"/>
      <c r="H53" s="86">
        <f>H52-I52</f>
        <v>12900</v>
      </c>
      <c r="I53" s="86">
        <f>+IF(G53&gt;H53,H53,G53)</f>
        <v>0</v>
      </c>
    </row>
    <row r="54" spans="2:9" ht="22.95" customHeight="1">
      <c r="B54" s="599"/>
      <c r="C54" s="599"/>
      <c r="D54" s="599"/>
      <c r="E54" s="600"/>
      <c r="F54" s="600"/>
      <c r="G54" s="601"/>
      <c r="H54" s="602"/>
      <c r="I54" s="602"/>
    </row>
    <row r="55" spans="2:9" ht="22.95" customHeight="1">
      <c r="B55" s="68" t="s">
        <v>522</v>
      </c>
      <c r="C55" s="596" t="s">
        <v>521</v>
      </c>
      <c r="D55" s="596"/>
      <c r="E55" s="597"/>
      <c r="F55" s="597"/>
      <c r="G55" s="598"/>
      <c r="H55" s="86">
        <f>IF(B55=0,0,VLOOKUP(B55,$B$113:$C$116,2,0))</f>
        <v>12900</v>
      </c>
      <c r="I55" s="86">
        <f t="shared" si="1"/>
        <v>0</v>
      </c>
    </row>
    <row r="56" spans="2:9" ht="22.95" customHeight="1">
      <c r="B56" s="68" t="s">
        <v>522</v>
      </c>
      <c r="C56" s="596" t="s">
        <v>521</v>
      </c>
      <c r="D56" s="596"/>
      <c r="E56" s="597"/>
      <c r="F56" s="597"/>
      <c r="G56" s="598"/>
      <c r="H56" s="86">
        <f>H55-I55</f>
        <v>12900</v>
      </c>
      <c r="I56" s="86">
        <f>+IF(G56&gt;H56,H56,G56)</f>
        <v>0</v>
      </c>
    </row>
    <row r="57" spans="2:9" ht="22.95" customHeight="1">
      <c r="B57" s="68" t="s">
        <v>522</v>
      </c>
      <c r="C57" s="596" t="s">
        <v>521</v>
      </c>
      <c r="D57" s="596"/>
      <c r="E57" s="597"/>
      <c r="F57" s="597"/>
      <c r="G57" s="598"/>
      <c r="H57" s="86">
        <f>H56-I56</f>
        <v>12900</v>
      </c>
      <c r="I57" s="86">
        <f t="shared" si="1"/>
        <v>0</v>
      </c>
    </row>
    <row r="58" spans="2:9" ht="22.95" customHeight="1">
      <c r="B58" s="599"/>
      <c r="C58" s="599"/>
      <c r="D58" s="599"/>
      <c r="E58" s="600"/>
      <c r="F58" s="600"/>
      <c r="G58" s="601"/>
      <c r="H58" s="602"/>
      <c r="I58" s="602"/>
    </row>
    <row r="59" spans="2:9" ht="22.95" customHeight="1">
      <c r="B59" s="68" t="s">
        <v>523</v>
      </c>
      <c r="C59" s="596" t="s">
        <v>520</v>
      </c>
      <c r="D59" s="596"/>
      <c r="E59" s="597"/>
      <c r="F59" s="597"/>
      <c r="G59" s="598"/>
      <c r="H59" s="86">
        <f>IF(B59=0,0,VLOOKUP(B59,$B$113:$C$116,2,0))</f>
        <v>19900</v>
      </c>
      <c r="I59" s="86">
        <f t="shared" si="1"/>
        <v>0</v>
      </c>
    </row>
    <row r="60" spans="2:9" ht="22.95" customHeight="1">
      <c r="B60" s="68" t="s">
        <v>523</v>
      </c>
      <c r="C60" s="596" t="s">
        <v>520</v>
      </c>
      <c r="D60" s="596"/>
      <c r="E60" s="597"/>
      <c r="F60" s="597"/>
      <c r="G60" s="598"/>
      <c r="H60" s="86">
        <f>H59-I59</f>
        <v>19900</v>
      </c>
      <c r="I60" s="86">
        <f t="shared" si="1"/>
        <v>0</v>
      </c>
    </row>
    <row r="61" spans="2:9" ht="22.95" customHeight="1">
      <c r="B61" s="68" t="s">
        <v>523</v>
      </c>
      <c r="C61" s="596" t="s">
        <v>520</v>
      </c>
      <c r="D61" s="596"/>
      <c r="E61" s="597"/>
      <c r="F61" s="597"/>
      <c r="G61" s="598"/>
      <c r="H61" s="86">
        <f>H60-I60</f>
        <v>19900</v>
      </c>
      <c r="I61" s="86">
        <f t="shared" si="1"/>
        <v>0</v>
      </c>
    </row>
    <row r="62" spans="2:9" ht="22.95" customHeight="1">
      <c r="B62" s="599"/>
      <c r="C62" s="599"/>
      <c r="D62" s="599"/>
      <c r="E62" s="600"/>
      <c r="F62" s="600"/>
      <c r="G62" s="601"/>
      <c r="H62" s="602"/>
      <c r="I62" s="602"/>
    </row>
    <row r="63" spans="2:9" ht="22.95" customHeight="1">
      <c r="B63" s="68" t="s">
        <v>523</v>
      </c>
      <c r="C63" s="596" t="s">
        <v>521</v>
      </c>
      <c r="D63" s="596"/>
      <c r="E63" s="597"/>
      <c r="F63" s="597"/>
      <c r="G63" s="598"/>
      <c r="H63" s="86">
        <f>IF(B63=0,0,VLOOKUP(B63,$B$113:$C$116,2,0))</f>
        <v>19900</v>
      </c>
      <c r="I63" s="86">
        <f t="shared" si="1"/>
        <v>0</v>
      </c>
    </row>
    <row r="64" spans="2:9" ht="22.95" customHeight="1">
      <c r="B64" s="68" t="s">
        <v>523</v>
      </c>
      <c r="C64" s="596" t="s">
        <v>521</v>
      </c>
      <c r="D64" s="596"/>
      <c r="E64" s="597"/>
      <c r="F64" s="597"/>
      <c r="G64" s="598"/>
      <c r="H64" s="86">
        <f>H63-I63</f>
        <v>19900</v>
      </c>
      <c r="I64" s="86">
        <f t="shared" si="1"/>
        <v>0</v>
      </c>
    </row>
    <row r="65" spans="2:9" ht="22.95" customHeight="1">
      <c r="B65" s="68" t="s">
        <v>523</v>
      </c>
      <c r="C65" s="596" t="s">
        <v>521</v>
      </c>
      <c r="D65" s="596"/>
      <c r="E65" s="597"/>
      <c r="F65" s="597"/>
      <c r="G65" s="598"/>
      <c r="H65" s="86">
        <f>H64-I64</f>
        <v>19900</v>
      </c>
      <c r="I65" s="86">
        <f t="shared" ref="I65:I73" si="2">+IF(G65&gt;H65,H65,G65)</f>
        <v>0</v>
      </c>
    </row>
    <row r="66" spans="2:9" ht="22.95" customHeight="1">
      <c r="B66" s="599"/>
      <c r="C66" s="599"/>
      <c r="D66" s="599"/>
      <c r="E66" s="600"/>
      <c r="F66" s="600"/>
      <c r="G66" s="601"/>
      <c r="H66" s="602"/>
      <c r="I66" s="602"/>
    </row>
    <row r="67" spans="2:9" ht="22.95" customHeight="1">
      <c r="B67" s="68" t="s">
        <v>524</v>
      </c>
      <c r="C67" s="596" t="s">
        <v>520</v>
      </c>
      <c r="D67" s="596"/>
      <c r="E67" s="597"/>
      <c r="F67" s="597"/>
      <c r="G67" s="598"/>
      <c r="H67" s="86">
        <f>IF(B67=0,0,VLOOKUP(B67,$B$113:$C$116,2,0))</f>
        <v>24500</v>
      </c>
      <c r="I67" s="86">
        <f t="shared" si="2"/>
        <v>0</v>
      </c>
    </row>
    <row r="68" spans="2:9" ht="22.95" customHeight="1">
      <c r="B68" s="68" t="s">
        <v>524</v>
      </c>
      <c r="C68" s="596" t="s">
        <v>520</v>
      </c>
      <c r="D68" s="596"/>
      <c r="E68" s="597"/>
      <c r="F68" s="597"/>
      <c r="G68" s="598"/>
      <c r="H68" s="86">
        <f>H67-I67</f>
        <v>24500</v>
      </c>
      <c r="I68" s="86">
        <f t="shared" si="2"/>
        <v>0</v>
      </c>
    </row>
    <row r="69" spans="2:9" ht="22.95" customHeight="1">
      <c r="B69" s="68" t="s">
        <v>524</v>
      </c>
      <c r="C69" s="596" t="s">
        <v>520</v>
      </c>
      <c r="D69" s="596"/>
      <c r="E69" s="597"/>
      <c r="F69" s="597"/>
      <c r="G69" s="598"/>
      <c r="H69" s="86">
        <f>H68-I68</f>
        <v>24500</v>
      </c>
      <c r="I69" s="86">
        <f t="shared" si="2"/>
        <v>0</v>
      </c>
    </row>
    <row r="70" spans="2:9" ht="22.95" customHeight="1">
      <c r="B70" s="599"/>
      <c r="C70" s="599"/>
      <c r="D70" s="599"/>
      <c r="E70" s="600"/>
      <c r="F70" s="600"/>
      <c r="G70" s="601"/>
      <c r="H70" s="602"/>
      <c r="I70" s="602"/>
    </row>
    <row r="71" spans="2:9" ht="22.95" customHeight="1">
      <c r="B71" s="68" t="s">
        <v>524</v>
      </c>
      <c r="C71" s="596" t="s">
        <v>521</v>
      </c>
      <c r="D71" s="596"/>
      <c r="E71" s="597"/>
      <c r="F71" s="597"/>
      <c r="G71" s="598"/>
      <c r="H71" s="86">
        <f>IF(B71=0,0,VLOOKUP(B71,$B$113:$C$116,2,0))</f>
        <v>24500</v>
      </c>
      <c r="I71" s="86">
        <f t="shared" si="2"/>
        <v>0</v>
      </c>
    </row>
    <row r="72" spans="2:9" ht="22.95" customHeight="1">
      <c r="B72" s="68" t="s">
        <v>524</v>
      </c>
      <c r="C72" s="596" t="s">
        <v>521</v>
      </c>
      <c r="D72" s="596"/>
      <c r="E72" s="597"/>
      <c r="F72" s="597"/>
      <c r="G72" s="598"/>
      <c r="H72" s="86">
        <f>H71-I71</f>
        <v>24500</v>
      </c>
      <c r="I72" s="86">
        <f t="shared" si="2"/>
        <v>0</v>
      </c>
    </row>
    <row r="73" spans="2:9" ht="22.95" customHeight="1">
      <c r="B73" s="68" t="s">
        <v>524</v>
      </c>
      <c r="C73" s="596" t="s">
        <v>521</v>
      </c>
      <c r="D73" s="603"/>
      <c r="E73" s="604"/>
      <c r="F73" s="604"/>
      <c r="G73" s="605"/>
      <c r="H73" s="86">
        <f>H72-I72</f>
        <v>24500</v>
      </c>
      <c r="I73" s="86">
        <f t="shared" si="2"/>
        <v>0</v>
      </c>
    </row>
    <row r="74" spans="2:9" ht="22.95" customHeight="1">
      <c r="B74" s="89"/>
      <c r="C74" s="89"/>
      <c r="D74" s="87"/>
      <c r="E74" s="114"/>
      <c r="F74" s="107"/>
      <c r="G74" s="115"/>
      <c r="H74" s="107" t="s">
        <v>525</v>
      </c>
      <c r="I74" s="88">
        <f>SUM(I43:I73)</f>
        <v>0</v>
      </c>
    </row>
    <row r="75" spans="2:9" ht="22.95" customHeight="1">
      <c r="D75" s="43"/>
      <c r="G75" s="43"/>
      <c r="I75" s="94"/>
    </row>
    <row r="76" spans="2:9" ht="22.95" customHeight="1">
      <c r="G76" s="123"/>
      <c r="H76" s="606" t="s">
        <v>526</v>
      </c>
      <c r="I76" s="124">
        <f>+I32+I37+I74</f>
        <v>0</v>
      </c>
    </row>
    <row r="77" spans="2:9" ht="22.95" customHeight="1">
      <c r="G77" s="82"/>
    </row>
    <row r="78" spans="2:9" ht="22.95" hidden="1" customHeight="1"/>
    <row r="79" spans="2:9" ht="22.95" hidden="1" customHeight="1"/>
    <row r="81" spans="2:9" ht="22.95" hidden="1" customHeight="1">
      <c r="B81" s="82" t="s">
        <v>527</v>
      </c>
      <c r="C81" s="82"/>
      <c r="D81" s="82"/>
      <c r="E81" s="82"/>
      <c r="F81" s="82"/>
      <c r="G81" s="82"/>
      <c r="H81" s="82"/>
      <c r="I81" s="82"/>
    </row>
    <row r="82" spans="2:9" ht="22.95" hidden="1" customHeight="1">
      <c r="B82" s="99" t="s">
        <v>528</v>
      </c>
      <c r="C82" s="99"/>
      <c r="D82" s="99" t="s">
        <v>529</v>
      </c>
      <c r="E82" s="99" t="s">
        <v>191</v>
      </c>
      <c r="F82" s="99" t="s">
        <v>530</v>
      </c>
      <c r="G82" s="99" t="s">
        <v>531</v>
      </c>
      <c r="H82" s="99" t="s">
        <v>505</v>
      </c>
      <c r="I82" s="99" t="s">
        <v>281</v>
      </c>
    </row>
    <row r="83" spans="2:9" ht="22.95" hidden="1" customHeight="1">
      <c r="B83" s="68"/>
      <c r="C83" s="68"/>
      <c r="D83" s="68"/>
      <c r="E83" s="68"/>
      <c r="F83" s="68"/>
      <c r="G83" s="126"/>
      <c r="H83" s="40">
        <f t="shared" ref="H83:H90" si="3">IF(B83=$B$103,0,G83*0.16)</f>
        <v>0</v>
      </c>
      <c r="I83" s="40">
        <f>+G83+H83</f>
        <v>0</v>
      </c>
    </row>
    <row r="84" spans="2:9" ht="22.95" hidden="1" customHeight="1">
      <c r="B84" s="68"/>
      <c r="C84" s="68"/>
      <c r="D84" s="68"/>
      <c r="E84" s="68"/>
      <c r="F84" s="68"/>
      <c r="G84" s="126"/>
      <c r="H84" s="40">
        <f t="shared" si="3"/>
        <v>0</v>
      </c>
      <c r="I84" s="40">
        <f t="shared" ref="I84:I88" si="4">+G84+H84</f>
        <v>0</v>
      </c>
    </row>
    <row r="85" spans="2:9" ht="22.95" hidden="1" customHeight="1">
      <c r="B85" s="68"/>
      <c r="C85" s="68"/>
      <c r="D85" s="68"/>
      <c r="E85" s="68"/>
      <c r="F85" s="68"/>
      <c r="G85" s="126"/>
      <c r="H85" s="40">
        <f t="shared" si="3"/>
        <v>0</v>
      </c>
      <c r="I85" s="40">
        <f t="shared" si="4"/>
        <v>0</v>
      </c>
    </row>
    <row r="86" spans="2:9" ht="22.95" hidden="1" customHeight="1">
      <c r="B86" s="68"/>
      <c r="C86" s="68"/>
      <c r="D86" s="68"/>
      <c r="E86" s="68"/>
      <c r="F86" s="68"/>
      <c r="G86" s="126"/>
      <c r="H86" s="40">
        <f t="shared" si="3"/>
        <v>0</v>
      </c>
      <c r="I86" s="40">
        <f t="shared" si="4"/>
        <v>0</v>
      </c>
    </row>
    <row r="87" spans="2:9" ht="22.95" hidden="1" customHeight="1">
      <c r="B87" s="68"/>
      <c r="C87" s="68"/>
      <c r="D87" s="68"/>
      <c r="E87" s="68"/>
      <c r="F87" s="68"/>
      <c r="G87" s="126"/>
      <c r="H87" s="40">
        <f t="shared" si="3"/>
        <v>0</v>
      </c>
      <c r="I87" s="40">
        <f t="shared" si="4"/>
        <v>0</v>
      </c>
    </row>
    <row r="88" spans="2:9" ht="22.95" hidden="1" customHeight="1">
      <c r="B88" s="68"/>
      <c r="C88" s="68"/>
      <c r="D88" s="68"/>
      <c r="E88" s="68"/>
      <c r="F88" s="68"/>
      <c r="G88" s="126"/>
      <c r="H88" s="40">
        <f t="shared" si="3"/>
        <v>0</v>
      </c>
      <c r="I88" s="40">
        <f t="shared" si="4"/>
        <v>0</v>
      </c>
    </row>
    <row r="89" spans="2:9" ht="22.95" hidden="1" customHeight="1">
      <c r="B89" s="68"/>
      <c r="C89" s="68"/>
      <c r="D89" s="68"/>
      <c r="E89" s="68"/>
      <c r="F89" s="68"/>
      <c r="G89" s="126"/>
      <c r="H89" s="40">
        <f t="shared" si="3"/>
        <v>0</v>
      </c>
      <c r="I89" s="40">
        <f>+G89+H89</f>
        <v>0</v>
      </c>
    </row>
    <row r="90" spans="2:9" ht="22.95" hidden="1" customHeight="1">
      <c r="B90" s="68"/>
      <c r="C90" s="68"/>
      <c r="D90" s="68"/>
      <c r="E90" s="68"/>
      <c r="F90" s="68"/>
      <c r="G90" s="126"/>
      <c r="H90" s="40">
        <f t="shared" si="3"/>
        <v>0</v>
      </c>
      <c r="I90" s="40">
        <f>+G90+H90</f>
        <v>0</v>
      </c>
    </row>
    <row r="91" spans="2:9" ht="22.95" hidden="1" customHeight="1">
      <c r="B91" s="68"/>
      <c r="C91" s="68"/>
      <c r="D91" s="68"/>
      <c r="E91" s="68"/>
      <c r="F91" s="68"/>
      <c r="G91" s="126"/>
      <c r="H91" s="40"/>
      <c r="I91" s="40"/>
    </row>
    <row r="92" spans="2:9" ht="22.95" hidden="1" customHeight="1">
      <c r="B92" s="89"/>
      <c r="C92" s="89"/>
      <c r="D92" s="89"/>
      <c r="E92" s="89"/>
      <c r="F92" s="89"/>
      <c r="G92" s="108">
        <f>+SUM(G83:G91)</f>
        <v>0</v>
      </c>
      <c r="H92" s="108">
        <f>+SUM(H83:H91)</f>
        <v>0</v>
      </c>
      <c r="I92" s="108">
        <f>+SUM(I83:I91)</f>
        <v>0</v>
      </c>
    </row>
    <row r="93" spans="2:9" ht="22.95" hidden="1" customHeight="1"/>
    <row r="94" spans="2:9" ht="22.95" customHeight="1">
      <c r="G94" s="127"/>
      <c r="H94" s="121" t="s">
        <v>532</v>
      </c>
      <c r="I94" s="124">
        <f>+I92</f>
        <v>0</v>
      </c>
    </row>
    <row r="98" spans="2:11" ht="22.95" customHeight="1">
      <c r="B98" s="158"/>
      <c r="C98" s="158"/>
      <c r="D98" s="158"/>
      <c r="E98" s="158"/>
      <c r="F98" s="158"/>
      <c r="G98" s="158"/>
      <c r="H98" s="158"/>
      <c r="I98" s="158"/>
      <c r="J98" s="158"/>
      <c r="K98" s="158"/>
    </row>
    <row r="100" spans="2:11" ht="22.95" customHeight="1">
      <c r="B100" s="113" t="s">
        <v>533</v>
      </c>
      <c r="E100" s="672" t="s">
        <v>534</v>
      </c>
      <c r="F100" s="672"/>
    </row>
    <row r="101" spans="2:11" ht="22.95" customHeight="1">
      <c r="B101" s="111"/>
      <c r="E101" s="41" t="s">
        <v>277</v>
      </c>
    </row>
    <row r="102" spans="2:11" ht="22.95" customHeight="1">
      <c r="B102" s="112" t="s">
        <v>535</v>
      </c>
      <c r="E102" s="117" t="s">
        <v>802</v>
      </c>
      <c r="F102" s="40">
        <v>35101.08</v>
      </c>
      <c r="G102" s="125"/>
    </row>
    <row r="103" spans="2:11" ht="22.95" customHeight="1">
      <c r="B103" s="112" t="s">
        <v>536</v>
      </c>
      <c r="E103" s="117" t="s">
        <v>537</v>
      </c>
      <c r="F103" s="117">
        <v>5</v>
      </c>
      <c r="G103" s="125"/>
    </row>
    <row r="104" spans="2:11" ht="22.95" customHeight="1">
      <c r="B104" s="112" t="s">
        <v>538</v>
      </c>
      <c r="E104" s="118" t="s">
        <v>539</v>
      </c>
      <c r="F104" s="88">
        <f>F102*F103</f>
        <v>175505.40000000002</v>
      </c>
    </row>
    <row r="105" spans="2:11" ht="22.95" customHeight="1">
      <c r="B105" s="112" t="s">
        <v>540</v>
      </c>
    </row>
    <row r="106" spans="2:11" ht="22.95" customHeight="1">
      <c r="B106" s="112" t="s">
        <v>541</v>
      </c>
    </row>
    <row r="107" spans="2:11" ht="22.95" customHeight="1">
      <c r="B107" s="112" t="s">
        <v>542</v>
      </c>
      <c r="E107" s="119" t="s">
        <v>543</v>
      </c>
      <c r="F107" s="40">
        <f>+'Capítulo I - Salarios'!F23+'Capítulo II - Actividad Empresa'!C21+'Capítulo III - Arrendamiento'!C20+'Capítulo IV - Sección I'!C123+'Capítulo VI - Intereses'!E64+'Capítulo VIII - Dividendos Nac'!G12+'Capítulo VIII - Dividendos Nac'!G31+'Capítulo IX - Dividendos '!H12+'Capítulo IX - Dividendos '!H28+'Capìtulo IX - PE - Otros'!D12+'Capìtulo IX - PE - Otros'!D27+'Capìtulo IX - PE - Otros'!D57+'Capítulo IX - OFD'!D12+'Capítulo IX - OFD'!D25+'Capitulo IX - Regalias'!E20+'Capítulo III - Arrendamiento'!D41</f>
        <v>0</v>
      </c>
    </row>
    <row r="108" spans="2:11" ht="22.95" customHeight="1">
      <c r="B108" s="111" t="s">
        <v>544</v>
      </c>
      <c r="E108" s="117" t="s">
        <v>545</v>
      </c>
      <c r="F108" s="120">
        <v>0.15</v>
      </c>
    </row>
    <row r="109" spans="2:11" ht="22.95" customHeight="1">
      <c r="B109" s="112" t="s">
        <v>546</v>
      </c>
      <c r="E109" s="118" t="s">
        <v>547</v>
      </c>
      <c r="F109" s="88">
        <f>+F107*F108</f>
        <v>0</v>
      </c>
    </row>
    <row r="110" spans="2:11" ht="22.95" customHeight="1">
      <c r="B110" s="112" t="s">
        <v>548</v>
      </c>
    </row>
    <row r="111" spans="2:11" ht="22.95" customHeight="1">
      <c r="E111" s="100"/>
      <c r="F111" s="100"/>
    </row>
    <row r="113" spans="2:6" ht="22.95" customHeight="1">
      <c r="B113" s="109" t="s">
        <v>519</v>
      </c>
      <c r="C113" s="110">
        <v>14200</v>
      </c>
      <c r="E113" s="673" t="s">
        <v>804</v>
      </c>
      <c r="F113" s="673"/>
    </row>
    <row r="114" spans="2:6" ht="22.95" customHeight="1">
      <c r="B114" s="109" t="s">
        <v>522</v>
      </c>
      <c r="C114" s="110">
        <v>12900</v>
      </c>
      <c r="E114" s="117" t="s">
        <v>803</v>
      </c>
      <c r="F114" s="598"/>
    </row>
    <row r="115" spans="2:6" ht="22.95" customHeight="1">
      <c r="B115" s="109" t="s">
        <v>523</v>
      </c>
      <c r="C115" s="110">
        <v>19900</v>
      </c>
      <c r="E115" s="117" t="s">
        <v>545</v>
      </c>
      <c r="F115" s="120">
        <v>7.0000000000000007E-2</v>
      </c>
    </row>
    <row r="116" spans="2:6" ht="22.95" customHeight="1">
      <c r="B116" s="109" t="s">
        <v>524</v>
      </c>
      <c r="C116" s="110">
        <v>24500</v>
      </c>
      <c r="E116" s="118" t="s">
        <v>549</v>
      </c>
      <c r="F116" s="88">
        <f>+F114*F115</f>
        <v>0</v>
      </c>
    </row>
    <row r="117" spans="2:6" ht="22.95" customHeight="1">
      <c r="B117" s="109" t="s">
        <v>550</v>
      </c>
      <c r="C117" s="110">
        <v>17100</v>
      </c>
    </row>
  </sheetData>
  <sheetProtection formatColumns="0" formatRows="0" insertColumns="0" insertRows="0" deleteColumns="0" deleteRows="0"/>
  <mergeCells count="2">
    <mergeCell ref="E100:F100"/>
    <mergeCell ref="E113:F113"/>
  </mergeCells>
  <phoneticPr fontId="7" type="noConversion"/>
  <dataValidations disablePrompts="1" count="3">
    <dataValidation type="list" allowBlank="1" showInputMessage="1" showErrorMessage="1" prompt="Selecciona una opción" sqref="B6:B26" xr:uid="{ABDF24DB-2089-C946-8443-C492DB9885D6}">
      <formula1>$B$102:$B$110</formula1>
    </dataValidation>
    <dataValidation type="list" allowBlank="1" showInputMessage="1" showErrorMessage="1" sqref="B83:B90" xr:uid="{95FA1997-F5F2-D04D-BDCF-06A8CE7F3E4E}">
      <formula1>$B$102:$B$110</formula1>
    </dataValidation>
    <dataValidation type="list" allowBlank="1" showInputMessage="1" showErrorMessage="1" sqref="B43:B73" xr:uid="{DEC1EEDD-274F-1F48-8FB4-9E8379B59B7A}">
      <formula1>$B$113:$B$116</formula1>
    </dataValidation>
  </dataValidations>
  <printOptions horizontalCentered="1"/>
  <pageMargins left="0.7" right="0.7" top="0.75" bottom="0.75" header="0.3" footer="0.3"/>
  <pageSetup scale="4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9CCB-B340-A645-BE13-889EB42E0108}">
  <sheetPr>
    <pageSetUpPr fitToPage="1"/>
  </sheetPr>
  <dimension ref="B2:E17"/>
  <sheetViews>
    <sheetView view="pageBreakPreview" zoomScale="150" zoomScaleNormal="110" zoomScaleSheetLayoutView="150" workbookViewId="0">
      <selection activeCell="E13" sqref="E13"/>
    </sheetView>
  </sheetViews>
  <sheetFormatPr defaultColWidth="10.796875" defaultRowHeight="21" customHeight="1"/>
  <cols>
    <col min="1" max="1" width="10.796875" style="8"/>
    <col min="2" max="2" width="3.296875" style="48" customWidth="1"/>
    <col min="3" max="3" width="81.5" style="8" customWidth="1"/>
    <col min="4" max="4" width="3.69921875" style="8" customWidth="1"/>
    <col min="5" max="5" width="22.296875" style="8" customWidth="1"/>
    <col min="6" max="6" width="17.796875" style="8" customWidth="1"/>
    <col min="7" max="16384" width="10.796875" style="8"/>
  </cols>
  <sheetData>
    <row r="2" spans="2:5" ht="21" customHeight="1">
      <c r="B2" s="643" t="str">
        <f>+Datos!C6</f>
        <v>NOMBRE EN MAYUSCULAS</v>
      </c>
      <c r="C2" s="643"/>
      <c r="D2" s="643"/>
      <c r="E2" s="643"/>
    </row>
    <row r="3" spans="2:5" ht="21" customHeight="1">
      <c r="B3" s="644" t="s">
        <v>28</v>
      </c>
      <c r="C3" s="644"/>
      <c r="D3" s="644"/>
      <c r="E3" s="644"/>
    </row>
    <row r="4" spans="2:5" ht="21" customHeight="1">
      <c r="B4" s="645" t="s">
        <v>795</v>
      </c>
      <c r="C4" s="645"/>
      <c r="D4" s="645"/>
      <c r="E4" s="645"/>
    </row>
    <row r="5" spans="2:5" ht="21" customHeight="1">
      <c r="B5" s="168"/>
      <c r="C5" s="161"/>
      <c r="D5" s="161"/>
      <c r="E5" s="161"/>
    </row>
    <row r="7" spans="2:5" ht="21" customHeight="1">
      <c r="B7" s="475">
        <v>1</v>
      </c>
      <c r="C7" s="476" t="str">
        <f>+'1 ISR Acum y No Acum'!C56</f>
        <v>Impuesto a cargo del ejercicio por Ingresos Acumulables + No Acumulables</v>
      </c>
      <c r="D7" s="477"/>
      <c r="E7" s="429">
        <f>'1 ISR Acum y No Acum'!G56</f>
        <v>0</v>
      </c>
    </row>
    <row r="8" spans="2:5" ht="21" customHeight="1">
      <c r="B8" s="95"/>
      <c r="C8" s="47"/>
    </row>
    <row r="9" spans="2:5" ht="21" customHeight="1">
      <c r="B9" s="475">
        <v>2</v>
      </c>
      <c r="C9" s="478" t="str">
        <f>+'2 ISR 10% BMV'!C14</f>
        <v>ISR por enajenaciones de acciones en Bolsa de Valores</v>
      </c>
      <c r="D9" s="477"/>
      <c r="E9" s="429">
        <f>+'2 ISR 10% BMV'!Q16</f>
        <v>0</v>
      </c>
    </row>
    <row r="10" spans="2:5" ht="21" customHeight="1">
      <c r="B10" s="479"/>
      <c r="C10" s="480"/>
      <c r="D10" s="403"/>
      <c r="E10" s="403"/>
    </row>
    <row r="11" spans="2:5" ht="21" customHeight="1">
      <c r="B11" s="475">
        <v>3</v>
      </c>
      <c r="C11" s="478" t="str">
        <f>+'3 ISR - REFIPRES'!C14</f>
        <v>ISR por ingresos provenientes de REFIPRES</v>
      </c>
      <c r="D11" s="477"/>
      <c r="E11" s="429">
        <f>+'3 ISR - REFIPRES'!M14</f>
        <v>0</v>
      </c>
    </row>
    <row r="12" spans="2:5" ht="21" customHeight="1">
      <c r="B12" s="479"/>
      <c r="C12" s="480"/>
      <c r="D12" s="403"/>
      <c r="E12" s="403"/>
    </row>
    <row r="13" spans="2:5" ht="34.049999999999997" customHeight="1">
      <c r="B13" s="475">
        <v>4</v>
      </c>
      <c r="C13" s="478" t="str">
        <f>+'4 ISR 10% Adicional Div'!C20</f>
        <v>ISR Adicional del 10% sobre dividendos + Actualización + Recargos</v>
      </c>
      <c r="D13" s="477"/>
      <c r="E13" s="429">
        <f>+'4 ISR 10% Adicional Div'!Q22</f>
        <v>0</v>
      </c>
    </row>
    <row r="14" spans="2:5" ht="21" customHeight="1">
      <c r="B14" s="481"/>
      <c r="C14" s="403"/>
      <c r="D14" s="403"/>
      <c r="E14" s="403"/>
    </row>
    <row r="15" spans="2:5" ht="40.950000000000003" customHeight="1">
      <c r="B15" s="482"/>
      <c r="C15" s="435" t="s">
        <v>29</v>
      </c>
      <c r="D15" s="483"/>
      <c r="E15" s="484" t="str">
        <f>+IF(E7&gt;=0,"No Aplica",Datos!C37)</f>
        <v>No Aplica</v>
      </c>
    </row>
    <row r="16" spans="2:5" ht="21" customHeight="1">
      <c r="B16" s="481"/>
      <c r="C16" s="403"/>
      <c r="D16" s="403"/>
      <c r="E16" s="403"/>
    </row>
    <row r="17" spans="2:5" ht="21" customHeight="1">
      <c r="B17" s="408"/>
      <c r="C17" s="485" t="str">
        <f>+IF(E17&lt;0,"Impuesto sobre la Renta pendiente de compensar","Total de Impuesto sobre la Renta 2022 por pagar")</f>
        <v>Total de Impuesto sobre la Renta 2022 por pagar</v>
      </c>
      <c r="D17" s="395"/>
      <c r="E17" s="422">
        <f>IF(E15=Datos!C38,SUM('ISR del Ejercicio'!E9:E13),IF(E15=Datos!C39,SUM('ISR del Ejercicio'!E7:E13),IF('ISR del Ejercicio'!E15="No Aplica",SUM('ISR del Ejercicio'!E7:E13),IF('ISR del Ejercicio'!E15="Por confirmar con Cliente",SUM(E9:E13),0))))</f>
        <v>0</v>
      </c>
    </row>
  </sheetData>
  <sheetProtection algorithmName="SHA-512" hashValue="jv1XGtHd/f+f9T0Jw25cYoh98p5MxTlSLuYaZF3Jqw/xpjysuabWFl2SdmnCJAXzItcXxzAR/Jqs/CfCIY1NJA==" saltValue="L9IwfjV4fgHwSjySUDYkyw==" spinCount="100000" sheet="1" objects="1" scenarios="1"/>
  <mergeCells count="3">
    <mergeCell ref="B2:E2"/>
    <mergeCell ref="B3:E3"/>
    <mergeCell ref="B4:E4"/>
  </mergeCells>
  <printOptions horizontalCentered="1"/>
  <pageMargins left="0.7" right="0.7" top="0.75" bottom="0.75" header="0.3" footer="0.3"/>
  <pageSetup scale="76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M64"/>
  <sheetViews>
    <sheetView zoomScale="110" zoomScaleNormal="110" zoomScaleSheetLayoutView="120" zoomScalePageLayoutView="140" workbookViewId="0">
      <selection activeCell="B10" sqref="B10"/>
    </sheetView>
  </sheetViews>
  <sheetFormatPr defaultColWidth="10.796875" defaultRowHeight="19.2"/>
  <cols>
    <col min="1" max="1" width="10.796875" style="8"/>
    <col min="2" max="2" width="2.796875" style="8" customWidth="1"/>
    <col min="3" max="3" width="64.796875" style="8" customWidth="1"/>
    <col min="4" max="4" width="1.296875" style="8" customWidth="1"/>
    <col min="5" max="5" width="21.69921875" style="8" customWidth="1"/>
    <col min="6" max="6" width="19.69921875" style="8" customWidth="1"/>
    <col min="7" max="7" width="22.296875" style="8" customWidth="1"/>
    <col min="8" max="8" width="21.19921875" style="8" customWidth="1"/>
    <col min="9" max="9" width="21.796875" style="8" customWidth="1"/>
    <col min="10" max="10" width="20.296875" style="8" customWidth="1"/>
    <col min="11" max="16384" width="10.796875" style="8"/>
  </cols>
  <sheetData>
    <row r="2" spans="2:5" ht="20.399999999999999">
      <c r="B2" s="622" t="s">
        <v>551</v>
      </c>
      <c r="C2" s="622"/>
    </row>
    <row r="3" spans="2:5" ht="24.6">
      <c r="B3" s="623"/>
      <c r="C3" s="624" t="s">
        <v>552</v>
      </c>
      <c r="D3" s="623"/>
      <c r="E3" s="623"/>
    </row>
    <row r="7" spans="2:5" ht="24.6">
      <c r="B7" s="164" t="str">
        <f>+'Deducciones Personales'!B2:I2</f>
        <v>NOMBRE EN MAYUSCULAS</v>
      </c>
      <c r="C7" s="162"/>
      <c r="D7" s="162"/>
      <c r="E7" s="162"/>
    </row>
    <row r="8" spans="2:5" ht="20.399999999999999">
      <c r="B8" s="163" t="s">
        <v>553</v>
      </c>
      <c r="C8" s="163"/>
      <c r="D8" s="163"/>
      <c r="E8" s="163"/>
    </row>
    <row r="9" spans="2:5" ht="20.399999999999999">
      <c r="B9" s="37" t="s">
        <v>805</v>
      </c>
      <c r="C9" s="37"/>
      <c r="D9" s="37"/>
      <c r="E9" s="37"/>
    </row>
    <row r="10" spans="2:5" ht="20.399999999999999">
      <c r="B10" s="165"/>
      <c r="C10" s="165"/>
      <c r="D10" s="165"/>
      <c r="E10" s="165"/>
    </row>
    <row r="12" spans="2:5" s="41" customFormat="1" ht="25.05" customHeight="1">
      <c r="B12" s="38" t="s">
        <v>199</v>
      </c>
      <c r="C12" s="39" t="s">
        <v>554</v>
      </c>
      <c r="D12" s="39"/>
      <c r="E12" s="608">
        <v>0</v>
      </c>
    </row>
    <row r="13" spans="2:5" s="41" customFormat="1" ht="25.05" customHeight="1">
      <c r="B13" s="38" t="s">
        <v>200</v>
      </c>
      <c r="C13" s="39" t="s">
        <v>555</v>
      </c>
      <c r="D13" s="39"/>
      <c r="E13" s="608">
        <v>0</v>
      </c>
    </row>
    <row r="14" spans="2:5" s="41" customFormat="1" ht="25.05" customHeight="1">
      <c r="B14" s="38" t="s">
        <v>201</v>
      </c>
      <c r="C14" s="39" t="s">
        <v>556</v>
      </c>
      <c r="D14" s="39"/>
      <c r="E14" s="86">
        <f>J40</f>
        <v>0</v>
      </c>
    </row>
    <row r="15" spans="2:5" s="41" customFormat="1" ht="25.05" customHeight="1">
      <c r="B15" s="38" t="s">
        <v>202</v>
      </c>
      <c r="C15" s="39" t="s">
        <v>557</v>
      </c>
      <c r="D15" s="39"/>
      <c r="E15" s="608">
        <v>0</v>
      </c>
    </row>
    <row r="16" spans="2:5" s="41" customFormat="1" ht="25.05" customHeight="1">
      <c r="B16" s="38" t="s">
        <v>203</v>
      </c>
      <c r="C16" s="39" t="s">
        <v>558</v>
      </c>
      <c r="D16" s="39"/>
      <c r="E16" s="86">
        <f>J52</f>
        <v>0</v>
      </c>
    </row>
    <row r="17" spans="2:13" s="41" customFormat="1" ht="25.05" customHeight="1">
      <c r="B17" s="38" t="s">
        <v>204</v>
      </c>
      <c r="C17" s="39" t="s">
        <v>559</v>
      </c>
      <c r="D17" s="39"/>
      <c r="E17" s="86">
        <f>J64</f>
        <v>0</v>
      </c>
    </row>
    <row r="18" spans="2:13" s="41" customFormat="1" ht="25.05" customHeight="1">
      <c r="B18" s="38" t="s">
        <v>205</v>
      </c>
      <c r="C18" s="39" t="s">
        <v>560</v>
      </c>
      <c r="D18" s="39"/>
      <c r="E18" s="608">
        <v>0</v>
      </c>
    </row>
    <row r="19" spans="2:13" s="41" customFormat="1" ht="25.05" customHeight="1">
      <c r="B19" s="38" t="s">
        <v>206</v>
      </c>
      <c r="C19" s="39" t="s">
        <v>561</v>
      </c>
      <c r="D19" s="39"/>
      <c r="E19" s="608">
        <v>0</v>
      </c>
    </row>
    <row r="20" spans="2:13" s="41" customFormat="1" ht="25.05" customHeight="1">
      <c r="B20" s="38" t="s">
        <v>207</v>
      </c>
      <c r="C20" s="39" t="s">
        <v>562</v>
      </c>
      <c r="D20" s="39"/>
      <c r="E20" s="608">
        <v>0</v>
      </c>
    </row>
    <row r="21" spans="2:13" s="41" customFormat="1" ht="25.05" customHeight="1">
      <c r="B21" s="38" t="s">
        <v>208</v>
      </c>
      <c r="C21" s="39" t="s">
        <v>563</v>
      </c>
      <c r="D21" s="39"/>
      <c r="E21" s="608">
        <v>0</v>
      </c>
    </row>
    <row r="22" spans="2:13" s="41" customFormat="1" ht="25.05" customHeight="1">
      <c r="B22" s="38" t="s">
        <v>209</v>
      </c>
      <c r="C22" s="39" t="s">
        <v>564</v>
      </c>
      <c r="D22" s="39"/>
      <c r="E22" s="608">
        <v>0</v>
      </c>
    </row>
    <row r="23" spans="2:13" s="41" customFormat="1" ht="25.05" customHeight="1">
      <c r="B23" s="38" t="s">
        <v>210</v>
      </c>
      <c r="C23" s="39" t="s">
        <v>565</v>
      </c>
      <c r="D23" s="39"/>
      <c r="E23" s="608">
        <v>0</v>
      </c>
    </row>
    <row r="24" spans="2:13" s="41" customFormat="1" ht="25.05" customHeight="1">
      <c r="B24" s="38" t="s">
        <v>211</v>
      </c>
      <c r="C24" s="39" t="s">
        <v>566</v>
      </c>
      <c r="D24" s="39"/>
      <c r="E24" s="608">
        <v>0</v>
      </c>
    </row>
    <row r="25" spans="2:13" s="41" customFormat="1" ht="25.05" customHeight="1">
      <c r="B25" s="38" t="s">
        <v>212</v>
      </c>
      <c r="C25" s="39" t="s">
        <v>567</v>
      </c>
      <c r="D25" s="39"/>
      <c r="E25" s="608">
        <v>0</v>
      </c>
    </row>
    <row r="29" spans="2:13">
      <c r="B29" s="161"/>
      <c r="C29" s="161"/>
      <c r="D29" s="161"/>
      <c r="E29" s="161"/>
      <c r="F29" s="161"/>
      <c r="G29" s="161"/>
      <c r="H29" s="161"/>
      <c r="I29" s="161"/>
      <c r="J29" s="161"/>
    </row>
    <row r="31" spans="2:13" ht="27">
      <c r="B31" s="566" t="s">
        <v>568</v>
      </c>
    </row>
    <row r="32" spans="2:13" ht="38.4">
      <c r="B32" s="673" t="s">
        <v>399</v>
      </c>
      <c r="C32" s="673"/>
      <c r="D32" s="41"/>
      <c r="E32" s="15" t="s">
        <v>569</v>
      </c>
      <c r="F32" s="90" t="s">
        <v>570</v>
      </c>
      <c r="G32" s="90" t="s">
        <v>571</v>
      </c>
      <c r="H32" s="90" t="s">
        <v>572</v>
      </c>
      <c r="I32" s="90" t="s">
        <v>573</v>
      </c>
      <c r="J32" s="90" t="s">
        <v>574</v>
      </c>
      <c r="K32" s="90"/>
      <c r="L32" s="90"/>
      <c r="M32" s="90"/>
    </row>
    <row r="33" spans="2:11" ht="21" customHeight="1">
      <c r="B33" s="674"/>
      <c r="C33" s="674"/>
      <c r="D33" s="74"/>
      <c r="E33" s="609"/>
      <c r="F33" s="538"/>
      <c r="G33" s="610"/>
      <c r="H33" s="91">
        <f>IF(F33=0,0,IF(F33="MXN",1/HLOOKUP(YEAR(E33)+(MONTH(E33)/100),TC!$5:$37,DAY(E33)+2,FALSE),VLOOKUP(F33,Equivalencias!$1:$24,((MAX(Equivalencias!$3:$3)-YEAR(E33))*14)+MONTH(E33)+2,FALSE)))</f>
        <v>0</v>
      </c>
      <c r="I33" s="91">
        <f>IF(E33=0,0,HLOOKUP(YEAR(E33)+(MONTH(E33)/100),TC!$5:$37,DAY(E33)+2,FALSE))</f>
        <v>0</v>
      </c>
      <c r="J33" s="80">
        <f t="shared" ref="J33:J39" si="0">G33*H33*I33</f>
        <v>0</v>
      </c>
      <c r="K33" s="90"/>
    </row>
    <row r="34" spans="2:11" ht="21" customHeight="1">
      <c r="B34" s="674"/>
      <c r="C34" s="674"/>
      <c r="D34" s="74"/>
      <c r="E34" s="609"/>
      <c r="F34" s="538"/>
      <c r="G34" s="607"/>
      <c r="H34" s="91">
        <f>IF(F34=0,0,IF(F34="MXN",1/HLOOKUP(YEAR(E34)+(MONTH(E34)/100),TC!$5:$37,DAY(E34)+2,FALSE),VLOOKUP(F34,Equivalencias!$1:$24,((MAX(Equivalencias!$3:$3)-YEAR(E34))*14)+MONTH(E34)+2,FALSE)))</f>
        <v>0</v>
      </c>
      <c r="I34" s="91">
        <f>IF(E34=0,0,HLOOKUP(YEAR(E34)+(MONTH(E34)/100),TC!$5:$37,DAY(E34)+2,FALSE))</f>
        <v>0</v>
      </c>
      <c r="J34" s="80">
        <f t="shared" si="0"/>
        <v>0</v>
      </c>
      <c r="K34" s="90"/>
    </row>
    <row r="35" spans="2:11" ht="21" customHeight="1">
      <c r="B35" s="674"/>
      <c r="C35" s="674"/>
      <c r="D35" s="74"/>
      <c r="E35" s="609"/>
      <c r="F35" s="538"/>
      <c r="G35" s="610"/>
      <c r="H35" s="91">
        <f>IF(F35=0,0,IF(F35="MXN",1/HLOOKUP(YEAR(E35)+(MONTH(E35)/100),TC!$5:$37,DAY(E35)+2,FALSE),VLOOKUP(F35,Equivalencias!$1:$24,((MAX(Equivalencias!$3:$3)-YEAR(E35))*14)+MONTH(E35)+2,FALSE)))</f>
        <v>0</v>
      </c>
      <c r="I35" s="91">
        <f>IF(E35=0,0,HLOOKUP(YEAR(E35)+(MONTH(E35)/100),TC!$5:$37,DAY(E35)+2,FALSE))</f>
        <v>0</v>
      </c>
      <c r="J35" s="80">
        <f t="shared" si="0"/>
        <v>0</v>
      </c>
      <c r="K35" s="90"/>
    </row>
    <row r="36" spans="2:11" ht="21" customHeight="1">
      <c r="B36" s="674"/>
      <c r="C36" s="674"/>
      <c r="D36" s="74"/>
      <c r="E36" s="609"/>
      <c r="F36" s="538"/>
      <c r="G36" s="610"/>
      <c r="H36" s="91">
        <f>IF(F36=0,0,IF(F36="MXN",1/HLOOKUP(YEAR(E36)+(MONTH(E36)/100),TC!$5:$37,DAY(E36)+2,FALSE),VLOOKUP(F36,Equivalencias!$1:$24,((MAX(Equivalencias!$3:$3)-YEAR(E36))*14)+MONTH(E36)+2,FALSE)))</f>
        <v>0</v>
      </c>
      <c r="I36" s="91">
        <f>IF(E36=0,0,HLOOKUP(YEAR(E36)+(MONTH(E36)/100),TC!$5:$37,DAY(E36)+2,FALSE))</f>
        <v>0</v>
      </c>
      <c r="J36" s="80">
        <f t="shared" si="0"/>
        <v>0</v>
      </c>
      <c r="K36" s="90"/>
    </row>
    <row r="37" spans="2:11" ht="21" customHeight="1">
      <c r="B37" s="674"/>
      <c r="C37" s="674"/>
      <c r="D37" s="74"/>
      <c r="E37" s="609"/>
      <c r="F37" s="538"/>
      <c r="G37" s="610"/>
      <c r="H37" s="91">
        <f>IF(F37=0,0,IF(F37="MXN",1/HLOOKUP(YEAR(E37)+(MONTH(E37)/100),TC!$5:$37,DAY(E37)+2,FALSE),VLOOKUP(F37,Equivalencias!$1:$24,((MAX(Equivalencias!$3:$3)-YEAR(E37))*14)+MONTH(E37)+2,FALSE)))</f>
        <v>0</v>
      </c>
      <c r="I37" s="91">
        <f>IF(E37=0,0,HLOOKUP(YEAR(E37)+(MONTH(E37)/100),TC!$5:$37,DAY(E37)+2,FALSE))</f>
        <v>0</v>
      </c>
      <c r="J37" s="80">
        <f t="shared" si="0"/>
        <v>0</v>
      </c>
      <c r="K37" s="90"/>
    </row>
    <row r="38" spans="2:11" ht="21" customHeight="1">
      <c r="B38" s="674"/>
      <c r="C38" s="674"/>
      <c r="D38" s="74"/>
      <c r="E38" s="609"/>
      <c r="F38" s="538"/>
      <c r="G38" s="610"/>
      <c r="H38" s="91">
        <f>IF(F38=0,0,IF(F38="MXN",1/HLOOKUP(YEAR(E38)+(MONTH(E38)/100),TC!$5:$37,DAY(E38)+2,FALSE),VLOOKUP(F38,Equivalencias!$1:$24,((MAX(Equivalencias!$3:$3)-YEAR(E38))*14)+MONTH(E38)+2,FALSE)))</f>
        <v>0</v>
      </c>
      <c r="I38" s="91">
        <f>IF(E38=0,0,HLOOKUP(YEAR(E38)+(MONTH(E38)/100),TC!$5:$37,DAY(E38)+2,FALSE))</f>
        <v>0</v>
      </c>
      <c r="J38" s="80">
        <f t="shared" si="0"/>
        <v>0</v>
      </c>
      <c r="K38" s="90"/>
    </row>
    <row r="39" spans="2:11" ht="21" customHeight="1">
      <c r="B39" s="674"/>
      <c r="C39" s="674"/>
      <c r="D39" s="74"/>
      <c r="E39" s="609"/>
      <c r="F39" s="538"/>
      <c r="G39" s="610"/>
      <c r="H39" s="91">
        <f>IF(F39=0,0,IF(F39="MXN",1/HLOOKUP(YEAR(E39)+(MONTH(E39)/100),TC!$5:$37,DAY(E39)+2,FALSE),VLOOKUP(F39,Equivalencias!$1:$24,((MAX(Equivalencias!$3:$3)-YEAR(E39))*14)+MONTH(E39)+2,FALSE)))</f>
        <v>0</v>
      </c>
      <c r="I39" s="91">
        <f>IF(E39=0,0,HLOOKUP(YEAR(E39)+(MONTH(E39)/100),TC!$5:$37,DAY(E39)+2,FALSE))</f>
        <v>0</v>
      </c>
      <c r="J39" s="80">
        <f t="shared" si="0"/>
        <v>0</v>
      </c>
      <c r="K39" s="90"/>
    </row>
    <row r="40" spans="2:11" ht="21" customHeight="1">
      <c r="B40" s="675" t="s">
        <v>575</v>
      </c>
      <c r="C40" s="675"/>
      <c r="D40" s="166"/>
      <c r="E40" s="166"/>
      <c r="F40" s="166"/>
      <c r="G40" s="166"/>
      <c r="H40" s="166"/>
      <c r="I40" s="166"/>
      <c r="J40" s="167">
        <f>SUM(J33:J39)</f>
        <v>0</v>
      </c>
    </row>
    <row r="43" spans="2:11" ht="27">
      <c r="B43" s="566" t="s">
        <v>576</v>
      </c>
      <c r="C43" s="567"/>
    </row>
    <row r="44" spans="2:11" ht="38.4">
      <c r="B44" s="673" t="s">
        <v>399</v>
      </c>
      <c r="C44" s="673"/>
      <c r="D44" s="41"/>
      <c r="E44" s="15" t="s">
        <v>577</v>
      </c>
      <c r="F44" s="90" t="s">
        <v>578</v>
      </c>
      <c r="G44" s="90" t="s">
        <v>579</v>
      </c>
      <c r="H44" s="90" t="s">
        <v>572</v>
      </c>
      <c r="I44" s="90" t="s">
        <v>573</v>
      </c>
      <c r="J44" s="90" t="s">
        <v>580</v>
      </c>
    </row>
    <row r="45" spans="2:11" ht="21" customHeight="1">
      <c r="B45" s="674"/>
      <c r="C45" s="674"/>
      <c r="D45" s="74"/>
      <c r="E45" s="609"/>
      <c r="F45" s="538"/>
      <c r="G45" s="610"/>
      <c r="H45" s="91">
        <f>IF(F45=0,0,IF(F45="MXN",1/HLOOKUP(YEAR(E45)+(MONTH(E45)/100),TC!$5:$37,DAY(E45)+2,FALSE),VLOOKUP(F45,Equivalencias!$1:$24,((MAX(Equivalencias!$3:$3)-YEAR(E45))*14)+MONTH(E45)+2,FALSE)))</f>
        <v>0</v>
      </c>
      <c r="I45" s="91">
        <f>IF(E45=0,0,HLOOKUP(YEAR(E45)+(MONTH(E45)/100),TC!$5:$37,DAY(E45)+2,FALSE))</f>
        <v>0</v>
      </c>
      <c r="J45" s="80">
        <f t="shared" ref="J45:J51" si="1">G45*H45*I45</f>
        <v>0</v>
      </c>
      <c r="K45" s="90"/>
    </row>
    <row r="46" spans="2:11" ht="21" customHeight="1">
      <c r="B46" s="674"/>
      <c r="C46" s="674"/>
      <c r="D46" s="74"/>
      <c r="E46" s="609"/>
      <c r="F46" s="538"/>
      <c r="G46" s="610"/>
      <c r="H46" s="91">
        <f>IF(F46=0,0,IF(F46="MXN",1/HLOOKUP(YEAR(E46)+(MONTH(E46)/100),TC!$5:$37,DAY(E46)+2,FALSE),VLOOKUP(F46,Equivalencias!$1:$24,((MAX(Equivalencias!$3:$3)-YEAR(E46))*14)+MONTH(E46)+2,FALSE)))</f>
        <v>0</v>
      </c>
      <c r="I46" s="91">
        <f>IF(E46=0,0,HLOOKUP(YEAR(E46)+(MONTH(E46)/100),TC!$5:$37,DAY(E46)+2,FALSE))</f>
        <v>0</v>
      </c>
      <c r="J46" s="80">
        <f t="shared" si="1"/>
        <v>0</v>
      </c>
      <c r="K46" s="90"/>
    </row>
    <row r="47" spans="2:11" ht="21" customHeight="1">
      <c r="B47" s="674"/>
      <c r="C47" s="674"/>
      <c r="D47" s="74"/>
      <c r="E47" s="609"/>
      <c r="F47" s="538"/>
      <c r="G47" s="610"/>
      <c r="H47" s="91">
        <f>IF(F47=0,0,IF(F47="MXN",1/HLOOKUP(YEAR(E47)+(MONTH(E47)/100),TC!$5:$37,DAY(E47)+2,FALSE),VLOOKUP(F47,Equivalencias!$1:$24,((MAX(Equivalencias!$3:$3)-YEAR(E47))*14)+MONTH(E47)+2,FALSE)))</f>
        <v>0</v>
      </c>
      <c r="I47" s="91">
        <f>IF(E47=0,0,HLOOKUP(YEAR(E47)+(MONTH(E47)/100),TC!$5:$37,DAY(E47)+2,FALSE))</f>
        <v>0</v>
      </c>
      <c r="J47" s="80">
        <f t="shared" si="1"/>
        <v>0</v>
      </c>
      <c r="K47" s="90"/>
    </row>
    <row r="48" spans="2:11" ht="21" customHeight="1">
      <c r="B48" s="674"/>
      <c r="C48" s="674"/>
      <c r="D48" s="74"/>
      <c r="E48" s="609"/>
      <c r="F48" s="538"/>
      <c r="G48" s="610"/>
      <c r="H48" s="91">
        <f>IF(F48=0,0,IF(F48="MXN",1/HLOOKUP(YEAR(E48)+(MONTH(E48)/100),TC!$5:$37,DAY(E48)+2,FALSE),VLOOKUP(F48,Equivalencias!$1:$24,((MAX(Equivalencias!$3:$3)-YEAR(E48))*14)+MONTH(E48)+2,FALSE)))</f>
        <v>0</v>
      </c>
      <c r="I48" s="91">
        <f>IF(E48=0,0,HLOOKUP(YEAR(E48)+(MONTH(E48)/100),TC!$5:$37,DAY(E48)+2,FALSE))</f>
        <v>0</v>
      </c>
      <c r="J48" s="80">
        <f t="shared" si="1"/>
        <v>0</v>
      </c>
      <c r="K48" s="90"/>
    </row>
    <row r="49" spans="2:11" ht="21" customHeight="1">
      <c r="B49" s="674"/>
      <c r="C49" s="674"/>
      <c r="D49" s="74"/>
      <c r="E49" s="609"/>
      <c r="F49" s="538"/>
      <c r="G49" s="610"/>
      <c r="H49" s="91">
        <f>IF(F49=0,0,IF(F49="MXN",1/HLOOKUP(YEAR(E49)+(MONTH(E49)/100),TC!$5:$37,DAY(E49)+2,FALSE),VLOOKUP(F49,Equivalencias!$1:$24,((MAX(Equivalencias!$3:$3)-YEAR(E49))*14)+MONTH(E49)+2,FALSE)))</f>
        <v>0</v>
      </c>
      <c r="I49" s="91">
        <f>IF(E49=0,0,HLOOKUP(YEAR(E49)+(MONTH(E49)/100),TC!$5:$37,DAY(E49)+2,FALSE))</f>
        <v>0</v>
      </c>
      <c r="J49" s="80">
        <f t="shared" si="1"/>
        <v>0</v>
      </c>
      <c r="K49" s="90"/>
    </row>
    <row r="50" spans="2:11" ht="21" customHeight="1">
      <c r="B50" s="674"/>
      <c r="C50" s="674"/>
      <c r="D50" s="74"/>
      <c r="E50" s="609"/>
      <c r="F50" s="538"/>
      <c r="G50" s="610"/>
      <c r="H50" s="91">
        <f>IF(F50=0,0,IF(F50="MXN",1/HLOOKUP(YEAR(E50)+(MONTH(E50)/100),TC!$5:$37,DAY(E50)+2,FALSE),VLOOKUP(F50,Equivalencias!$1:$24,((MAX(Equivalencias!$3:$3)-YEAR(E50))*14)+MONTH(E50)+2,FALSE)))</f>
        <v>0</v>
      </c>
      <c r="I50" s="91">
        <f>IF(E50=0,0,HLOOKUP(YEAR(E50)+(MONTH(E50)/100),TC!$5:$37,DAY(E50)+2,FALSE))</f>
        <v>0</v>
      </c>
      <c r="J50" s="80">
        <f t="shared" si="1"/>
        <v>0</v>
      </c>
      <c r="K50" s="90"/>
    </row>
    <row r="51" spans="2:11" ht="21" customHeight="1">
      <c r="B51" s="674"/>
      <c r="C51" s="674"/>
      <c r="D51" s="74"/>
      <c r="E51" s="609"/>
      <c r="F51" s="538"/>
      <c r="G51" s="610"/>
      <c r="H51" s="91">
        <f>IF(F51=0,0,IF(F51="MXN",1/HLOOKUP(YEAR(E51)+(MONTH(E51)/100),TC!$5:$37,DAY(E51)+2,FALSE),VLOOKUP(F51,Equivalencias!$1:$24,((MAX(Equivalencias!$3:$3)-YEAR(E51))*14)+MONTH(E51)+2,FALSE)))</f>
        <v>0</v>
      </c>
      <c r="I51" s="91">
        <f>IF(E51=0,0,HLOOKUP(YEAR(E51)+(MONTH(E51)/100),TC!$5:$37,DAY(E51)+2,FALSE))</f>
        <v>0</v>
      </c>
      <c r="J51" s="80">
        <f t="shared" si="1"/>
        <v>0</v>
      </c>
      <c r="K51" s="90"/>
    </row>
    <row r="52" spans="2:11" ht="21" customHeight="1">
      <c r="B52" s="675" t="s">
        <v>575</v>
      </c>
      <c r="C52" s="675"/>
      <c r="D52" s="166"/>
      <c r="E52" s="166"/>
      <c r="F52" s="166"/>
      <c r="G52" s="166"/>
      <c r="H52" s="166"/>
      <c r="I52" s="166"/>
      <c r="J52" s="167">
        <f>SUM(J45:J51)</f>
        <v>0</v>
      </c>
    </row>
    <row r="55" spans="2:11" ht="27">
      <c r="B55" s="566" t="s">
        <v>581</v>
      </c>
    </row>
    <row r="56" spans="2:11" ht="38.4">
      <c r="B56" s="673" t="s">
        <v>399</v>
      </c>
      <c r="C56" s="673"/>
      <c r="D56" s="41"/>
      <c r="E56" s="90" t="s">
        <v>582</v>
      </c>
      <c r="F56" s="90" t="s">
        <v>583</v>
      </c>
      <c r="G56" s="90" t="s">
        <v>584</v>
      </c>
      <c r="H56" s="90" t="s">
        <v>572</v>
      </c>
      <c r="I56" s="90" t="s">
        <v>573</v>
      </c>
      <c r="J56" s="90" t="s">
        <v>585</v>
      </c>
    </row>
    <row r="57" spans="2:11" ht="21" customHeight="1">
      <c r="B57" s="674"/>
      <c r="C57" s="674"/>
      <c r="D57" s="74"/>
      <c r="E57" s="609"/>
      <c r="F57" s="538"/>
      <c r="G57" s="610"/>
      <c r="H57" s="91">
        <f>IF(F57=0,0,IF(F57="MXN",1/HLOOKUP(YEAR(E57)+(MONTH(E57)/100),TC!$5:$37,DAY(E57)+2,FALSE),VLOOKUP(F57,Equivalencias!$1:$24,((MAX(Equivalencias!$3:$3)-YEAR(E57))*14)+MONTH(E57)+2,FALSE)))</f>
        <v>0</v>
      </c>
      <c r="I57" s="91">
        <f>IF(E57=0,0,HLOOKUP(YEAR(E57)+(MONTH(E57)/100),TC!$5:$37,DAY(E57)+2,FALSE))</f>
        <v>0</v>
      </c>
      <c r="J57" s="80">
        <f t="shared" ref="J57:J62" si="2">G57*H57*I57</f>
        <v>0</v>
      </c>
      <c r="K57" s="90"/>
    </row>
    <row r="58" spans="2:11" ht="21" customHeight="1">
      <c r="B58" s="674"/>
      <c r="C58" s="674"/>
      <c r="D58" s="74"/>
      <c r="E58" s="609"/>
      <c r="F58" s="538"/>
      <c r="G58" s="610"/>
      <c r="H58" s="91">
        <f>IF(F58=0,0,IF(F58="MXN",1/HLOOKUP(YEAR(E58)+(MONTH(E58)/100),TC!$5:$37,DAY(E58)+2,FALSE),VLOOKUP(F58,Equivalencias!$1:$24,((MAX(Equivalencias!$3:$3)-YEAR(E58))*14)+MONTH(E58)+2,FALSE)))</f>
        <v>0</v>
      </c>
      <c r="I58" s="91">
        <f>IF(E58=0,0,HLOOKUP(YEAR(E58)+(MONTH(E58)/100),TC!$5:$37,DAY(E58)+2,FALSE))</f>
        <v>0</v>
      </c>
      <c r="J58" s="80">
        <f>G58*H58*I58</f>
        <v>0</v>
      </c>
      <c r="K58" s="90"/>
    </row>
    <row r="59" spans="2:11" ht="21" customHeight="1">
      <c r="B59" s="674"/>
      <c r="C59" s="674"/>
      <c r="D59" s="74"/>
      <c r="E59" s="609"/>
      <c r="F59" s="538"/>
      <c r="G59" s="610"/>
      <c r="H59" s="91">
        <f>IF(F59=0,0,IF(F59="MXN",1/HLOOKUP(YEAR(E59)+(MONTH(E59)/100),TC!$5:$37,DAY(E59)+2,FALSE),VLOOKUP(F59,Equivalencias!$1:$24,((MAX(Equivalencias!$3:$3)-YEAR(E59))*14)+MONTH(E59)+2,FALSE)))</f>
        <v>0</v>
      </c>
      <c r="I59" s="91">
        <f>IF(E59=0,0,HLOOKUP(YEAR(E59)+(MONTH(E59)/100),TC!$5:$37,DAY(E59)+2,FALSE))</f>
        <v>0</v>
      </c>
      <c r="J59" s="80">
        <f>G59*H59*I59</f>
        <v>0</v>
      </c>
      <c r="K59" s="90"/>
    </row>
    <row r="60" spans="2:11" ht="21" customHeight="1">
      <c r="B60" s="674"/>
      <c r="C60" s="674"/>
      <c r="D60" s="74"/>
      <c r="E60" s="609"/>
      <c r="F60" s="538"/>
      <c r="G60" s="610"/>
      <c r="H60" s="91">
        <f>IF(F60=0,0,IF(F60="MXN",1/HLOOKUP(YEAR(E60)+(MONTH(E60)/100),TC!$5:$37,DAY(E60)+2,FALSE),VLOOKUP(F60,Equivalencias!$1:$24,((MAX(Equivalencias!$3:$3)-YEAR(E60))*14)+MONTH(E60)+2,FALSE)))</f>
        <v>0</v>
      </c>
      <c r="I60" s="91">
        <f>IF(E60=0,0,HLOOKUP(YEAR(E60)+(MONTH(E60)/100),TC!$5:$37,DAY(E60)+2,FALSE))</f>
        <v>0</v>
      </c>
      <c r="J60" s="80">
        <f>G60*H60*I60</f>
        <v>0</v>
      </c>
      <c r="K60" s="90"/>
    </row>
    <row r="61" spans="2:11" ht="21" customHeight="1">
      <c r="B61" s="674"/>
      <c r="C61" s="674"/>
      <c r="D61" s="74"/>
      <c r="E61" s="609"/>
      <c r="F61" s="538"/>
      <c r="G61" s="610"/>
      <c r="H61" s="91">
        <f>IF(F61=0,0,IF(F61="MXN",1/HLOOKUP(YEAR(E61)+(MONTH(E61)/100),TC!$5:$37,DAY(E61)+2,FALSE),VLOOKUP(F61,Equivalencias!$1:$24,((MAX(Equivalencias!$3:$3)-YEAR(E61))*14)+MONTH(E61)+2,FALSE)))</f>
        <v>0</v>
      </c>
      <c r="I61" s="91">
        <f>IF(E61=0,0,HLOOKUP(YEAR(E61)+(MONTH(E61)/100),TC!$5:$37,DAY(E61)+2,FALSE))</f>
        <v>0</v>
      </c>
      <c r="J61" s="80">
        <f>G61*H61*I61</f>
        <v>0</v>
      </c>
      <c r="K61" s="90"/>
    </row>
    <row r="62" spans="2:11" ht="21" customHeight="1">
      <c r="B62" s="674"/>
      <c r="C62" s="674"/>
      <c r="D62" s="74"/>
      <c r="E62" s="609"/>
      <c r="F62" s="538"/>
      <c r="G62" s="610"/>
      <c r="H62" s="91">
        <f>IF(F62=0,0,IF(F62="MXN",1/HLOOKUP(YEAR(E62)+(MONTH(E62)/100),TC!$5:$37,DAY(E62)+2,FALSE),VLOOKUP(F62,Equivalencias!$1:$24,((MAX(Equivalencias!$3:$3)-YEAR(E62))*14)+MONTH(E62)+2,FALSE)))</f>
        <v>0</v>
      </c>
      <c r="I62" s="91">
        <f>IF(E62=0,0,HLOOKUP(YEAR(E62)+(MONTH(E62)/100),TC!$5:$37,DAY(E62)+2,FALSE))</f>
        <v>0</v>
      </c>
      <c r="J62" s="80">
        <f t="shared" si="2"/>
        <v>0</v>
      </c>
      <c r="K62" s="90"/>
    </row>
    <row r="63" spans="2:11" ht="21" customHeight="1">
      <c r="B63" s="674"/>
      <c r="C63" s="674"/>
      <c r="D63" s="74"/>
      <c r="E63" s="609"/>
      <c r="F63" s="538"/>
      <c r="G63" s="610"/>
      <c r="H63" s="91">
        <f>IF(F63=0,0,IF(F63="MXN",1/HLOOKUP(YEAR(E63)+(MONTH(E63)/100),TC!$5:$37,DAY(E63)+2,FALSE),VLOOKUP(F63,Equivalencias!$1:$24,((MAX(Equivalencias!$3:$3)-YEAR(E63))*14)+MONTH(E63)+2,FALSE)))</f>
        <v>0</v>
      </c>
      <c r="I63" s="91">
        <f>IF(E63=0,0,HLOOKUP(YEAR(E63)+(MONTH(E63)/100),TC!$5:$37,DAY(E63)+2,FALSE))</f>
        <v>0</v>
      </c>
      <c r="J63" s="80">
        <f>G63*H63*I63</f>
        <v>0</v>
      </c>
      <c r="K63" s="90"/>
    </row>
    <row r="64" spans="2:11" ht="21" customHeight="1">
      <c r="B64" s="675" t="s">
        <v>586</v>
      </c>
      <c r="C64" s="675"/>
      <c r="D64" s="166"/>
      <c r="E64" s="166"/>
      <c r="F64" s="166"/>
      <c r="G64" s="166"/>
      <c r="H64" s="166"/>
      <c r="I64" s="166"/>
      <c r="J64" s="167">
        <f>SUM(J57:J63)</f>
        <v>0</v>
      </c>
    </row>
  </sheetData>
  <mergeCells count="27">
    <mergeCell ref="B63:C63"/>
    <mergeCell ref="B57:C57"/>
    <mergeCell ref="B58:C58"/>
    <mergeCell ref="B64:C64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9:C59"/>
    <mergeCell ref="B60:C60"/>
    <mergeCell ref="B61:C61"/>
    <mergeCell ref="B62:C62"/>
    <mergeCell ref="B37:C37"/>
    <mergeCell ref="B38:C38"/>
    <mergeCell ref="B39:C39"/>
    <mergeCell ref="B40:C40"/>
    <mergeCell ref="B56:C56"/>
    <mergeCell ref="B32:C32"/>
    <mergeCell ref="B33:C33"/>
    <mergeCell ref="B34:C34"/>
    <mergeCell ref="B35:C35"/>
    <mergeCell ref="B36:C36"/>
  </mergeCells>
  <phoneticPr fontId="7" type="noConversion"/>
  <printOptions horizontalCentered="1"/>
  <pageMargins left="0.7" right="0.7" top="0.75" bottom="0.75" header="0.3" footer="0.3"/>
  <pageSetup scale="4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001E70-472A-E544-B39E-5CB974824886}">
          <x14:formula1>
            <xm:f>Equivalencias!$A$4:$A$24</xm:f>
          </x14:formula1>
          <xm:sqref>F33:F39 F45:F51 F57:F63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D25D-4FDA-9A4B-B052-7533B0A596E9}">
  <sheetPr>
    <pageSetUpPr fitToPage="1"/>
  </sheetPr>
  <dimension ref="A3:AC224"/>
  <sheetViews>
    <sheetView showGridLines="0" topLeftCell="A51" zoomScale="110" zoomScaleNormal="110" zoomScaleSheetLayoutView="90" workbookViewId="0">
      <selection activeCell="M73" sqref="M73"/>
    </sheetView>
  </sheetViews>
  <sheetFormatPr defaultColWidth="11" defaultRowHeight="15.6"/>
  <cols>
    <col min="2" max="2" width="15.5" customWidth="1"/>
    <col min="3" max="3" width="30.796875" customWidth="1"/>
    <col min="4" max="4" width="24.796875" customWidth="1"/>
    <col min="5" max="5" width="20" customWidth="1"/>
    <col min="6" max="6" width="23.69921875" customWidth="1"/>
    <col min="7" max="7" width="17.69921875" customWidth="1"/>
    <col min="8" max="8" width="20.19921875" customWidth="1"/>
    <col min="9" max="9" width="17.69921875" customWidth="1"/>
    <col min="10" max="10" width="21.296875" customWidth="1"/>
    <col min="11" max="11" width="17.796875" customWidth="1"/>
    <col min="12" max="12" width="17.296875" customWidth="1"/>
    <col min="13" max="13" width="19.19921875" customWidth="1"/>
    <col min="14" max="14" width="19.69921875" customWidth="1"/>
    <col min="15" max="15" width="22" customWidth="1"/>
    <col min="16" max="16" width="17.796875" customWidth="1"/>
    <col min="17" max="17" width="14.69921875" customWidth="1"/>
    <col min="18" max="18" width="21.796875" customWidth="1"/>
    <col min="19" max="19" width="18.296875" customWidth="1"/>
    <col min="20" max="20" width="22" customWidth="1"/>
    <col min="21" max="21" width="26.5" customWidth="1"/>
    <col min="22" max="22" width="20.69921875" customWidth="1"/>
    <col min="24" max="24" width="11.19921875" bestFit="1" customWidth="1"/>
    <col min="28" max="28" width="28.69921875" bestFit="1" customWidth="1"/>
    <col min="29" max="29" width="26.19921875" customWidth="1"/>
  </cols>
  <sheetData>
    <row r="3" spans="1:29" ht="24.6">
      <c r="A3" s="251">
        <v>1</v>
      </c>
      <c r="B3" s="232" t="s">
        <v>587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9">
      <c r="B4" s="214" t="s">
        <v>588</v>
      </c>
      <c r="C4" s="214" t="s">
        <v>806</v>
      </c>
      <c r="D4" s="214"/>
      <c r="E4" s="214"/>
      <c r="F4" s="214"/>
      <c r="G4" s="214"/>
      <c r="H4" s="214"/>
      <c r="I4" s="215"/>
      <c r="J4" s="215"/>
      <c r="K4" s="215"/>
      <c r="L4" s="215"/>
      <c r="M4" s="215"/>
      <c r="N4" s="215"/>
      <c r="O4" s="215"/>
      <c r="P4" s="214" t="s">
        <v>589</v>
      </c>
      <c r="Q4" s="214" t="s">
        <v>590</v>
      </c>
      <c r="R4" s="215"/>
      <c r="S4" s="215"/>
      <c r="T4" s="215"/>
      <c r="U4" s="215"/>
      <c r="V4" s="215"/>
    </row>
    <row r="5" spans="1:29" ht="19.2"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</row>
    <row r="6" spans="1:29" ht="45">
      <c r="B6" s="216" t="s">
        <v>591</v>
      </c>
      <c r="C6" s="216" t="s">
        <v>592</v>
      </c>
      <c r="D6" s="216" t="s">
        <v>593</v>
      </c>
      <c r="E6" s="216" t="s">
        <v>594</v>
      </c>
      <c r="F6" s="216" t="s">
        <v>595</v>
      </c>
      <c r="G6" s="216" t="s">
        <v>596</v>
      </c>
      <c r="H6" s="216" t="s">
        <v>597</v>
      </c>
      <c r="I6" s="216" t="s">
        <v>598</v>
      </c>
      <c r="J6" s="216" t="s">
        <v>599</v>
      </c>
      <c r="K6" s="216" t="s">
        <v>600</v>
      </c>
      <c r="L6" s="216" t="s">
        <v>601</v>
      </c>
      <c r="M6" s="216" t="s">
        <v>602</v>
      </c>
      <c r="N6" s="216" t="s">
        <v>603</v>
      </c>
      <c r="O6" s="216" t="s">
        <v>604</v>
      </c>
      <c r="P6" s="216" t="s">
        <v>605</v>
      </c>
      <c r="Q6" s="216" t="s">
        <v>606</v>
      </c>
      <c r="R6" s="216" t="s">
        <v>807</v>
      </c>
      <c r="S6" s="216" t="s">
        <v>607</v>
      </c>
      <c r="T6" s="216" t="s">
        <v>608</v>
      </c>
      <c r="U6" s="216" t="s">
        <v>609</v>
      </c>
      <c r="V6" s="216" t="s">
        <v>808</v>
      </c>
      <c r="AB6" s="216" t="s">
        <v>610</v>
      </c>
      <c r="AC6" s="216" t="s">
        <v>593</v>
      </c>
    </row>
    <row r="7" spans="1:29" ht="19.2"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8"/>
      <c r="V7" s="217"/>
      <c r="AB7" s="262" t="s">
        <v>611</v>
      </c>
      <c r="AC7" s="263" t="s">
        <v>315</v>
      </c>
    </row>
    <row r="8" spans="1:29" ht="19.2">
      <c r="B8" s="22">
        <v>2014</v>
      </c>
      <c r="C8" s="263"/>
      <c r="D8" s="263"/>
      <c r="E8" s="268"/>
      <c r="F8" s="238"/>
      <c r="G8" s="264"/>
      <c r="H8" s="265"/>
      <c r="I8" s="266"/>
      <c r="J8" s="221">
        <f>+IF(F8=0,0,VLOOKUP(YEAR(I8),INPC!$B$4:$O$31,MONTH(I8)+1))</f>
        <v>0</v>
      </c>
      <c r="K8" s="264"/>
      <c r="L8" s="264"/>
      <c r="M8" s="265"/>
      <c r="N8" s="266"/>
      <c r="O8" s="221">
        <f>+IF(F8=0,0,VLOOKUP(YEAR(N8),INPC!$B$4:$O$31,MONTH(N8)+1))</f>
        <v>0</v>
      </c>
      <c r="P8" s="222">
        <f>IF(F8=0,0,TRUNC(O8/J8,4))</f>
        <v>0</v>
      </c>
      <c r="Q8" s="223">
        <f>+P8*F8</f>
        <v>0</v>
      </c>
      <c r="R8" s="238"/>
      <c r="S8" s="224">
        <f>+Q8-R8</f>
        <v>0</v>
      </c>
      <c r="T8" s="263"/>
      <c r="U8" s="263"/>
      <c r="V8" s="231">
        <f>IF(V9=0,S8,0.0000001)</f>
        <v>0</v>
      </c>
      <c r="AB8" s="262" t="s">
        <v>612</v>
      </c>
      <c r="AC8" s="263" t="s">
        <v>613</v>
      </c>
    </row>
    <row r="9" spans="1:29" ht="19.2">
      <c r="B9" s="22"/>
      <c r="C9" s="22"/>
      <c r="D9" s="22"/>
      <c r="E9" s="218"/>
      <c r="F9" s="239"/>
      <c r="G9" s="239">
        <f>+S8</f>
        <v>0</v>
      </c>
      <c r="H9" s="221"/>
      <c r="I9" s="221"/>
      <c r="J9" s="221"/>
      <c r="K9" s="219">
        <f>+M8</f>
        <v>0</v>
      </c>
      <c r="L9" s="221">
        <f>+O8</f>
        <v>0</v>
      </c>
      <c r="M9" s="265"/>
      <c r="N9" s="266"/>
      <c r="O9" s="221">
        <f>+IF(M9=0,0,VLOOKUP(YEAR(N9),INPC!$B$4:$O$31,MONTH(N9)+1))</f>
        <v>0</v>
      </c>
      <c r="P9" s="222">
        <f>IF(M9=0,0,TRUNC(O9/L9,4))</f>
        <v>0</v>
      </c>
      <c r="Q9" s="223">
        <f>+P9*G9</f>
        <v>0</v>
      </c>
      <c r="R9" s="238"/>
      <c r="S9" s="224">
        <f>+Q9-R9</f>
        <v>0</v>
      </c>
      <c r="T9" s="263"/>
      <c r="U9" s="263"/>
      <c r="V9" s="231">
        <f>IF(V10=0,S9,0.0000001)</f>
        <v>0</v>
      </c>
      <c r="AB9" s="262" t="s">
        <v>614</v>
      </c>
      <c r="AC9" s="263" t="s">
        <v>615</v>
      </c>
    </row>
    <row r="10" spans="1:29" ht="19.2">
      <c r="B10" s="22"/>
      <c r="C10" s="22"/>
      <c r="D10" s="22"/>
      <c r="E10" s="218"/>
      <c r="F10" s="239"/>
      <c r="G10" s="239">
        <f>+S9</f>
        <v>0</v>
      </c>
      <c r="H10" s="221"/>
      <c r="I10" s="221"/>
      <c r="J10" s="221"/>
      <c r="K10" s="219">
        <f>+M9</f>
        <v>0</v>
      </c>
      <c r="L10" s="221">
        <f>+O9</f>
        <v>0</v>
      </c>
      <c r="M10" s="265"/>
      <c r="N10" s="266"/>
      <c r="O10" s="221">
        <f>+IF(M10=0,0,VLOOKUP(YEAR(N10),INPC!$B$4:$O$31,MONTH(N10)+1))</f>
        <v>0</v>
      </c>
      <c r="P10" s="222">
        <f>IF(M10=0,0,TRUNC(O10/L10,4))</f>
        <v>0</v>
      </c>
      <c r="Q10" s="223">
        <f>+P10*G10</f>
        <v>0</v>
      </c>
      <c r="R10" s="238">
        <v>0</v>
      </c>
      <c r="S10" s="224">
        <f>+Q10-R10</f>
        <v>0</v>
      </c>
      <c r="T10" s="263"/>
      <c r="U10" s="263"/>
      <c r="V10" s="231">
        <f>IF(V11=0,S10,0)</f>
        <v>0</v>
      </c>
      <c r="AB10" s="262" t="s">
        <v>616</v>
      </c>
      <c r="AC10" s="263" t="s">
        <v>617</v>
      </c>
    </row>
    <row r="11" spans="1:29" ht="19.2"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AB11" s="262"/>
      <c r="AC11" s="263"/>
    </row>
    <row r="12" spans="1:29" ht="19.2">
      <c r="B12" s="22">
        <v>2015</v>
      </c>
      <c r="C12" s="263"/>
      <c r="D12" s="263"/>
      <c r="E12" s="268"/>
      <c r="F12" s="238">
        <v>0</v>
      </c>
      <c r="G12" s="264"/>
      <c r="H12" s="265"/>
      <c r="I12" s="266"/>
      <c r="J12" s="221">
        <f>+IF(F12=0,0,VLOOKUP(YEAR(I12),INPC!$B$4:$O$31,MONTH(I12)+1))</f>
        <v>0</v>
      </c>
      <c r="K12" s="264"/>
      <c r="L12" s="264"/>
      <c r="M12" s="265"/>
      <c r="N12" s="266"/>
      <c r="O12" s="221">
        <f>+IF(F12=0,0,VLOOKUP(YEAR(N12),INPC!$B$4:$O$31,MONTH(N12)+1))</f>
        <v>0</v>
      </c>
      <c r="P12" s="222">
        <f>IF(F12=0,0,TRUNC(O12/J12,4))</f>
        <v>0</v>
      </c>
      <c r="Q12" s="223">
        <f>+P12*F12</f>
        <v>0</v>
      </c>
      <c r="R12" s="238"/>
      <c r="S12" s="224">
        <f>+Q12-R12</f>
        <v>0</v>
      </c>
      <c r="T12" s="263"/>
      <c r="U12" s="263"/>
      <c r="V12" s="231">
        <f>IF(V13=0,S12,0.0000001)</f>
        <v>0</v>
      </c>
      <c r="AB12" s="262"/>
      <c r="AC12" s="263"/>
    </row>
    <row r="13" spans="1:29" ht="19.2">
      <c r="B13" s="22"/>
      <c r="C13" s="22"/>
      <c r="D13" s="22"/>
      <c r="E13" s="218"/>
      <c r="F13" s="239"/>
      <c r="G13" s="239">
        <f>+S12</f>
        <v>0</v>
      </c>
      <c r="H13" s="221"/>
      <c r="I13" s="221"/>
      <c r="J13" s="221"/>
      <c r="K13" s="219">
        <f>+M12</f>
        <v>0</v>
      </c>
      <c r="L13" s="221">
        <f>+O12</f>
        <v>0</v>
      </c>
      <c r="M13" s="265"/>
      <c r="N13" s="266"/>
      <c r="O13" s="221">
        <f>+IF(M13=0,0,VLOOKUP(YEAR(N13),INPC!$B$4:$O$31,MONTH(N13)+1))</f>
        <v>0</v>
      </c>
      <c r="P13" s="222">
        <f>IF(M13=0,0,TRUNC(O13/L13,4))</f>
        <v>0</v>
      </c>
      <c r="Q13" s="223">
        <f>+P13*G13</f>
        <v>0</v>
      </c>
      <c r="R13" s="238"/>
      <c r="S13" s="224">
        <f>+Q13-R13</f>
        <v>0</v>
      </c>
      <c r="T13" s="263"/>
      <c r="U13" s="263"/>
      <c r="V13" s="231">
        <f>IF(V14=0,S13,0.0000001)</f>
        <v>0</v>
      </c>
    </row>
    <row r="14" spans="1:29" ht="19.2">
      <c r="B14" s="22"/>
      <c r="C14" s="22"/>
      <c r="D14" s="22"/>
      <c r="E14" s="218"/>
      <c r="F14" s="239"/>
      <c r="G14" s="239">
        <f>+S13</f>
        <v>0</v>
      </c>
      <c r="H14" s="221"/>
      <c r="I14" s="221"/>
      <c r="J14" s="221"/>
      <c r="K14" s="219">
        <f>+M13</f>
        <v>0</v>
      </c>
      <c r="L14" s="221">
        <f>+O13</f>
        <v>0</v>
      </c>
      <c r="M14" s="265"/>
      <c r="N14" s="266"/>
      <c r="O14" s="221">
        <f>+IF(M14=0,0,VLOOKUP(YEAR(N14),INPC!$B$4:$O$31,MONTH(N14)+1))</f>
        <v>0</v>
      </c>
      <c r="P14" s="222">
        <f>IF(M14=0,0,TRUNC(O14/L14,4))</f>
        <v>0</v>
      </c>
      <c r="Q14" s="223">
        <f>+P14*G14</f>
        <v>0</v>
      </c>
      <c r="R14" s="238">
        <v>0</v>
      </c>
      <c r="S14" s="224">
        <f>+Q14-R14</f>
        <v>0</v>
      </c>
      <c r="T14" s="263"/>
      <c r="U14" s="263"/>
      <c r="V14" s="231">
        <f>IF(V15=0,S14,0)</f>
        <v>0</v>
      </c>
    </row>
    <row r="15" spans="1:29" ht="19.2"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</row>
    <row r="16" spans="1:29" ht="19.2">
      <c r="B16" s="22">
        <v>2016</v>
      </c>
      <c r="C16" s="263"/>
      <c r="D16" s="263"/>
      <c r="E16" s="268"/>
      <c r="F16" s="238">
        <v>0</v>
      </c>
      <c r="G16" s="264"/>
      <c r="H16" s="265"/>
      <c r="I16" s="266"/>
      <c r="J16" s="221">
        <f>+IF(F16=0,0,VLOOKUP(YEAR(I16),INPC!$B$4:$O$31,MONTH(I16)+1))</f>
        <v>0</v>
      </c>
      <c r="K16" s="264"/>
      <c r="L16" s="264"/>
      <c r="M16" s="265"/>
      <c r="N16" s="266"/>
      <c r="O16" s="221">
        <f>+IF(F16=0,0,VLOOKUP(YEAR(N16),INPC!$B$4:$O$31,MONTH(N16)+1))</f>
        <v>0</v>
      </c>
      <c r="P16" s="222">
        <f>IF(F16=0,0,TRUNC(O16/J16,4))</f>
        <v>0</v>
      </c>
      <c r="Q16" s="223">
        <f>+P16*F16</f>
        <v>0</v>
      </c>
      <c r="R16" s="238"/>
      <c r="S16" s="224">
        <f>+Q16-R16</f>
        <v>0</v>
      </c>
      <c r="T16" s="263"/>
      <c r="U16" s="263"/>
      <c r="V16" s="231">
        <f>IF(V17=0,S16,0.0000001)</f>
        <v>0</v>
      </c>
    </row>
    <row r="17" spans="2:22" ht="19.2">
      <c r="B17" s="22"/>
      <c r="C17" s="22"/>
      <c r="D17" s="22"/>
      <c r="E17" s="218"/>
      <c r="F17" s="239"/>
      <c r="G17" s="239">
        <f>+S16</f>
        <v>0</v>
      </c>
      <c r="H17" s="221"/>
      <c r="I17" s="221"/>
      <c r="J17" s="221"/>
      <c r="K17" s="219">
        <f>+M16</f>
        <v>0</v>
      </c>
      <c r="L17" s="221">
        <f>+O16</f>
        <v>0</v>
      </c>
      <c r="M17" s="265"/>
      <c r="N17" s="266"/>
      <c r="O17" s="221">
        <f>+IF(M17=0,0,VLOOKUP(YEAR(N17),INPC!$B$4:$O$31,MONTH(N17)+1))</f>
        <v>0</v>
      </c>
      <c r="P17" s="222">
        <f>IF(M17=0,0,TRUNC(O17/L17,4))</f>
        <v>0</v>
      </c>
      <c r="Q17" s="223">
        <f>+P17*G17</f>
        <v>0</v>
      </c>
      <c r="R17" s="238"/>
      <c r="S17" s="224">
        <f>+Q17-R17</f>
        <v>0</v>
      </c>
      <c r="T17" s="263"/>
      <c r="U17" s="263"/>
      <c r="V17" s="231">
        <f>IF(V18=0,S17,0.0000001)</f>
        <v>0</v>
      </c>
    </row>
    <row r="18" spans="2:22" ht="19.2">
      <c r="B18" s="22"/>
      <c r="C18" s="22"/>
      <c r="D18" s="22"/>
      <c r="E18" s="218"/>
      <c r="F18" s="239"/>
      <c r="G18" s="239">
        <f>+S17</f>
        <v>0</v>
      </c>
      <c r="H18" s="221"/>
      <c r="I18" s="221"/>
      <c r="J18" s="221"/>
      <c r="K18" s="219">
        <f>+M17</f>
        <v>0</v>
      </c>
      <c r="L18" s="221">
        <f>+O17</f>
        <v>0</v>
      </c>
      <c r="M18" s="265"/>
      <c r="N18" s="266"/>
      <c r="O18" s="221">
        <f>+IF(M18=0,0,VLOOKUP(YEAR(N18),INPC!$B$4:$O$31,MONTH(N18)+1))</f>
        <v>0</v>
      </c>
      <c r="P18" s="222">
        <f>IF(M18=0,0,TRUNC(O18/L18,4))</f>
        <v>0</v>
      </c>
      <c r="Q18" s="223">
        <f>+P18*G18</f>
        <v>0</v>
      </c>
      <c r="R18" s="238">
        <v>0</v>
      </c>
      <c r="S18" s="224">
        <f>+Q18-R18</f>
        <v>0</v>
      </c>
      <c r="T18" s="263"/>
      <c r="U18" s="263"/>
      <c r="V18" s="231">
        <f>IF(V19=0,S18,0)</f>
        <v>0</v>
      </c>
    </row>
    <row r="19" spans="2:22" ht="19.2"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</row>
    <row r="20" spans="2:22" ht="19.2">
      <c r="B20" s="22">
        <v>2017</v>
      </c>
      <c r="C20" s="263"/>
      <c r="D20" s="263"/>
      <c r="E20" s="268"/>
      <c r="F20" s="238">
        <v>0</v>
      </c>
      <c r="G20" s="264"/>
      <c r="H20" s="265"/>
      <c r="I20" s="266"/>
      <c r="J20" s="221">
        <f>+IF(F20=0,0,VLOOKUP(YEAR(I20),INPC!$B$4:$O$31,MONTH(I20)+1))</f>
        <v>0</v>
      </c>
      <c r="K20" s="264"/>
      <c r="L20" s="264"/>
      <c r="M20" s="265"/>
      <c r="N20" s="266"/>
      <c r="O20" s="221">
        <f>+IF(F20=0,0,VLOOKUP(YEAR(N20),INPC!$B$4:$O$31,MONTH(N20)+1))</f>
        <v>0</v>
      </c>
      <c r="P20" s="222">
        <f>IF(F20=0,0,TRUNC(O20/J20,4))</f>
        <v>0</v>
      </c>
      <c r="Q20" s="223">
        <f>+P20*F20</f>
        <v>0</v>
      </c>
      <c r="R20" s="238"/>
      <c r="S20" s="224">
        <f>+Q20-R20</f>
        <v>0</v>
      </c>
      <c r="T20" s="263"/>
      <c r="U20" s="263"/>
      <c r="V20" s="231">
        <f>IF(V21=0,S20,0.0000001)</f>
        <v>0</v>
      </c>
    </row>
    <row r="21" spans="2:22" ht="19.2">
      <c r="B21" s="22"/>
      <c r="C21" s="22"/>
      <c r="D21" s="22"/>
      <c r="E21" s="218"/>
      <c r="F21" s="239"/>
      <c r="G21" s="239">
        <f>+S20</f>
        <v>0</v>
      </c>
      <c r="H21" s="221"/>
      <c r="I21" s="221"/>
      <c r="J21" s="221"/>
      <c r="K21" s="219">
        <f>+M20</f>
        <v>0</v>
      </c>
      <c r="L21" s="221">
        <f>+O20</f>
        <v>0</v>
      </c>
      <c r="M21" s="265"/>
      <c r="N21" s="266"/>
      <c r="O21" s="221">
        <f>+IF(M21=0,0,VLOOKUP(YEAR(N21),INPC!$B$4:$O$31,MONTH(N21)+1))</f>
        <v>0</v>
      </c>
      <c r="P21" s="222">
        <f>IF(M21=0,0,TRUNC(O21/L21,4))</f>
        <v>0</v>
      </c>
      <c r="Q21" s="223">
        <f>+P21*G21</f>
        <v>0</v>
      </c>
      <c r="R21" s="238"/>
      <c r="S21" s="224">
        <f>+Q21-R21</f>
        <v>0</v>
      </c>
      <c r="T21" s="263"/>
      <c r="U21" s="263"/>
      <c r="V21" s="231">
        <f>IF(V22=0,S21,0.0000001)</f>
        <v>0</v>
      </c>
    </row>
    <row r="22" spans="2:22" ht="19.2">
      <c r="B22" s="22"/>
      <c r="C22" s="22"/>
      <c r="D22" s="22"/>
      <c r="E22" s="218"/>
      <c r="F22" s="239"/>
      <c r="G22" s="239">
        <f>+S21</f>
        <v>0</v>
      </c>
      <c r="H22" s="221"/>
      <c r="I22" s="221"/>
      <c r="J22" s="221"/>
      <c r="K22" s="219">
        <f>+M21</f>
        <v>0</v>
      </c>
      <c r="L22" s="221">
        <f>+O21</f>
        <v>0</v>
      </c>
      <c r="M22" s="265"/>
      <c r="N22" s="266"/>
      <c r="O22" s="221">
        <f>+IF(M22=0,0,VLOOKUP(YEAR(N22),INPC!$B$4:$O$31,MONTH(N22)+1))</f>
        <v>0</v>
      </c>
      <c r="P22" s="222">
        <f>IF(M22=0,0,TRUNC(O22/L22,4))</f>
        <v>0</v>
      </c>
      <c r="Q22" s="223">
        <f>+P22*G22</f>
        <v>0</v>
      </c>
      <c r="R22" s="238">
        <v>0</v>
      </c>
      <c r="S22" s="224">
        <f>+Q22-R22</f>
        <v>0</v>
      </c>
      <c r="T22" s="263"/>
      <c r="U22" s="263"/>
      <c r="V22" s="231">
        <f>IF(V23=0,S22,0.0000001)</f>
        <v>0</v>
      </c>
    </row>
    <row r="23" spans="2:22" ht="19.2"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39"/>
    </row>
    <row r="24" spans="2:22" ht="19.2">
      <c r="B24" s="22">
        <v>2018</v>
      </c>
      <c r="C24" s="263"/>
      <c r="D24" s="263"/>
      <c r="E24" s="268"/>
      <c r="F24" s="238"/>
      <c r="G24" s="264"/>
      <c r="H24" s="265"/>
      <c r="I24" s="266"/>
      <c r="J24" s="221">
        <f>+IF(F24=0,0,VLOOKUP(YEAR(I24),INPC!$B$4:$O$31,MONTH(I24)+1))</f>
        <v>0</v>
      </c>
      <c r="K24" s="264"/>
      <c r="L24" s="264"/>
      <c r="M24" s="265"/>
      <c r="N24" s="266"/>
      <c r="O24" s="221">
        <f>+IF(F24=0,0,VLOOKUP(YEAR(N24),INPC!$B$4:$O$31,MONTH(N24)+1))</f>
        <v>0</v>
      </c>
      <c r="P24" s="222">
        <f>IF(F24=0,0,TRUNC(O24/J24,4))</f>
        <v>0</v>
      </c>
      <c r="Q24" s="223">
        <f>+P24*F24</f>
        <v>0</v>
      </c>
      <c r="R24" s="272"/>
      <c r="S24" s="224">
        <f>+Q24-R24</f>
        <v>0</v>
      </c>
      <c r="T24" s="263"/>
      <c r="U24" s="263"/>
      <c r="V24" s="231">
        <f>IF(V25=0,S24,0.0000001)</f>
        <v>0</v>
      </c>
    </row>
    <row r="25" spans="2:22" ht="19.2">
      <c r="B25" s="22"/>
      <c r="C25" s="22"/>
      <c r="D25" s="22"/>
      <c r="E25" s="218"/>
      <c r="F25" s="223"/>
      <c r="G25" s="239">
        <f>+S24</f>
        <v>0</v>
      </c>
      <c r="H25" s="221"/>
      <c r="I25" s="221"/>
      <c r="J25" s="221"/>
      <c r="K25" s="219">
        <f>+M24</f>
        <v>0</v>
      </c>
      <c r="L25" s="221">
        <f>+O24</f>
        <v>0</v>
      </c>
      <c r="M25" s="265"/>
      <c r="N25" s="266"/>
      <c r="O25" s="221">
        <f>+IF(M25=0,0,VLOOKUP(YEAR(N25),INPC!$B$4:$O$31,MONTH(N25)+1))</f>
        <v>0</v>
      </c>
      <c r="P25" s="222">
        <f>IF(M25=0,0,TRUNC(O25/L25,4))</f>
        <v>0</v>
      </c>
      <c r="Q25" s="223">
        <f>+P25*G25</f>
        <v>0</v>
      </c>
      <c r="R25" s="238"/>
      <c r="S25" s="224">
        <f>+Q25-R25</f>
        <v>0</v>
      </c>
      <c r="T25" s="263"/>
      <c r="U25" s="263"/>
      <c r="V25" s="231">
        <f>IF(V26=0,S25,0.0000001)</f>
        <v>0</v>
      </c>
    </row>
    <row r="26" spans="2:22" ht="19.2">
      <c r="B26" s="22"/>
      <c r="C26" s="22"/>
      <c r="D26" s="22"/>
      <c r="E26" s="218"/>
      <c r="F26" s="223"/>
      <c r="G26" s="239">
        <f>+S25</f>
        <v>0</v>
      </c>
      <c r="H26" s="221"/>
      <c r="I26" s="221"/>
      <c r="J26" s="221"/>
      <c r="K26" s="219">
        <f>+M25</f>
        <v>0</v>
      </c>
      <c r="L26" s="221">
        <f>+O25</f>
        <v>0</v>
      </c>
      <c r="M26" s="265"/>
      <c r="N26" s="266"/>
      <c r="O26" s="221">
        <f>+IF(M26=0,0,VLOOKUP(YEAR(N26),INPC!$B$4:$O$31,MONTH(N26)+1))</f>
        <v>0</v>
      </c>
      <c r="P26" s="222">
        <f>IF(M26=0,0,TRUNC(O26/L26,4))</f>
        <v>0</v>
      </c>
      <c r="Q26" s="223">
        <f>+P26*G26</f>
        <v>0</v>
      </c>
      <c r="R26" s="238"/>
      <c r="S26" s="224">
        <f>+Q26-R26</f>
        <v>0</v>
      </c>
      <c r="T26" s="263"/>
      <c r="U26" s="263"/>
      <c r="V26" s="231">
        <f>IF(V27=0,S26,0.0000001)</f>
        <v>0</v>
      </c>
    </row>
    <row r="27" spans="2:22" ht="19.2">
      <c r="B27" s="22"/>
      <c r="C27" s="22"/>
      <c r="D27" s="22"/>
      <c r="E27" s="218"/>
      <c r="F27" s="223"/>
      <c r="G27" s="243"/>
      <c r="H27" s="219"/>
      <c r="I27" s="220"/>
      <c r="J27" s="267"/>
      <c r="K27" s="243"/>
      <c r="L27" s="243"/>
      <c r="M27" s="219"/>
      <c r="N27" s="220"/>
      <c r="O27" s="267"/>
      <c r="P27" s="222"/>
      <c r="Q27" s="223"/>
      <c r="R27" s="226"/>
      <c r="S27" s="224"/>
      <c r="T27" s="22"/>
      <c r="U27" s="22"/>
      <c r="V27" s="226"/>
    </row>
    <row r="28" spans="2:22" ht="19.2">
      <c r="B28" s="22">
        <v>2019</v>
      </c>
      <c r="C28" s="263"/>
      <c r="D28" s="263"/>
      <c r="E28" s="268"/>
      <c r="F28" s="238">
        <v>0</v>
      </c>
      <c r="G28" s="264"/>
      <c r="H28" s="265"/>
      <c r="I28" s="266"/>
      <c r="J28" s="221">
        <f>+IF(F28=0,0,VLOOKUP(YEAR(I28),INPC!$B$4:$O$31,MONTH(I28)+1))</f>
        <v>0</v>
      </c>
      <c r="K28" s="264"/>
      <c r="L28" s="264"/>
      <c r="M28" s="265"/>
      <c r="N28" s="266"/>
      <c r="O28" s="221">
        <f>+IF(F28=0,0,VLOOKUP(YEAR(N28),INPC!$B$4:$O$31,MONTH(N28)+1))</f>
        <v>0</v>
      </c>
      <c r="P28" s="222">
        <f>IF(F28=0,0,TRUNC(O28/J28,4))</f>
        <v>0</v>
      </c>
      <c r="Q28" s="223">
        <f>+P28*F28</f>
        <v>0</v>
      </c>
      <c r="R28" s="238"/>
      <c r="S28" s="224">
        <f>+Q28-R28</f>
        <v>0</v>
      </c>
      <c r="T28" s="263"/>
      <c r="U28" s="263"/>
      <c r="V28" s="231">
        <f>IF(V29=0,S28,0.0000001)</f>
        <v>0</v>
      </c>
    </row>
    <row r="29" spans="2:22" ht="19.2">
      <c r="B29" s="22"/>
      <c r="C29" s="22"/>
      <c r="D29" s="22"/>
      <c r="E29" s="218"/>
      <c r="F29" s="239"/>
      <c r="G29" s="239">
        <f>+S28</f>
        <v>0</v>
      </c>
      <c r="H29" s="221"/>
      <c r="I29" s="221"/>
      <c r="J29" s="221"/>
      <c r="K29" s="219">
        <f>+M28</f>
        <v>0</v>
      </c>
      <c r="L29" s="221">
        <f>+O28</f>
        <v>0</v>
      </c>
      <c r="M29" s="265"/>
      <c r="N29" s="266"/>
      <c r="O29" s="221">
        <f>+IF(M29=0,0,VLOOKUP(YEAR(N29),INPC!$B$4:$O$31,MONTH(N29)+1))</f>
        <v>0</v>
      </c>
      <c r="P29" s="222">
        <f>IF(M29=0,0,TRUNC(O29/L29,4))</f>
        <v>0</v>
      </c>
      <c r="Q29" s="223">
        <f>+P29*G29</f>
        <v>0</v>
      </c>
      <c r="R29" s="238"/>
      <c r="S29" s="224">
        <f>+Q29-R29</f>
        <v>0</v>
      </c>
      <c r="T29" s="263"/>
      <c r="U29" s="263"/>
      <c r="V29" s="231">
        <f>IF(V30=0,S29,0.0000001)</f>
        <v>0</v>
      </c>
    </row>
    <row r="30" spans="2:22" ht="19.2">
      <c r="B30" s="22"/>
      <c r="C30" s="22"/>
      <c r="D30" s="22"/>
      <c r="E30" s="218"/>
      <c r="F30" s="239"/>
      <c r="G30" s="239">
        <f>+S29</f>
        <v>0</v>
      </c>
      <c r="H30" s="221"/>
      <c r="I30" s="221"/>
      <c r="J30" s="221"/>
      <c r="K30" s="219">
        <f>+M29</f>
        <v>0</v>
      </c>
      <c r="L30" s="221">
        <f>+O29</f>
        <v>0</v>
      </c>
      <c r="M30" s="265"/>
      <c r="N30" s="266"/>
      <c r="O30" s="221">
        <f>+IF(M30=0,0,VLOOKUP(YEAR(N30),INPC!$B$4:$O$31,MONTH(N30)+1))</f>
        <v>0</v>
      </c>
      <c r="P30" s="222">
        <f>IF(M30=0,0,TRUNC(O30/L30,4))</f>
        <v>0</v>
      </c>
      <c r="Q30" s="223">
        <f>+P30*G30</f>
        <v>0</v>
      </c>
      <c r="R30" s="238">
        <v>0</v>
      </c>
      <c r="S30" s="224">
        <f>+Q30-R30</f>
        <v>0</v>
      </c>
      <c r="T30" s="263"/>
      <c r="U30" s="263"/>
      <c r="V30" s="231">
        <f>IF(V31=0,S30,0.0000001)</f>
        <v>0</v>
      </c>
    </row>
    <row r="31" spans="2:22" ht="19.2">
      <c r="B31" s="22"/>
      <c r="C31" s="22"/>
      <c r="D31" s="22"/>
      <c r="E31" s="218"/>
      <c r="F31" s="239"/>
      <c r="G31" s="239"/>
      <c r="H31" s="219"/>
      <c r="I31" s="219"/>
      <c r="J31" s="219"/>
      <c r="K31" s="219"/>
      <c r="L31" s="221"/>
      <c r="M31" s="219"/>
      <c r="N31" s="220"/>
      <c r="O31" s="221"/>
      <c r="P31" s="222"/>
      <c r="Q31" s="223"/>
      <c r="R31" s="226"/>
      <c r="S31" s="224"/>
      <c r="T31" s="22"/>
      <c r="U31" s="22"/>
      <c r="V31" s="231"/>
    </row>
    <row r="32" spans="2:22" ht="19.2">
      <c r="B32" s="22">
        <v>2020</v>
      </c>
      <c r="C32" s="263"/>
      <c r="D32" s="263"/>
      <c r="E32" s="268"/>
      <c r="F32" s="238">
        <v>0</v>
      </c>
      <c r="G32" s="264"/>
      <c r="H32" s="265"/>
      <c r="I32" s="266"/>
      <c r="J32" s="221">
        <f>+IF(F32=0,0,VLOOKUP(YEAR(I32),INPC!$B$4:$O$31,MONTH(I32)+1))</f>
        <v>0</v>
      </c>
      <c r="K32" s="264"/>
      <c r="L32" s="264"/>
      <c r="M32" s="265"/>
      <c r="N32" s="266"/>
      <c r="O32" s="221">
        <f>+IF(F32=0,0,VLOOKUP(YEAR(N32),INPC!$B$4:$O$31,MONTH(N32)+1))</f>
        <v>0</v>
      </c>
      <c r="P32" s="222">
        <f>IF(F32=0,0,TRUNC(O32/J32,4))</f>
        <v>0</v>
      </c>
      <c r="Q32" s="223">
        <f>+P32*F32</f>
        <v>0</v>
      </c>
      <c r="R32" s="238"/>
      <c r="S32" s="224">
        <f>+Q32-R32</f>
        <v>0</v>
      </c>
      <c r="T32" s="263"/>
      <c r="U32" s="263"/>
      <c r="V32" s="231">
        <f>IF(V33=0,S32,0.0000001)</f>
        <v>0</v>
      </c>
    </row>
    <row r="33" spans="2:24" ht="19.2">
      <c r="B33" s="22"/>
      <c r="C33" s="22"/>
      <c r="D33" s="22"/>
      <c r="E33" s="218"/>
      <c r="F33" s="239"/>
      <c r="G33" s="239">
        <f>+S32</f>
        <v>0</v>
      </c>
      <c r="H33" s="221"/>
      <c r="I33" s="221"/>
      <c r="J33" s="221"/>
      <c r="K33" s="219">
        <f>+M32</f>
        <v>0</v>
      </c>
      <c r="L33" s="221">
        <f>+O32</f>
        <v>0</v>
      </c>
      <c r="M33" s="265"/>
      <c r="N33" s="266"/>
      <c r="O33" s="221">
        <f>+IF(M33=0,0,VLOOKUP(YEAR(N33),INPC!$B$4:$O$31,MONTH(N33)+1))</f>
        <v>0</v>
      </c>
      <c r="P33" s="222">
        <f>IF(M33=0,0,TRUNC(O33/L33,4))</f>
        <v>0</v>
      </c>
      <c r="Q33" s="223">
        <f>+P33*G33</f>
        <v>0</v>
      </c>
      <c r="R33" s="238"/>
      <c r="S33" s="224">
        <f>+Q33-R33</f>
        <v>0</v>
      </c>
      <c r="T33" s="263"/>
      <c r="U33" s="263"/>
      <c r="V33" s="231">
        <f>IF(V34=0,S33,0.0000001)</f>
        <v>0</v>
      </c>
    </row>
    <row r="34" spans="2:24" ht="19.2">
      <c r="B34" s="22"/>
      <c r="C34" s="22"/>
      <c r="D34" s="22"/>
      <c r="E34" s="218"/>
      <c r="F34" s="239"/>
      <c r="G34" s="239">
        <f>+S33</f>
        <v>0</v>
      </c>
      <c r="H34" s="221"/>
      <c r="I34" s="221"/>
      <c r="J34" s="221"/>
      <c r="K34" s="219">
        <f>+M33</f>
        <v>0</v>
      </c>
      <c r="L34" s="221">
        <f>+O33</f>
        <v>0</v>
      </c>
      <c r="M34" s="265"/>
      <c r="N34" s="266"/>
      <c r="O34" s="221">
        <f>+IF(M34=0,0,VLOOKUP(YEAR(N34),INPC!$B$4:$O$31,MONTH(N34)+1))</f>
        <v>0</v>
      </c>
      <c r="P34" s="222">
        <f>IF(M34=0,0,TRUNC(O34/L34,4))</f>
        <v>0</v>
      </c>
      <c r="Q34" s="223">
        <f>+P34*G34</f>
        <v>0</v>
      </c>
      <c r="R34" s="238">
        <v>0</v>
      </c>
      <c r="S34" s="224">
        <f>+Q34-R34</f>
        <v>0</v>
      </c>
      <c r="T34" s="263"/>
      <c r="U34" s="263"/>
      <c r="V34" s="231">
        <f>IF(V35=0,S34,0.0000001)</f>
        <v>0</v>
      </c>
    </row>
    <row r="35" spans="2:24" ht="19.2">
      <c r="B35" s="22"/>
      <c r="C35" s="22"/>
      <c r="D35" s="22"/>
      <c r="E35" s="218"/>
      <c r="F35" s="239"/>
      <c r="G35" s="239"/>
      <c r="H35" s="219"/>
      <c r="I35" s="219"/>
      <c r="J35" s="219"/>
      <c r="K35" s="219"/>
      <c r="L35" s="221"/>
      <c r="M35" s="219"/>
      <c r="N35" s="220"/>
      <c r="O35" s="221"/>
      <c r="P35" s="222"/>
      <c r="Q35" s="223"/>
      <c r="R35" s="226"/>
      <c r="S35" s="224"/>
      <c r="T35" s="22"/>
      <c r="U35" s="22"/>
      <c r="V35" s="231"/>
    </row>
    <row r="36" spans="2:24" ht="19.2">
      <c r="B36" s="22">
        <v>2021</v>
      </c>
      <c r="C36" s="263"/>
      <c r="D36" s="263"/>
      <c r="E36" s="268"/>
      <c r="F36" s="238">
        <v>0</v>
      </c>
      <c r="G36" s="264"/>
      <c r="H36" s="265"/>
      <c r="I36" s="266"/>
      <c r="J36" s="221">
        <f>+IF(F36=0,0,VLOOKUP(YEAR(I36),INPC!$B$4:$O$31,MONTH(I36)+1))</f>
        <v>0</v>
      </c>
      <c r="K36" s="264"/>
      <c r="L36" s="264"/>
      <c r="M36" s="265"/>
      <c r="N36" s="266"/>
      <c r="O36" s="221">
        <f>+IF(F36=0,0,VLOOKUP(YEAR(N36),INPC!$B$4:$O$31,MONTH(N36)+1))</f>
        <v>0</v>
      </c>
      <c r="P36" s="222">
        <f>IF(F36=0,0,TRUNC(O36/J36,4))</f>
        <v>0</v>
      </c>
      <c r="Q36" s="223">
        <f>+P36*F36</f>
        <v>0</v>
      </c>
      <c r="R36" s="238"/>
      <c r="S36" s="224">
        <f>+Q36-R36</f>
        <v>0</v>
      </c>
      <c r="T36" s="263"/>
      <c r="U36" s="263"/>
      <c r="V36" s="231">
        <f>IF(V37=0,S36,0.0000001)</f>
        <v>0</v>
      </c>
    </row>
    <row r="37" spans="2:24" ht="19.2">
      <c r="B37" s="22"/>
      <c r="C37" s="22"/>
      <c r="D37" s="22"/>
      <c r="E37" s="218"/>
      <c r="F37" s="239"/>
      <c r="G37" s="239">
        <f>+S36</f>
        <v>0</v>
      </c>
      <c r="H37" s="221"/>
      <c r="I37" s="221"/>
      <c r="J37" s="221"/>
      <c r="K37" s="219">
        <f>+M36</f>
        <v>0</v>
      </c>
      <c r="L37" s="221">
        <f>+O36</f>
        <v>0</v>
      </c>
      <c r="M37" s="265"/>
      <c r="N37" s="266"/>
      <c r="O37" s="221">
        <f>+IF(M37=0,0,VLOOKUP(YEAR(N37),INPC!$B$4:$O$31,MONTH(N37)+1))</f>
        <v>0</v>
      </c>
      <c r="P37" s="222">
        <f>IF(M37=0,0,TRUNC(O37/L37,4))</f>
        <v>0</v>
      </c>
      <c r="Q37" s="223">
        <f>+P37*G37</f>
        <v>0</v>
      </c>
      <c r="R37" s="238"/>
      <c r="S37" s="224">
        <f>+Q37-R37</f>
        <v>0</v>
      </c>
      <c r="T37" s="263"/>
      <c r="U37" s="263"/>
      <c r="V37" s="231">
        <f>IF(V38=0,S37,0.0000001)</f>
        <v>0</v>
      </c>
    </row>
    <row r="38" spans="2:24" ht="19.2">
      <c r="B38" s="22"/>
      <c r="C38" s="22"/>
      <c r="D38" s="22"/>
      <c r="E38" s="218"/>
      <c r="F38" s="239"/>
      <c r="G38" s="239">
        <f>+S37</f>
        <v>0</v>
      </c>
      <c r="H38" s="221"/>
      <c r="I38" s="221"/>
      <c r="J38" s="221"/>
      <c r="K38" s="219">
        <f>+M37</f>
        <v>0</v>
      </c>
      <c r="L38" s="221">
        <f>+O37</f>
        <v>0</v>
      </c>
      <c r="M38" s="265"/>
      <c r="N38" s="266"/>
      <c r="O38" s="221">
        <f>+IF(M38=0,0,VLOOKUP(YEAR(N38),INPC!$B$4:$O$31,MONTH(N38)+1))</f>
        <v>0</v>
      </c>
      <c r="P38" s="222">
        <f>IF(M38=0,0,TRUNC(O38/L38,4))</f>
        <v>0</v>
      </c>
      <c r="Q38" s="223">
        <f>+P38*G38</f>
        <v>0</v>
      </c>
      <c r="R38" s="238">
        <v>0</v>
      </c>
      <c r="S38" s="224">
        <f>+Q38-R38</f>
        <v>0</v>
      </c>
      <c r="T38" s="263"/>
      <c r="U38" s="263"/>
      <c r="V38" s="231">
        <f>IF(V39=0,S38,0.0000001)</f>
        <v>0</v>
      </c>
    </row>
    <row r="39" spans="2:24" ht="19.2">
      <c r="B39" s="48"/>
      <c r="C39" s="48"/>
      <c r="D39" s="48"/>
      <c r="E39" s="273"/>
      <c r="F39" s="225"/>
      <c r="G39" s="225"/>
      <c r="H39" s="539"/>
      <c r="I39" s="539"/>
      <c r="J39" s="539"/>
      <c r="K39" s="539"/>
      <c r="L39" s="274"/>
      <c r="M39" s="539"/>
      <c r="N39" s="275"/>
      <c r="O39" s="274"/>
      <c r="P39" s="276"/>
      <c r="Q39" s="540"/>
      <c r="R39" s="541"/>
      <c r="S39" s="542"/>
      <c r="T39" s="543"/>
      <c r="U39" s="543"/>
      <c r="V39" s="544"/>
    </row>
    <row r="40" spans="2:24" ht="19.2">
      <c r="S40" s="269"/>
      <c r="T40" s="269"/>
      <c r="U40" s="270" t="s">
        <v>809</v>
      </c>
      <c r="V40" s="271">
        <f>SUM(V8:V38)</f>
        <v>0</v>
      </c>
      <c r="X40" s="303">
        <f>+'Cálculo ISR - Por Capítulo'!Z117+'4 ISR 10% Adicional Div'!X22+'2 ISR 10% BMV'!X16</f>
        <v>0</v>
      </c>
    </row>
    <row r="42" spans="2:24" ht="24.6">
      <c r="B42" s="232" t="s">
        <v>618</v>
      </c>
    </row>
    <row r="43" spans="2:24" ht="19.2">
      <c r="B43" s="246" t="s">
        <v>619</v>
      </c>
      <c r="C43" s="247"/>
      <c r="D43" s="247"/>
      <c r="E43" s="247"/>
      <c r="F43" s="247"/>
      <c r="G43" s="247"/>
      <c r="H43" s="247"/>
    </row>
    <row r="44" spans="2:24" ht="19.2">
      <c r="B44" s="244" t="s">
        <v>620</v>
      </c>
      <c r="C44" s="235"/>
      <c r="D44" s="235"/>
      <c r="E44" s="235"/>
      <c r="F44" s="235"/>
      <c r="G44" s="235"/>
      <c r="H44" s="235"/>
    </row>
    <row r="45" spans="2:24" ht="19.2">
      <c r="B45" s="244" t="s">
        <v>621</v>
      </c>
      <c r="C45" s="235"/>
      <c r="D45" s="235"/>
      <c r="E45" s="235"/>
      <c r="F45" s="235"/>
      <c r="G45" s="235"/>
      <c r="H45" s="235"/>
    </row>
    <row r="46" spans="2:24" ht="19.2">
      <c r="B46" s="234"/>
      <c r="C46" s="235"/>
      <c r="D46" s="235"/>
      <c r="E46" s="235"/>
      <c r="F46" s="235"/>
      <c r="G46" s="235"/>
      <c r="H46" s="235"/>
    </row>
    <row r="47" spans="2:24" ht="19.2">
      <c r="B47" s="246" t="s">
        <v>622</v>
      </c>
      <c r="C47" s="247"/>
      <c r="D47" s="247"/>
      <c r="E47" s="247"/>
      <c r="F47" s="247"/>
      <c r="G47" s="247"/>
      <c r="H47" s="247"/>
    </row>
    <row r="48" spans="2:24" ht="19.2">
      <c r="B48" s="236" t="s">
        <v>623</v>
      </c>
      <c r="C48" s="235"/>
      <c r="D48" s="235"/>
      <c r="E48" s="235"/>
      <c r="F48" s="235"/>
      <c r="G48" s="235"/>
      <c r="H48" s="235"/>
    </row>
    <row r="49" spans="1:21" ht="19.2">
      <c r="B49" s="234"/>
      <c r="C49" s="234" t="s">
        <v>624</v>
      </c>
      <c r="D49" s="235"/>
      <c r="E49" s="235"/>
      <c r="F49" s="235"/>
      <c r="G49" s="235"/>
      <c r="H49" s="235"/>
    </row>
    <row r="50" spans="1:21" ht="19.2">
      <c r="B50" s="234"/>
      <c r="C50" s="234" t="s">
        <v>625</v>
      </c>
      <c r="D50" s="235"/>
      <c r="E50" s="235"/>
      <c r="F50" s="235"/>
      <c r="G50" s="235"/>
      <c r="H50" s="235"/>
    </row>
    <row r="51" spans="1:21">
      <c r="I51" s="227"/>
    </row>
    <row r="52" spans="1:21">
      <c r="H52" s="228"/>
      <c r="I52" s="227"/>
    </row>
    <row r="53" spans="1:21" ht="24.6">
      <c r="A53" s="251">
        <v>2</v>
      </c>
      <c r="B53" s="157" t="s">
        <v>626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>
      <c r="B54" s="214" t="s">
        <v>588</v>
      </c>
      <c r="C54" s="214" t="s">
        <v>806</v>
      </c>
      <c r="D54" s="214"/>
      <c r="E54" s="214"/>
      <c r="F54" s="214"/>
      <c r="G54" s="214"/>
      <c r="H54" s="215"/>
      <c r="I54" s="214" t="s">
        <v>589</v>
      </c>
      <c r="J54" s="214" t="s">
        <v>590</v>
      </c>
      <c r="K54" s="215"/>
      <c r="L54" s="215"/>
      <c r="M54" s="215"/>
      <c r="N54" s="214"/>
      <c r="O54" s="215"/>
      <c r="P54" s="215"/>
      <c r="Q54" s="229"/>
      <c r="R54" s="229"/>
      <c r="S54" s="229"/>
      <c r="T54" s="229"/>
    </row>
    <row r="55" spans="1:21" ht="19.2"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R55" s="8"/>
      <c r="S55" s="8"/>
      <c r="T55" s="8"/>
    </row>
    <row r="56" spans="1:21" ht="45">
      <c r="B56" s="216" t="s">
        <v>591</v>
      </c>
      <c r="C56" s="216" t="s">
        <v>592</v>
      </c>
      <c r="D56" s="216" t="s">
        <v>593</v>
      </c>
      <c r="E56" s="216" t="s">
        <v>594</v>
      </c>
      <c r="F56" s="216" t="s">
        <v>627</v>
      </c>
      <c r="G56" s="216" t="s">
        <v>628</v>
      </c>
      <c r="H56" s="216" t="s">
        <v>599</v>
      </c>
      <c r="I56" s="216" t="s">
        <v>629</v>
      </c>
      <c r="J56" s="216" t="s">
        <v>604</v>
      </c>
      <c r="K56" s="216" t="s">
        <v>605</v>
      </c>
      <c r="L56" s="216" t="s">
        <v>630</v>
      </c>
      <c r="M56" s="216" t="s">
        <v>631</v>
      </c>
      <c r="N56" s="216" t="s">
        <v>632</v>
      </c>
      <c r="O56" s="216" t="s">
        <v>633</v>
      </c>
      <c r="P56" s="216" t="s">
        <v>596</v>
      </c>
    </row>
    <row r="58" spans="1:21" ht="19.2">
      <c r="B58" s="22">
        <v>2017</v>
      </c>
      <c r="C58" s="281"/>
      <c r="D58" s="281"/>
      <c r="E58" s="282"/>
      <c r="F58" s="283"/>
      <c r="G58" s="279">
        <v>43084</v>
      </c>
      <c r="H58" s="221">
        <f>+IF(F58=0,0,VLOOKUP(YEAR(G58),INPC!$B$4:$O$31,MONTH(G58)+1))</f>
        <v>0</v>
      </c>
      <c r="I58" s="279">
        <f>+IF(M58=0,G58,O58)</f>
        <v>43084</v>
      </c>
      <c r="J58" s="221">
        <f>VLOOKUP(YEAR(I58),INPC!$B$4:$O$31,MONTH(I58)+1)</f>
        <v>98.272882985755999</v>
      </c>
      <c r="K58" s="278" t="str">
        <f>IF(M58=0,"N/A",TRUNC(J58/H58,4))</f>
        <v>N/A</v>
      </c>
      <c r="L58" s="239">
        <f>+IF(M58=0,0,F58*K58)</f>
        <v>0</v>
      </c>
      <c r="M58" s="280"/>
      <c r="N58" s="231">
        <f>+L58-M58</f>
        <v>0</v>
      </c>
      <c r="O58" s="286">
        <v>43465</v>
      </c>
      <c r="P58" s="284"/>
    </row>
    <row r="59" spans="1:21" ht="19.2">
      <c r="B59" s="22"/>
      <c r="C59" s="22"/>
      <c r="D59" s="22"/>
      <c r="E59" s="218"/>
      <c r="F59" s="239"/>
      <c r="G59" s="279">
        <f>+I58</f>
        <v>43084</v>
      </c>
      <c r="H59" s="221">
        <f>+IF(G59=0,0,VLOOKUP(YEAR(G59),INPC!$B$4:$O$31,MONTH(G59)+1))</f>
        <v>98.272882985755999</v>
      </c>
      <c r="I59" s="279">
        <v>43800</v>
      </c>
      <c r="J59" s="221">
        <f>VLOOKUP(YEAR(I59),INPC!$B$4:$O$31,MONTH(I59)+1)</f>
        <v>105.934</v>
      </c>
      <c r="K59" s="278" t="str">
        <f>IF(M59=0,"N/A",TRUNC(J59/H59,4))</f>
        <v>N/A</v>
      </c>
      <c r="L59" s="239">
        <f>IF(M58=0,IF(M59=0,0,F58*K59),IF(M59=0,0,N58*K59))</f>
        <v>0</v>
      </c>
      <c r="M59" s="280"/>
      <c r="N59" s="231">
        <f>+L59-M59</f>
        <v>0</v>
      </c>
      <c r="O59" s="230">
        <v>2019</v>
      </c>
      <c r="P59" s="284"/>
    </row>
    <row r="60" spans="1:21" ht="19.2">
      <c r="B60" s="22"/>
      <c r="C60" s="22"/>
      <c r="D60" s="22"/>
      <c r="E60" s="218"/>
      <c r="F60" s="239"/>
      <c r="G60" s="279">
        <f>IF(M59=0,I58,I59)</f>
        <v>43084</v>
      </c>
      <c r="H60" s="221">
        <f>+IF(G60=0,0,VLOOKUP(YEAR(G60),INPC!$B$4:$O$31,MONTH(G60)+1))</f>
        <v>98.272882985755999</v>
      </c>
      <c r="I60" s="279">
        <v>44166</v>
      </c>
      <c r="J60" s="221">
        <f>VLOOKUP(YEAR(I60),INPC!$B$4:$O$31,MONTH(I60)+1)</f>
        <v>109.271</v>
      </c>
      <c r="K60" s="278" t="str">
        <f>IF(M60=0,"N/A",TRUNC(J60/H60,4))</f>
        <v>N/A</v>
      </c>
      <c r="L60" s="239">
        <f>IF(AND(M59=0,M58=0),IF(M60=0,0,F58*K60),IF(M60=0,0,IF(M59=0,N58*K60,N59*K60)))</f>
        <v>0</v>
      </c>
      <c r="M60" s="280"/>
      <c r="N60" s="231">
        <f>+L60-M60</f>
        <v>0</v>
      </c>
      <c r="O60" s="230">
        <v>2020</v>
      </c>
      <c r="P60" s="284"/>
    </row>
    <row r="61" spans="1:21" ht="19.2">
      <c r="B61" s="22"/>
      <c r="C61" s="22"/>
      <c r="D61" s="22"/>
      <c r="E61" s="218"/>
      <c r="F61" s="239"/>
      <c r="G61" s="279">
        <f>IF(AND(M60=0,M59=0),I58,IF(M60&gt;0,I60,I59))</f>
        <v>43084</v>
      </c>
      <c r="H61" s="221">
        <f>+IF(G61=0,0,VLOOKUP(YEAR(G61),INPC!$B$4:$O$31,MONTH(G61)+1))</f>
        <v>98.272882985755999</v>
      </c>
      <c r="I61" s="279">
        <v>44531</v>
      </c>
      <c r="J61" s="221">
        <f>VLOOKUP(YEAR(I61),INPC!$B$4:$O$31,MONTH(I61)+1)</f>
        <v>117.30800000000001</v>
      </c>
      <c r="K61" s="278" t="str">
        <f>IF(M61=0,"N/A",TRUNC(J61/H61,4))</f>
        <v>N/A</v>
      </c>
      <c r="L61" s="239">
        <f>IF(AND(M60=0,M59=0,M58=0),IF(M61=0,0,F58*K61),IF(M61=0,0,IF(AND(M60=0,M59=0),N58*K61,IF(M60=0,N59*K61,N60*K61))))</f>
        <v>0</v>
      </c>
      <c r="M61" s="280"/>
      <c r="N61" s="231">
        <f>+L61-M61</f>
        <v>0</v>
      </c>
      <c r="O61" s="230">
        <v>2021</v>
      </c>
      <c r="P61" s="284"/>
    </row>
    <row r="62" spans="1:21" ht="19.2">
      <c r="B62" s="22"/>
      <c r="C62" s="22"/>
      <c r="D62" s="22"/>
      <c r="E62" s="218"/>
      <c r="F62" s="239"/>
      <c r="G62" s="279">
        <f>IF(AND(M61=0,M60=0,M59=0),I58,IF(M61&gt;0,I61,IF(M60&gt;0,I60,I59)))</f>
        <v>43084</v>
      </c>
      <c r="H62" s="221">
        <f>+IF(G62=0,0,VLOOKUP(YEAR(G62),INPC!$B$4:$O$31,MONTH(G62)+1))</f>
        <v>98.272882985755999</v>
      </c>
      <c r="I62" s="279">
        <v>44896</v>
      </c>
      <c r="J62" s="221">
        <f>VLOOKUP(YEAR(I62),INPC!$B$4:$O$31,MONTH(I62)+1)</f>
        <v>126.47799999999999</v>
      </c>
      <c r="K62" s="278">
        <f>IF(M62=0,"N/A",TRUNC(J62/H62,4))</f>
        <v>1.2869999999999999</v>
      </c>
      <c r="L62" s="239">
        <f>IF(AND(M61=0,M60=0,M59=0,M58=0),IF(M62=0,0,F58*K62),IF(M62=0,0,IF(AND(M61=0,M60=0,M59=0),N58*K62,IF(AND(M61=0,M60=0),N59*K62,IF(M61=0,N60*K62,N61*K62)))))</f>
        <v>0</v>
      </c>
      <c r="M62" s="625">
        <v>1.0000000000000001E-5</v>
      </c>
      <c r="N62" s="231">
        <f>+L62-M62</f>
        <v>-1.0000000000000001E-5</v>
      </c>
      <c r="O62" s="230">
        <v>2022</v>
      </c>
      <c r="P62" s="285">
        <f>N62</f>
        <v>-1.0000000000000001E-5</v>
      </c>
    </row>
    <row r="63" spans="1:21" ht="19.2">
      <c r="B63" s="48"/>
      <c r="C63" s="48"/>
      <c r="D63" s="48"/>
      <c r="E63" s="273"/>
      <c r="F63" s="225"/>
      <c r="G63" s="275"/>
      <c r="H63" s="274"/>
      <c r="I63" s="275"/>
      <c r="J63" s="274"/>
      <c r="K63" s="276"/>
      <c r="L63" s="274"/>
      <c r="M63" s="274"/>
      <c r="N63" s="274"/>
      <c r="O63" s="277"/>
    </row>
    <row r="64" spans="1:21" ht="19.2">
      <c r="B64" s="48"/>
      <c r="C64" s="48"/>
      <c r="D64" s="48"/>
      <c r="E64" s="273"/>
      <c r="F64" s="225"/>
      <c r="G64" s="275"/>
      <c r="H64" s="274"/>
      <c r="I64" s="275"/>
      <c r="J64" s="274"/>
      <c r="K64" s="276"/>
      <c r="L64" s="274"/>
      <c r="M64" s="274"/>
      <c r="N64" s="274"/>
      <c r="O64" s="277"/>
    </row>
    <row r="65" spans="2:16" ht="19.2">
      <c r="B65" s="22">
        <v>2018</v>
      </c>
      <c r="C65" s="281"/>
      <c r="D65" s="281"/>
      <c r="E65" s="282"/>
      <c r="F65" s="283"/>
      <c r="G65" s="279">
        <v>43449</v>
      </c>
      <c r="H65" s="221">
        <f>+IF(F65=0,0,VLOOKUP(YEAR(G65),INPC!$B$4:$O$31,MONTH(G65)+1))</f>
        <v>0</v>
      </c>
      <c r="I65" s="279">
        <f>+IF(M65=0,G65,O65)</f>
        <v>43449</v>
      </c>
      <c r="J65" s="221">
        <f>VLOOKUP(YEAR(I65),INPC!$B$4:$O$31,MONTH(I65)+1)</f>
        <v>103.02</v>
      </c>
      <c r="K65" s="278" t="str">
        <f>IF(M65=0,"N/A",TRUNC(J65/H65,4))</f>
        <v>N/A</v>
      </c>
      <c r="L65" s="239">
        <f>+IF(M65=0,0,F65*K65)</f>
        <v>0</v>
      </c>
      <c r="M65" s="280"/>
      <c r="N65" s="231">
        <f>+L65-M65</f>
        <v>0</v>
      </c>
      <c r="O65" s="286">
        <v>43830</v>
      </c>
      <c r="P65" s="284"/>
    </row>
    <row r="66" spans="2:16" ht="19.2">
      <c r="B66" s="22"/>
      <c r="C66" s="22"/>
      <c r="D66" s="22"/>
      <c r="E66" s="218"/>
      <c r="F66" s="239"/>
      <c r="G66" s="279">
        <f>+I65</f>
        <v>43449</v>
      </c>
      <c r="H66" s="221">
        <f>+IF(G66=0,0,VLOOKUP(YEAR(G66),INPC!$B$4:$O$31,MONTH(G66)+1))</f>
        <v>103.02</v>
      </c>
      <c r="I66" s="279">
        <v>44166</v>
      </c>
      <c r="J66" s="221">
        <f>VLOOKUP(YEAR(I66),INPC!$B$4:$O$31,MONTH(I66)+1)</f>
        <v>109.271</v>
      </c>
      <c r="K66" s="278" t="str">
        <f>IF(M66=0,"N/A",TRUNC(J66/H66,4))</f>
        <v>N/A</v>
      </c>
      <c r="L66" s="239">
        <f>IF(M65=0,IF(M66=0,0,F65*K66),IF(M66=0,0,N65*K66))</f>
        <v>0</v>
      </c>
      <c r="M66" s="280"/>
      <c r="N66" s="231">
        <f>+L66-M66</f>
        <v>0</v>
      </c>
      <c r="O66" s="230">
        <v>2020</v>
      </c>
      <c r="P66" s="284"/>
    </row>
    <row r="67" spans="2:16" ht="19.2">
      <c r="B67" s="22"/>
      <c r="C67" s="22"/>
      <c r="D67" s="22"/>
      <c r="E67" s="218"/>
      <c r="F67" s="239"/>
      <c r="G67" s="279">
        <f>IF(M66=0,I65,I66)</f>
        <v>43449</v>
      </c>
      <c r="H67" s="221">
        <f>+IF(G67=0,0,VLOOKUP(YEAR(G67),INPC!$B$4:$O$31,MONTH(G67)+1))</f>
        <v>103.02</v>
      </c>
      <c r="I67" s="279">
        <v>44531</v>
      </c>
      <c r="J67" s="221">
        <f>VLOOKUP(YEAR(I67),INPC!$B$4:$O$31,MONTH(I67)+1)</f>
        <v>117.30800000000001</v>
      </c>
      <c r="K67" s="278" t="str">
        <f>IF(M67=0,"N/A",TRUNC(J67/H67,4))</f>
        <v>N/A</v>
      </c>
      <c r="L67" s="239">
        <f>IF(AND(M66=0,M65=0),IF(M67=0,0,F65*K67),IF(M67=0,0,IF(M66=0,N65*K67,N66*K67)))</f>
        <v>0</v>
      </c>
      <c r="M67" s="280"/>
      <c r="N67" s="231">
        <f>+L67-M67</f>
        <v>0</v>
      </c>
      <c r="O67" s="230">
        <v>2021</v>
      </c>
      <c r="P67" s="284"/>
    </row>
    <row r="68" spans="2:16" ht="19.2">
      <c r="B68" s="22"/>
      <c r="C68" s="22"/>
      <c r="D68" s="22"/>
      <c r="E68" s="218"/>
      <c r="F68" s="239"/>
      <c r="G68" s="279">
        <f>IF(AND(M67=0,M66=0),I65,IF(M67&gt;0,I67,I66))</f>
        <v>43449</v>
      </c>
      <c r="H68" s="221">
        <f>+IF(G68=0,0,VLOOKUP(YEAR(G68),INPC!$B$4:$O$31,MONTH(G68)+1))</f>
        <v>103.02</v>
      </c>
      <c r="I68" s="279">
        <v>44896</v>
      </c>
      <c r="J68" s="221">
        <f>VLOOKUP(YEAR(I68),INPC!$B$4:$O$31,MONTH(I68)+1)</f>
        <v>126.47799999999999</v>
      </c>
      <c r="K68" s="278">
        <f>IF(M68=0,"N/A",TRUNC(J68/H68,4))</f>
        <v>1.2277</v>
      </c>
      <c r="L68" s="239">
        <f>IF(AND(M67=0,M66=0,M65=0),IF(M68=0,0,F65*K68),IF(M68=0,0,IF(AND(M67=0,M66=0),N65*K68,IF(M67=0,N66*K68,N67*K68))))</f>
        <v>0</v>
      </c>
      <c r="M68" s="625">
        <v>9.9999999999999995E-7</v>
      </c>
      <c r="N68" s="231">
        <f>+L68-M68</f>
        <v>-9.9999999999999995E-7</v>
      </c>
      <c r="O68" s="230">
        <v>2022</v>
      </c>
      <c r="P68" s="285">
        <f>N68</f>
        <v>-9.9999999999999995E-7</v>
      </c>
    </row>
    <row r="69" spans="2:16" ht="19.2">
      <c r="B69" s="48"/>
      <c r="C69" s="48"/>
      <c r="D69" s="48"/>
      <c r="E69" s="273"/>
      <c r="F69" s="225"/>
      <c r="G69" s="275"/>
      <c r="H69" s="274"/>
      <c r="I69" s="275"/>
      <c r="J69" s="274"/>
      <c r="K69" s="276"/>
      <c r="L69" s="274"/>
      <c r="M69" s="274"/>
      <c r="N69" s="274"/>
      <c r="O69" s="277"/>
    </row>
    <row r="70" spans="2:16" ht="19.2">
      <c r="B70" s="48"/>
      <c r="C70" s="48"/>
      <c r="D70" s="48"/>
      <c r="E70" s="273"/>
      <c r="F70" s="225"/>
      <c r="G70" s="275"/>
      <c r="H70" s="274"/>
      <c r="I70" s="275"/>
      <c r="J70" s="274"/>
      <c r="K70" s="276"/>
      <c r="L70" s="274"/>
      <c r="M70" s="274"/>
      <c r="N70" s="274"/>
      <c r="O70" s="277"/>
    </row>
    <row r="71" spans="2:16" ht="19.2">
      <c r="B71" s="22">
        <v>2019</v>
      </c>
      <c r="C71" s="281"/>
      <c r="D71" s="281"/>
      <c r="E71" s="282"/>
      <c r="F71" s="283"/>
      <c r="G71" s="279">
        <v>43814</v>
      </c>
      <c r="H71" s="221">
        <f>+IF(F71=0,0,VLOOKUP(YEAR(G71),INPC!$B$4:$O$31,MONTH(G71)+1))</f>
        <v>0</v>
      </c>
      <c r="I71" s="279">
        <f>+IF(M71=0,G71,O71)</f>
        <v>43814</v>
      </c>
      <c r="J71" s="221">
        <f>VLOOKUP(YEAR(I71),INPC!$B$4:$O$31,MONTH(I71)+1)</f>
        <v>105.934</v>
      </c>
      <c r="K71" s="278" t="str">
        <f>IF(M71=0,"N/A",TRUNC(J71/H71,4))</f>
        <v>N/A</v>
      </c>
      <c r="L71" s="239">
        <f>+IF(M71=0,0,F71*K71)</f>
        <v>0</v>
      </c>
      <c r="M71" s="280"/>
      <c r="N71" s="231">
        <f>+L71-M71</f>
        <v>0</v>
      </c>
      <c r="O71" s="286">
        <v>44196</v>
      </c>
      <c r="P71" s="284"/>
    </row>
    <row r="72" spans="2:16" ht="19.2">
      <c r="B72" s="22"/>
      <c r="C72" s="22"/>
      <c r="D72" s="22"/>
      <c r="E72" s="218"/>
      <c r="F72" s="239"/>
      <c r="G72" s="279">
        <f>+I71</f>
        <v>43814</v>
      </c>
      <c r="H72" s="221">
        <f>+IF(G72=0,0,VLOOKUP(YEAR(G72),INPC!$B$4:$O$31,MONTH(G72)+1))</f>
        <v>105.934</v>
      </c>
      <c r="I72" s="279">
        <v>44531</v>
      </c>
      <c r="J72" s="221">
        <f>VLOOKUP(YEAR(I72),INPC!$B$4:$O$31,MONTH(I72)+1)</f>
        <v>117.30800000000001</v>
      </c>
      <c r="K72" s="278" t="str">
        <f>IF(M72=0,"N/A",TRUNC(J72/H72,4))</f>
        <v>N/A</v>
      </c>
      <c r="L72" s="239">
        <f>IF(M71=0,IF(M72=0,0,F71*K72),IF(M72=0,0,N71*K72))</f>
        <v>0</v>
      </c>
      <c r="M72" s="280"/>
      <c r="N72" s="231">
        <f>+L72-M72</f>
        <v>0</v>
      </c>
      <c r="O72" s="230">
        <v>2021</v>
      </c>
      <c r="P72" s="284"/>
    </row>
    <row r="73" spans="2:16" ht="19.2">
      <c r="B73" s="22"/>
      <c r="C73" s="22"/>
      <c r="D73" s="22"/>
      <c r="E73" s="218"/>
      <c r="F73" s="239"/>
      <c r="G73" s="279">
        <f>IF(M72=0,I71,I72)</f>
        <v>43814</v>
      </c>
      <c r="H73" s="221">
        <f>+IF(G73=0,0,VLOOKUP(YEAR(G73),INPC!$B$4:$O$31,MONTH(G73)+1))</f>
        <v>105.934</v>
      </c>
      <c r="I73" s="279">
        <v>44896</v>
      </c>
      <c r="J73" s="221">
        <f>VLOOKUP(YEAR(I73),INPC!$B$4:$O$31,MONTH(I73)+1)</f>
        <v>126.47799999999999</v>
      </c>
      <c r="K73" s="278">
        <f>IF(M73=0,"N/A",TRUNC(J73/H73,4))</f>
        <v>1.1939</v>
      </c>
      <c r="L73" s="239">
        <f>IF(AND(M72=0,M71=0),IF(M73=0,0,F71*K73),IF(M73=0,0,IF(M72=0,N71*K73,N72*K73)))</f>
        <v>0</v>
      </c>
      <c r="M73" s="625">
        <v>9.9999999999999995E-7</v>
      </c>
      <c r="N73" s="231">
        <f>+L73-M73</f>
        <v>-9.9999999999999995E-7</v>
      </c>
      <c r="O73" s="230">
        <v>2022</v>
      </c>
      <c r="P73" s="285">
        <f>N73</f>
        <v>-9.9999999999999995E-7</v>
      </c>
    </row>
    <row r="74" spans="2:16" ht="19.2">
      <c r="B74" s="48"/>
      <c r="C74" s="48"/>
      <c r="D74" s="48"/>
      <c r="E74" s="273"/>
      <c r="F74" s="225"/>
      <c r="G74" s="275"/>
      <c r="H74" s="274"/>
      <c r="I74" s="275"/>
      <c r="J74" s="274"/>
      <c r="K74" s="276"/>
      <c r="L74" s="274"/>
      <c r="M74" s="274"/>
      <c r="N74" s="274"/>
      <c r="O74" s="277"/>
    </row>
    <row r="75" spans="2:16" ht="19.2">
      <c r="B75" s="48"/>
      <c r="C75" s="48"/>
      <c r="D75" s="48"/>
      <c r="E75" s="273"/>
      <c r="F75" s="225"/>
      <c r="G75" s="275"/>
      <c r="H75" s="274"/>
      <c r="I75" s="275"/>
      <c r="J75" s="274"/>
      <c r="K75" s="276"/>
      <c r="L75" s="274"/>
      <c r="M75" s="274"/>
      <c r="N75" s="274"/>
      <c r="O75" s="277"/>
    </row>
    <row r="76" spans="2:16" ht="19.2">
      <c r="B76" s="22">
        <v>2020</v>
      </c>
      <c r="C76" s="281"/>
      <c r="D76" s="281"/>
      <c r="E76" s="282"/>
      <c r="F76" s="283"/>
      <c r="G76" s="279">
        <v>44180</v>
      </c>
      <c r="H76" s="221">
        <f>+IF(F76=0,0,VLOOKUP(YEAR(G76),INPC!$B$4:$O$31,MONTH(G76)+1))</f>
        <v>0</v>
      </c>
      <c r="I76" s="279">
        <f>+IF(M76=0,G76,O76)</f>
        <v>44180</v>
      </c>
      <c r="J76" s="221">
        <f>VLOOKUP(YEAR(I76),INPC!$B$4:$O$31,MONTH(I76)+1)</f>
        <v>109.271</v>
      </c>
      <c r="K76" s="278" t="str">
        <f>IF(M76=0,"N/A",TRUNC(J76/H76,4))</f>
        <v>N/A</v>
      </c>
      <c r="L76" s="239">
        <f>+IF(M76=0,0,F76*K76)</f>
        <v>0</v>
      </c>
      <c r="M76" s="280"/>
      <c r="N76" s="231">
        <f>+L76-M76</f>
        <v>0</v>
      </c>
      <c r="O76" s="286">
        <v>44561</v>
      </c>
      <c r="P76" s="284"/>
    </row>
    <row r="77" spans="2:16" ht="19.2">
      <c r="B77" s="22"/>
      <c r="C77" s="22"/>
      <c r="D77" s="22"/>
      <c r="E77" s="218"/>
      <c r="F77" s="239"/>
      <c r="G77" s="279">
        <f>+I76</f>
        <v>44180</v>
      </c>
      <c r="H77" s="221">
        <f>+IF(G77=0,0,VLOOKUP(YEAR(G77),INPC!$B$4:$O$31,MONTH(G77)+1))</f>
        <v>109.271</v>
      </c>
      <c r="I77" s="279">
        <v>44896</v>
      </c>
      <c r="J77" s="221">
        <f>VLOOKUP(YEAR(I77),INPC!$B$4:$O$31,MONTH(I77)+1)</f>
        <v>126.47799999999999</v>
      </c>
      <c r="K77" s="278">
        <f>IF(M77=0,"N/A",TRUNC(J77/H77,4))</f>
        <v>1.1574</v>
      </c>
      <c r="L77" s="239">
        <f>IF(M76=0,IF(M77=0,0,F76*K77),IF(M77=0,0,N76*K77))</f>
        <v>0</v>
      </c>
      <c r="M77" s="625">
        <v>9.9999999999999995E-7</v>
      </c>
      <c r="N77" s="231">
        <f>+L77-M77</f>
        <v>-9.9999999999999995E-7</v>
      </c>
      <c r="O77" s="230">
        <v>2022</v>
      </c>
      <c r="P77" s="285">
        <f>N77</f>
        <v>-9.9999999999999995E-7</v>
      </c>
    </row>
    <row r="78" spans="2:16" ht="19.2">
      <c r="B78" s="48"/>
      <c r="C78" s="48"/>
      <c r="D78" s="48"/>
      <c r="E78" s="273"/>
      <c r="F78" s="225"/>
      <c r="G78" s="275"/>
      <c r="H78" s="274"/>
      <c r="I78" s="275"/>
      <c r="J78" s="274"/>
      <c r="K78" s="276"/>
      <c r="L78" s="274"/>
      <c r="M78" s="274"/>
      <c r="N78" s="274"/>
      <c r="O78" s="277"/>
    </row>
    <row r="79" spans="2:16" ht="19.2">
      <c r="B79" s="48"/>
      <c r="C79" s="48"/>
      <c r="D79" s="48"/>
      <c r="E79" s="273"/>
      <c r="F79" s="225"/>
      <c r="G79" s="275"/>
      <c r="H79" s="274"/>
      <c r="I79" s="275"/>
      <c r="J79" s="274"/>
      <c r="K79" s="276"/>
      <c r="L79" s="274"/>
      <c r="M79" s="274"/>
      <c r="N79" s="274"/>
      <c r="O79" s="277"/>
    </row>
    <row r="80" spans="2:16" ht="19.2">
      <c r="B80" s="22">
        <v>2021</v>
      </c>
      <c r="C80" s="281"/>
      <c r="D80" s="281"/>
      <c r="E80" s="282"/>
      <c r="F80" s="283"/>
      <c r="G80" s="279">
        <v>44545</v>
      </c>
      <c r="H80" s="221">
        <f>VLOOKUP(YEAR(G80),INPC!$B$4:$O$31,MONTH(G80)+1)</f>
        <v>117.30800000000001</v>
      </c>
      <c r="I80" s="279">
        <f>+IF(M80=0.000001,G80,O80)</f>
        <v>44545</v>
      </c>
      <c r="J80" s="221">
        <f>VLOOKUP(YEAR(I80),INPC!$B$4:$O$31,MONTH(I80)+1)</f>
        <v>117.30800000000001</v>
      </c>
      <c r="K80" s="278">
        <f>TRUNC(J80/H80,4)</f>
        <v>1</v>
      </c>
      <c r="L80" s="239">
        <f>+IF(AND(M80=0.000001,F80=0),0,F80*K80)</f>
        <v>0</v>
      </c>
      <c r="M80" s="625">
        <v>9.9999999999999995E-7</v>
      </c>
      <c r="N80" s="231">
        <f>+L80-M80</f>
        <v>-9.9999999999999995E-7</v>
      </c>
      <c r="O80" s="286">
        <v>44926</v>
      </c>
      <c r="P80" s="285">
        <f>N80</f>
        <v>-9.9999999999999995E-7</v>
      </c>
    </row>
    <row r="81" spans="2:16" ht="19.2">
      <c r="B81" s="48"/>
      <c r="C81" s="48"/>
      <c r="D81" s="48"/>
      <c r="E81" s="273"/>
      <c r="F81" s="225"/>
      <c r="G81" s="275"/>
      <c r="H81" s="274"/>
      <c r="I81" s="275"/>
      <c r="J81" s="274"/>
      <c r="K81" s="276"/>
      <c r="L81" s="274"/>
      <c r="M81" s="274"/>
      <c r="N81" s="274"/>
      <c r="O81" s="277"/>
    </row>
    <row r="82" spans="2:16">
      <c r="O82" s="253"/>
    </row>
    <row r="83" spans="2:16" ht="19.2">
      <c r="L83" s="240"/>
      <c r="M83" s="240"/>
      <c r="N83" s="240"/>
      <c r="O83" s="252" t="s">
        <v>634</v>
      </c>
      <c r="P83" s="287">
        <f>SUM(P58:P82)</f>
        <v>-1.4000000000000003E-5</v>
      </c>
    </row>
    <row r="85" spans="2:16" ht="24.6">
      <c r="B85" s="232" t="s">
        <v>618</v>
      </c>
      <c r="I85" s="8"/>
      <c r="J85" s="8"/>
      <c r="K85" s="8"/>
      <c r="L85" s="8"/>
    </row>
    <row r="86" spans="2:16" ht="19.2">
      <c r="B86" s="246" t="s">
        <v>635</v>
      </c>
      <c r="C86" s="247"/>
      <c r="D86" s="247"/>
      <c r="E86" s="247"/>
      <c r="F86" s="247"/>
      <c r="G86" s="247"/>
      <c r="H86" s="247"/>
      <c r="I86" s="8"/>
      <c r="J86" s="8"/>
      <c r="K86" s="8"/>
      <c r="L86" s="8"/>
    </row>
    <row r="87" spans="2:16" ht="19.2">
      <c r="B87" s="234" t="s">
        <v>636</v>
      </c>
      <c r="C87" s="235"/>
      <c r="D87" s="235"/>
      <c r="E87" s="235"/>
      <c r="F87" s="235"/>
      <c r="G87" s="235"/>
      <c r="H87" s="235"/>
      <c r="I87" s="8"/>
      <c r="J87" s="8"/>
      <c r="K87" s="8"/>
      <c r="L87" s="8"/>
    </row>
    <row r="88" spans="2:16" ht="19.2">
      <c r="B88" s="234" t="s">
        <v>637</v>
      </c>
      <c r="C88" s="235"/>
      <c r="D88" s="235"/>
      <c r="E88" s="235"/>
      <c r="F88" s="235"/>
      <c r="G88" s="235"/>
      <c r="H88" s="235"/>
      <c r="I88" s="8"/>
      <c r="J88" s="8"/>
      <c r="K88" s="8"/>
      <c r="L88" s="8"/>
    </row>
    <row r="89" spans="2:16" ht="19.2">
      <c r="B89" s="234"/>
      <c r="C89" s="235"/>
      <c r="D89" s="235"/>
      <c r="E89" s="235"/>
      <c r="F89" s="235"/>
      <c r="G89" s="235"/>
      <c r="H89" s="235"/>
      <c r="I89" s="8"/>
      <c r="J89" s="8"/>
      <c r="K89" s="8"/>
      <c r="L89" s="8"/>
    </row>
    <row r="90" spans="2:16" ht="19.2">
      <c r="B90" s="246" t="s">
        <v>623</v>
      </c>
      <c r="C90" s="248"/>
      <c r="D90" s="247"/>
      <c r="E90" s="247"/>
      <c r="F90" s="247"/>
      <c r="G90" s="247"/>
      <c r="H90" s="247"/>
      <c r="I90" s="8"/>
      <c r="J90" s="8"/>
      <c r="K90" s="8"/>
      <c r="L90" s="8"/>
    </row>
    <row r="91" spans="2:16" ht="19.2">
      <c r="B91" s="234"/>
      <c r="C91" s="234" t="s">
        <v>638</v>
      </c>
      <c r="D91" s="235"/>
      <c r="E91" s="235"/>
      <c r="F91" s="235"/>
      <c r="G91" s="235"/>
      <c r="H91" s="235"/>
      <c r="I91" s="8"/>
      <c r="J91" s="8"/>
      <c r="K91" s="8"/>
      <c r="L91" s="8"/>
    </row>
    <row r="92" spans="2:16" ht="19.2">
      <c r="B92" s="234"/>
      <c r="C92" s="234" t="s">
        <v>639</v>
      </c>
      <c r="D92" s="235"/>
      <c r="E92" s="235"/>
      <c r="F92" s="235"/>
      <c r="G92" s="235"/>
      <c r="H92" s="235"/>
      <c r="I92" s="8"/>
      <c r="J92" s="8"/>
      <c r="K92" s="8"/>
      <c r="L92" s="8"/>
    </row>
    <row r="93" spans="2:16" ht="19.2">
      <c r="B93" s="236"/>
      <c r="C93" s="235"/>
      <c r="D93" s="235"/>
      <c r="E93" s="235"/>
      <c r="F93" s="235"/>
      <c r="G93" s="235"/>
      <c r="H93" s="235"/>
      <c r="I93" s="8"/>
      <c r="J93" s="8"/>
      <c r="K93" s="8"/>
      <c r="L93" s="8"/>
    </row>
    <row r="94" spans="2:16" ht="19.2">
      <c r="B94" s="246" t="s">
        <v>640</v>
      </c>
      <c r="C94" s="248"/>
      <c r="D94" s="247"/>
      <c r="E94" s="247"/>
      <c r="F94" s="247"/>
      <c r="G94" s="247"/>
      <c r="H94" s="247"/>
      <c r="I94" s="8"/>
      <c r="J94" s="8"/>
      <c r="K94" s="8"/>
      <c r="L94" s="8"/>
    </row>
    <row r="95" spans="2:16" ht="19.2">
      <c r="B95" s="234"/>
      <c r="C95" s="234" t="s">
        <v>641</v>
      </c>
      <c r="D95" s="235"/>
      <c r="E95" s="235"/>
      <c r="F95" s="235"/>
      <c r="G95" s="235"/>
      <c r="H95" s="235"/>
      <c r="I95" s="8"/>
      <c r="J95" s="8"/>
      <c r="K95" s="8"/>
      <c r="L95" s="8"/>
    </row>
    <row r="96" spans="2:16" ht="19.2">
      <c r="B96" s="234"/>
      <c r="C96" s="234" t="s">
        <v>642</v>
      </c>
      <c r="D96" s="235"/>
      <c r="E96" s="235"/>
      <c r="F96" s="235"/>
      <c r="G96" s="235"/>
      <c r="H96" s="235"/>
      <c r="I96" s="8"/>
      <c r="J96" s="8"/>
      <c r="K96" s="8"/>
      <c r="L96" s="8"/>
    </row>
    <row r="101" spans="1:20" ht="24.6">
      <c r="A101" s="251">
        <v>3</v>
      </c>
      <c r="B101" s="232" t="s">
        <v>643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9.2">
      <c r="B102" s="214" t="s">
        <v>588</v>
      </c>
      <c r="C102" s="214" t="s">
        <v>806</v>
      </c>
      <c r="D102" s="214"/>
      <c r="E102" s="215"/>
      <c r="F102" s="215"/>
      <c r="G102" s="215"/>
      <c r="H102" s="215"/>
      <c r="I102" s="215"/>
      <c r="J102" s="214" t="s">
        <v>589</v>
      </c>
      <c r="K102" s="214" t="s">
        <v>590</v>
      </c>
      <c r="L102" s="214"/>
      <c r="M102" s="215"/>
      <c r="N102" s="215"/>
      <c r="O102" s="215"/>
      <c r="P102" s="215"/>
      <c r="Q102" s="229"/>
      <c r="R102" s="8"/>
      <c r="S102" s="8"/>
      <c r="T102" s="8"/>
    </row>
    <row r="103" spans="1:20" ht="19.2"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8"/>
      <c r="R103" s="8"/>
      <c r="S103" s="8"/>
      <c r="T103" s="8"/>
    </row>
    <row r="104" spans="1:20" ht="45">
      <c r="B104" s="216" t="s">
        <v>644</v>
      </c>
      <c r="C104" s="216" t="s">
        <v>592</v>
      </c>
      <c r="D104" s="216" t="s">
        <v>593</v>
      </c>
      <c r="E104" s="216" t="s">
        <v>594</v>
      </c>
      <c r="F104" s="216" t="s">
        <v>627</v>
      </c>
      <c r="G104" s="216" t="s">
        <v>628</v>
      </c>
      <c r="H104" s="216" t="s">
        <v>599</v>
      </c>
      <c r="I104" s="216" t="s">
        <v>645</v>
      </c>
      <c r="J104" s="216" t="s">
        <v>604</v>
      </c>
      <c r="K104" s="216" t="s">
        <v>605</v>
      </c>
      <c r="L104" s="216" t="s">
        <v>646</v>
      </c>
      <c r="M104" s="216" t="s">
        <v>647</v>
      </c>
      <c r="N104" s="216" t="s">
        <v>648</v>
      </c>
      <c r="O104" s="216" t="s">
        <v>633</v>
      </c>
      <c r="P104" s="216" t="s">
        <v>596</v>
      </c>
      <c r="Q104" s="237"/>
      <c r="R104" s="8"/>
      <c r="S104" s="8"/>
      <c r="T104" s="8"/>
    </row>
    <row r="105" spans="1:20" ht="19.2">
      <c r="B105" s="217"/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8"/>
      <c r="R105" s="8"/>
      <c r="S105" s="8"/>
      <c r="T105" s="8"/>
    </row>
    <row r="106" spans="1:20" ht="19.2">
      <c r="B106" s="22">
        <v>2018</v>
      </c>
      <c r="C106" s="281"/>
      <c r="D106" s="281"/>
      <c r="E106" s="282"/>
      <c r="F106" s="283"/>
      <c r="G106" s="279">
        <v>43449</v>
      </c>
      <c r="H106" s="221">
        <f>+IF(F106=0,0,VLOOKUP(YEAR(G106),INPC!$B$4:$O$31,MONTH(G106)+1))</f>
        <v>0</v>
      </c>
      <c r="I106" s="279">
        <f>+G106</f>
        <v>43449</v>
      </c>
      <c r="J106" s="221">
        <f>VLOOKUP(YEAR(I106),INPC!$B$4:$O$31,MONTH(I106)+1)</f>
        <v>103.02</v>
      </c>
      <c r="K106" s="278" t="str">
        <f>IF(M106=0,"N/A",TRUNC(J106/H106,4))</f>
        <v>N/A</v>
      </c>
      <c r="L106" s="239">
        <f>+IF(M106=0,0,F106*K106)</f>
        <v>0</v>
      </c>
      <c r="M106" s="280"/>
      <c r="N106" s="231">
        <f>+L106-M106</f>
        <v>0</v>
      </c>
      <c r="O106" s="286">
        <v>43830</v>
      </c>
      <c r="P106" s="284"/>
      <c r="Q106" s="8"/>
      <c r="R106" s="8"/>
      <c r="S106" s="8"/>
      <c r="T106" s="8"/>
    </row>
    <row r="107" spans="1:20" ht="19.2">
      <c r="B107" s="22"/>
      <c r="C107" s="22"/>
      <c r="D107" s="22"/>
      <c r="E107" s="218"/>
      <c r="F107" s="239"/>
      <c r="G107" s="279">
        <f>+I106</f>
        <v>43449</v>
      </c>
      <c r="H107" s="221">
        <f>+IF(G107=0,0,VLOOKUP(YEAR(G107),INPC!$B$4:$O$31,MONTH(G107)+1))</f>
        <v>103.02</v>
      </c>
      <c r="I107" s="279">
        <v>43800</v>
      </c>
      <c r="J107" s="221">
        <f>VLOOKUP(YEAR(I107),INPC!$B$4:$O$31,MONTH(I107)+1)</f>
        <v>105.934</v>
      </c>
      <c r="K107" s="278" t="str">
        <f>IF(M107=0,"N/A",TRUNC(J107/H107,4))</f>
        <v>N/A</v>
      </c>
      <c r="L107" s="239">
        <f>IF(M106=0,IF(M107=0,0,F106*K107),IF(M107=0,0,N106*K107))</f>
        <v>0</v>
      </c>
      <c r="M107" s="280"/>
      <c r="N107" s="231">
        <f>+L107-M107</f>
        <v>0</v>
      </c>
      <c r="O107" s="230">
        <v>2020</v>
      </c>
      <c r="P107" s="284"/>
      <c r="Q107" s="8"/>
      <c r="R107" s="8"/>
      <c r="S107" s="8"/>
      <c r="T107" s="8"/>
    </row>
    <row r="108" spans="1:20" ht="19.2">
      <c r="B108" s="22"/>
      <c r="C108" s="22"/>
      <c r="D108" s="22"/>
      <c r="E108" s="218"/>
      <c r="F108" s="239"/>
      <c r="G108" s="279">
        <f>IF(M107=0,I106,I107)</f>
        <v>43449</v>
      </c>
      <c r="H108" s="221">
        <f>+IF(G108=0,0,VLOOKUP(YEAR(G108),INPC!$B$4:$O$31,MONTH(G108)+1))</f>
        <v>103.02</v>
      </c>
      <c r="I108" s="279">
        <v>44166</v>
      </c>
      <c r="J108" s="221">
        <f>VLOOKUP(YEAR(I108),INPC!$B$4:$O$31,MONTH(I108)+1)</f>
        <v>109.271</v>
      </c>
      <c r="K108" s="278" t="str">
        <f>IF(M108=0,"N/A",TRUNC(J108/H108,4))</f>
        <v>N/A</v>
      </c>
      <c r="L108" s="239">
        <f>IF(AND(M107=0,M106=0),IF(M108=0,0,F106*K108),IF(M108=0,0,IF(M107=0,N106*K108,N107*K108)))</f>
        <v>0</v>
      </c>
      <c r="M108" s="280"/>
      <c r="N108" s="231">
        <f>+L108-M108</f>
        <v>0</v>
      </c>
      <c r="O108" s="230">
        <v>2021</v>
      </c>
      <c r="P108" s="284"/>
      <c r="Q108" s="8"/>
      <c r="R108" s="8"/>
      <c r="S108" s="8"/>
      <c r="T108" s="8"/>
    </row>
    <row r="109" spans="1:20" ht="19.2">
      <c r="B109" s="22"/>
      <c r="C109" s="22"/>
      <c r="D109" s="22"/>
      <c r="E109" s="218"/>
      <c r="F109" s="239"/>
      <c r="G109" s="279">
        <f>IF(AND(M108=0,M107=0),I106,IF(M108&gt;0,I108,I107))</f>
        <v>43449</v>
      </c>
      <c r="H109" s="221">
        <f>+IF(G109=0,0,VLOOKUP(YEAR(G109),INPC!$B$4:$O$31,MONTH(G109)+1))</f>
        <v>103.02</v>
      </c>
      <c r="I109" s="279">
        <v>44531</v>
      </c>
      <c r="J109" s="221">
        <f>VLOOKUP(YEAR(I109),INPC!$B$4:$O$31,MONTH(I109)+1)</f>
        <v>117.30800000000001</v>
      </c>
      <c r="K109" s="278">
        <f>IF(M109=0,"N/A",TRUNC(J109/H109,4))</f>
        <v>1.1386000000000001</v>
      </c>
      <c r="L109" s="239">
        <f>IF(AND(M108=0,M107=0,M106=0),IF(M109=0,0,F106*K109),IF(M109=0,0,IF(AND(M108=0,M107=0),N106*K109,IF(M108=0,N107*K109,N108*K109))))</f>
        <v>0</v>
      </c>
      <c r="M109" s="625">
        <v>9.9999999999999995E-7</v>
      </c>
      <c r="N109" s="231">
        <f>+L109-M109</f>
        <v>-9.9999999999999995E-7</v>
      </c>
      <c r="O109" s="230">
        <v>2022</v>
      </c>
      <c r="P109" s="285">
        <f>N109</f>
        <v>-9.9999999999999995E-7</v>
      </c>
      <c r="Q109" s="8"/>
      <c r="R109" s="8"/>
      <c r="S109" s="8"/>
      <c r="T109" s="8"/>
    </row>
    <row r="110" spans="1:20" ht="19.2">
      <c r="B110" s="48"/>
      <c r="C110" s="48"/>
      <c r="D110" s="48"/>
      <c r="E110" s="273"/>
      <c r="F110" s="225"/>
      <c r="G110" s="275"/>
      <c r="H110" s="274"/>
      <c r="I110" s="275"/>
      <c r="J110" s="274"/>
      <c r="K110" s="276"/>
      <c r="L110" s="274"/>
      <c r="M110" s="274"/>
      <c r="N110" s="274"/>
      <c r="O110" s="277"/>
      <c r="Q110" s="8"/>
      <c r="R110" s="8"/>
      <c r="S110" s="8"/>
      <c r="T110" s="8"/>
    </row>
    <row r="111" spans="1:20" ht="19.2">
      <c r="B111" s="48"/>
      <c r="C111" s="48"/>
      <c r="D111" s="48"/>
      <c r="E111" s="273"/>
      <c r="F111" s="225"/>
      <c r="G111" s="275"/>
      <c r="H111" s="274"/>
      <c r="I111" s="275"/>
      <c r="J111" s="274"/>
      <c r="K111" s="276"/>
      <c r="L111" s="274"/>
      <c r="M111" s="274"/>
      <c r="N111" s="274"/>
      <c r="O111" s="277"/>
      <c r="Q111" s="8"/>
      <c r="R111" s="8"/>
      <c r="S111" s="8"/>
      <c r="T111" s="8"/>
    </row>
    <row r="112" spans="1:20" ht="19.2">
      <c r="B112" s="22">
        <v>2019</v>
      </c>
      <c r="C112" s="281"/>
      <c r="D112" s="281"/>
      <c r="E112" s="282"/>
      <c r="F112" s="283"/>
      <c r="G112" s="279">
        <v>43814</v>
      </c>
      <c r="H112" s="221">
        <f>+IF(F112=0,0,VLOOKUP(YEAR(G112),INPC!$B$4:$O$31,MONTH(G112)+1))</f>
        <v>0</v>
      </c>
      <c r="I112" s="279">
        <v>43800</v>
      </c>
      <c r="J112" s="221">
        <f>VLOOKUP(YEAR(I112),INPC!$B$4:$O$31,MONTH(I112)+1)</f>
        <v>105.934</v>
      </c>
      <c r="K112" s="278" t="str">
        <f>IF(M112=0,"N/A",TRUNC(J112/H112,4))</f>
        <v>N/A</v>
      </c>
      <c r="L112" s="239">
        <f>+IF(M112=0,0,F112*K112)</f>
        <v>0</v>
      </c>
      <c r="M112" s="280"/>
      <c r="N112" s="231">
        <f>+L112-M112</f>
        <v>0</v>
      </c>
      <c r="O112" s="286">
        <v>44196</v>
      </c>
      <c r="P112" s="284"/>
      <c r="Q112" s="8"/>
      <c r="R112" s="8"/>
      <c r="S112" s="8"/>
      <c r="T112" s="8"/>
    </row>
    <row r="113" spans="2:20" ht="19.2">
      <c r="B113" s="22"/>
      <c r="C113" s="22"/>
      <c r="D113" s="22"/>
      <c r="E113" s="218"/>
      <c r="F113" s="239"/>
      <c r="G113" s="279">
        <f>+I112</f>
        <v>43800</v>
      </c>
      <c r="H113" s="221">
        <f>+IF(G113=0,0,VLOOKUP(YEAR(G113),INPC!$B$4:$O$31,MONTH(G113)+1))</f>
        <v>105.934</v>
      </c>
      <c r="I113" s="279">
        <v>44166</v>
      </c>
      <c r="J113" s="221">
        <f>VLOOKUP(YEAR(I113),INPC!$B$4:$O$31,MONTH(I113)+1)</f>
        <v>109.271</v>
      </c>
      <c r="K113" s="278" t="str">
        <f>IF(M113=0,"N/A",TRUNC(J113/H113,4))</f>
        <v>N/A</v>
      </c>
      <c r="L113" s="239">
        <f>IF(M112=0,IF(M113=0,0,F112*K113),IF(M113=0,0,N112*K113))</f>
        <v>0</v>
      </c>
      <c r="M113" s="280"/>
      <c r="N113" s="231">
        <f>+L113-M113</f>
        <v>0</v>
      </c>
      <c r="O113" s="230">
        <v>2021</v>
      </c>
      <c r="P113" s="284"/>
      <c r="Q113" s="8"/>
      <c r="R113" s="8"/>
      <c r="S113" s="8"/>
      <c r="T113" s="8"/>
    </row>
    <row r="114" spans="2:20" ht="19.2">
      <c r="B114" s="22"/>
      <c r="C114" s="22"/>
      <c r="D114" s="22"/>
      <c r="E114" s="218"/>
      <c r="F114" s="239"/>
      <c r="G114" s="279">
        <f>IF(M113=0,I112,I113)</f>
        <v>43800</v>
      </c>
      <c r="H114" s="221">
        <f>+IF(G114=0,0,VLOOKUP(YEAR(G114),INPC!$B$4:$O$31,MONTH(G114)+1))</f>
        <v>105.934</v>
      </c>
      <c r="I114" s="279">
        <v>44531</v>
      </c>
      <c r="J114" s="221">
        <f>VLOOKUP(YEAR(I114),INPC!$B$4:$O$31,MONTH(I114)+1)</f>
        <v>117.30800000000001</v>
      </c>
      <c r="K114" s="278">
        <f>IF(M114=0,"N/A",TRUNC(J114/H114,4))</f>
        <v>1.1073</v>
      </c>
      <c r="L114" s="239">
        <f>IF(AND(M113=0,M112=0),IF(M114=0,0,F112*K114),IF(M114=0,0,IF(M113=0,N112*K114,N113*K114)))</f>
        <v>0</v>
      </c>
      <c r="M114" s="625">
        <v>9.9999999999999995E-7</v>
      </c>
      <c r="N114" s="231">
        <f>+L114-M114</f>
        <v>-9.9999999999999995E-7</v>
      </c>
      <c r="O114" s="230">
        <v>2022</v>
      </c>
      <c r="P114" s="285">
        <f>N114</f>
        <v>-9.9999999999999995E-7</v>
      </c>
      <c r="Q114" s="8"/>
      <c r="R114" s="8"/>
      <c r="S114" s="8"/>
      <c r="T114" s="8"/>
    </row>
    <row r="115" spans="2:20" ht="19.2">
      <c r="B115" s="48"/>
      <c r="C115" s="48"/>
      <c r="D115" s="48"/>
      <c r="E115" s="273"/>
      <c r="F115" s="225"/>
      <c r="G115" s="275"/>
      <c r="H115" s="274"/>
      <c r="I115" s="275"/>
      <c r="J115" s="274"/>
      <c r="K115" s="276"/>
      <c r="L115" s="274"/>
      <c r="M115" s="274"/>
      <c r="N115" s="274"/>
      <c r="O115" s="277"/>
      <c r="Q115" s="8"/>
      <c r="R115" s="8"/>
      <c r="S115" s="8"/>
      <c r="T115" s="8"/>
    </row>
    <row r="116" spans="2:20" ht="19.2">
      <c r="B116" s="48"/>
      <c r="C116" s="48"/>
      <c r="D116" s="48"/>
      <c r="E116" s="273"/>
      <c r="F116" s="225"/>
      <c r="G116" s="275"/>
      <c r="H116" s="274"/>
      <c r="I116" s="275"/>
      <c r="J116" s="274"/>
      <c r="K116" s="276"/>
      <c r="L116" s="274"/>
      <c r="M116" s="274"/>
      <c r="N116" s="274"/>
      <c r="O116" s="277"/>
      <c r="Q116" s="8"/>
      <c r="R116" s="8"/>
      <c r="S116" s="8"/>
      <c r="T116" s="8"/>
    </row>
    <row r="117" spans="2:20" ht="19.2">
      <c r="B117" s="22">
        <v>2020</v>
      </c>
      <c r="C117" s="281"/>
      <c r="D117" s="281"/>
      <c r="E117" s="282"/>
      <c r="F117" s="283"/>
      <c r="G117" s="279">
        <v>44180</v>
      </c>
      <c r="H117" s="221">
        <f>+IF(F117=0,0,VLOOKUP(YEAR(G117),INPC!$B$4:$O$31,MONTH(G117)+1))</f>
        <v>0</v>
      </c>
      <c r="I117" s="279">
        <v>44166</v>
      </c>
      <c r="J117" s="221">
        <f>VLOOKUP(YEAR(I117),INPC!$B$4:$O$31,MONTH(I117)+1)</f>
        <v>109.271</v>
      </c>
      <c r="K117" s="278" t="str">
        <f>IF(M117=0,"N/A",TRUNC(J117/H117,4))</f>
        <v>N/A</v>
      </c>
      <c r="L117" s="239">
        <f>+IF(M117=0,0,F117*K117)</f>
        <v>0</v>
      </c>
      <c r="M117" s="280"/>
      <c r="N117" s="231">
        <f>+L117-M117</f>
        <v>0</v>
      </c>
      <c r="O117" s="286">
        <v>44561</v>
      </c>
      <c r="P117" s="284"/>
      <c r="Q117" s="8"/>
      <c r="R117" s="8"/>
      <c r="S117" s="8"/>
      <c r="T117" s="8"/>
    </row>
    <row r="118" spans="2:20" ht="19.2">
      <c r="B118" s="22"/>
      <c r="C118" s="22"/>
      <c r="D118" s="22"/>
      <c r="E118" s="218"/>
      <c r="F118" s="239"/>
      <c r="G118" s="279">
        <f>+I117</f>
        <v>44166</v>
      </c>
      <c r="H118" s="221">
        <f>+IF(G118=0,0,VLOOKUP(YEAR(G118),INPC!$B$4:$O$31,MONTH(G118)+1))</f>
        <v>109.271</v>
      </c>
      <c r="I118" s="279">
        <v>44531</v>
      </c>
      <c r="J118" s="221">
        <f>VLOOKUP(YEAR(I118),INPC!$B$4:$O$31,MONTH(I118)+1)</f>
        <v>117.30800000000001</v>
      </c>
      <c r="K118" s="278">
        <f>IF(M118=0,"N/A",TRUNC(J118/H118,4))</f>
        <v>1.0734999999999999</v>
      </c>
      <c r="L118" s="239">
        <f>IF(M117=0,IF(M118=0,0,F117*K118),IF(M118=0,0,N117*K118))</f>
        <v>0</v>
      </c>
      <c r="M118" s="625">
        <v>9.9999999999999995E-7</v>
      </c>
      <c r="N118" s="231">
        <f>+L118-M118</f>
        <v>-9.9999999999999995E-7</v>
      </c>
      <c r="O118" s="230">
        <v>2022</v>
      </c>
      <c r="P118" s="285">
        <f>N118</f>
        <v>-9.9999999999999995E-7</v>
      </c>
      <c r="Q118" s="8"/>
      <c r="R118" s="8"/>
      <c r="S118" s="8"/>
      <c r="T118" s="8"/>
    </row>
    <row r="119" spans="2:20" ht="19.2">
      <c r="B119" s="48"/>
      <c r="C119" s="48"/>
      <c r="D119" s="48"/>
      <c r="E119" s="273"/>
      <c r="F119" s="225"/>
      <c r="G119" s="275"/>
      <c r="H119" s="274"/>
      <c r="I119" s="275"/>
      <c r="J119" s="274"/>
      <c r="K119" s="276"/>
      <c r="L119" s="274"/>
      <c r="M119" s="274"/>
      <c r="N119" s="274"/>
      <c r="O119" s="277"/>
      <c r="Q119" s="8"/>
      <c r="R119" s="8"/>
      <c r="S119" s="8"/>
      <c r="T119" s="8"/>
    </row>
    <row r="120" spans="2:20" ht="19.2">
      <c r="B120" s="48"/>
      <c r="C120" s="48"/>
      <c r="D120" s="48"/>
      <c r="E120" s="273"/>
      <c r="F120" s="225"/>
      <c r="G120" s="275"/>
      <c r="H120" s="274"/>
      <c r="I120" s="275"/>
      <c r="J120" s="274"/>
      <c r="K120" s="276"/>
      <c r="L120" s="274"/>
      <c r="M120" s="274"/>
      <c r="N120" s="274"/>
      <c r="O120" s="277"/>
      <c r="Q120" s="8"/>
      <c r="R120" s="8"/>
      <c r="S120" s="8"/>
      <c r="T120" s="8"/>
    </row>
    <row r="121" spans="2:20" ht="19.2">
      <c r="B121" s="22">
        <v>2021</v>
      </c>
      <c r="C121" s="281"/>
      <c r="D121" s="281"/>
      <c r="E121" s="282"/>
      <c r="F121" s="283"/>
      <c r="G121" s="279">
        <v>44545</v>
      </c>
      <c r="H121" s="221">
        <f>+IF(F121=0,0,VLOOKUP(YEAR(G121),INPC!$B$4:$O$31,MONTH(G121)+1))</f>
        <v>0</v>
      </c>
      <c r="I121" s="279">
        <v>44531</v>
      </c>
      <c r="J121" s="221">
        <f>VLOOKUP(YEAR(I121),INPC!$B$4:$O$31,MONTH(I121)+1)</f>
        <v>117.30800000000001</v>
      </c>
      <c r="K121" s="278" t="str">
        <f>IF(AND(F121=0,M121=0.000001),"N/A",TRUNC(J121/H121,4))</f>
        <v>N/A</v>
      </c>
      <c r="L121" s="239">
        <f>+IF(AND(F121=0,M121=0.000001),0,F121*K121)</f>
        <v>0</v>
      </c>
      <c r="M121" s="625">
        <v>9.9999999999999995E-7</v>
      </c>
      <c r="N121" s="231">
        <f>+L121-M121</f>
        <v>-9.9999999999999995E-7</v>
      </c>
      <c r="O121" s="286">
        <v>44926</v>
      </c>
      <c r="P121" s="285">
        <f>N121</f>
        <v>-9.9999999999999995E-7</v>
      </c>
      <c r="Q121" s="8"/>
      <c r="R121" s="8"/>
      <c r="S121" s="8"/>
      <c r="T121" s="8"/>
    </row>
    <row r="122" spans="2:20" ht="19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0" ht="19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2:20" ht="19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240"/>
      <c r="M124" s="240"/>
      <c r="N124" s="240"/>
      <c r="O124" s="252" t="s">
        <v>649</v>
      </c>
      <c r="P124" s="254">
        <f>SUM(P107:P123)</f>
        <v>-3.9999999999999998E-6</v>
      </c>
      <c r="Q124" s="8"/>
      <c r="R124" s="8"/>
      <c r="S124" s="8"/>
      <c r="T124" s="8"/>
    </row>
    <row r="125" spans="2:20" ht="19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2:20" ht="19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0" ht="24.6">
      <c r="B127" s="249" t="s">
        <v>618</v>
      </c>
      <c r="C127" s="233"/>
      <c r="D127" s="233"/>
      <c r="E127" s="233"/>
      <c r="F127" s="233"/>
      <c r="G127" s="233"/>
      <c r="H127" s="233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2:20" ht="19.2">
      <c r="B128" s="246" t="s">
        <v>650</v>
      </c>
      <c r="C128" s="248"/>
      <c r="D128" s="248"/>
      <c r="E128" s="248"/>
      <c r="F128" s="248"/>
      <c r="G128" s="248"/>
      <c r="H128" s="24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9.2">
      <c r="B129" s="234" t="s">
        <v>651</v>
      </c>
      <c r="C129" s="234"/>
      <c r="D129" s="234"/>
      <c r="E129" s="234"/>
      <c r="F129" s="234"/>
      <c r="G129" s="234"/>
      <c r="H129" s="23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9.2">
      <c r="B130" s="234"/>
      <c r="C130" s="234"/>
      <c r="D130" s="234"/>
      <c r="E130" s="234"/>
      <c r="F130" s="234"/>
      <c r="G130" s="234"/>
      <c r="H130" s="23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9.2">
      <c r="B131" s="246" t="s">
        <v>623</v>
      </c>
      <c r="C131" s="248"/>
      <c r="D131" s="248"/>
      <c r="E131" s="248"/>
      <c r="F131" s="248"/>
      <c r="G131" s="248"/>
      <c r="H131" s="24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9.2">
      <c r="B132" s="235"/>
      <c r="C132" s="234" t="s">
        <v>652</v>
      </c>
      <c r="D132" s="234"/>
      <c r="E132" s="234"/>
      <c r="F132" s="234"/>
      <c r="G132" s="234"/>
      <c r="H132" s="23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9.2">
      <c r="B133" s="234"/>
      <c r="C133" s="234" t="s">
        <v>653</v>
      </c>
      <c r="D133" s="234"/>
      <c r="E133" s="234"/>
      <c r="F133" s="234"/>
      <c r="G133" s="234"/>
      <c r="H133" s="23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9.2">
      <c r="B134" s="234"/>
      <c r="C134" s="234"/>
      <c r="D134" s="234"/>
      <c r="E134" s="234"/>
      <c r="F134" s="234"/>
      <c r="G134" s="234"/>
      <c r="H134" s="23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9.2">
      <c r="B135" s="246" t="s">
        <v>654</v>
      </c>
      <c r="C135" s="248"/>
      <c r="D135" s="248"/>
      <c r="E135" s="248"/>
      <c r="F135" s="248"/>
      <c r="G135" s="248"/>
      <c r="H135" s="24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9.2">
      <c r="B136" s="234"/>
      <c r="C136" s="234" t="s">
        <v>655</v>
      </c>
      <c r="D136" s="234"/>
      <c r="E136" s="234"/>
      <c r="F136" s="234"/>
      <c r="G136" s="234"/>
      <c r="H136" s="23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9" spans="1:20" ht="16.0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20" ht="24.6">
      <c r="A140" s="251">
        <v>4</v>
      </c>
      <c r="B140" s="245" t="s">
        <v>656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20">
      <c r="B141" s="214" t="s">
        <v>588</v>
      </c>
      <c r="C141" s="214" t="s">
        <v>806</v>
      </c>
      <c r="D141" s="214"/>
      <c r="E141" s="215"/>
      <c r="F141" s="215"/>
      <c r="G141" s="215"/>
      <c r="H141" s="215"/>
      <c r="I141" s="215"/>
      <c r="J141" s="214" t="s">
        <v>589</v>
      </c>
      <c r="K141" s="214" t="s">
        <v>590</v>
      </c>
      <c r="L141" s="214"/>
      <c r="M141" s="215"/>
      <c r="N141" s="215"/>
      <c r="O141" s="215"/>
      <c r="P141" s="215"/>
    </row>
    <row r="142" spans="1:20">
      <c r="B142" s="241"/>
      <c r="C142" s="241"/>
      <c r="D142" s="241"/>
      <c r="E142" s="242"/>
      <c r="F142" s="242"/>
      <c r="G142" s="242"/>
      <c r="H142" s="242"/>
      <c r="I142" s="242"/>
      <c r="J142" s="241"/>
      <c r="K142" s="241"/>
      <c r="L142" s="241"/>
      <c r="M142" s="242"/>
      <c r="N142" s="242"/>
      <c r="O142" s="242"/>
      <c r="P142" s="242"/>
    </row>
    <row r="143" spans="1:20" ht="45">
      <c r="B143" s="216" t="s">
        <v>644</v>
      </c>
      <c r="C143" s="216" t="s">
        <v>592</v>
      </c>
      <c r="D143" s="216" t="s">
        <v>593</v>
      </c>
      <c r="E143" s="216" t="s">
        <v>594</v>
      </c>
      <c r="F143" s="216" t="s">
        <v>657</v>
      </c>
      <c r="G143" s="216" t="s">
        <v>628</v>
      </c>
      <c r="H143" s="216" t="s">
        <v>599</v>
      </c>
      <c r="I143" s="216" t="s">
        <v>645</v>
      </c>
      <c r="J143" s="216" t="s">
        <v>604</v>
      </c>
      <c r="K143" s="216" t="s">
        <v>605</v>
      </c>
      <c r="L143" s="216" t="s">
        <v>646</v>
      </c>
      <c r="M143" s="216" t="s">
        <v>647</v>
      </c>
      <c r="N143" s="216" t="s">
        <v>648</v>
      </c>
      <c r="O143" s="216" t="s">
        <v>633</v>
      </c>
      <c r="P143" s="216" t="s">
        <v>596</v>
      </c>
    </row>
    <row r="144" spans="1:20" ht="16.05" customHeigh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2:16" ht="16.05" customHeight="1">
      <c r="B145" s="293">
        <v>2014</v>
      </c>
      <c r="C145" s="626"/>
      <c r="D145" s="626"/>
      <c r="E145" s="627"/>
      <c r="F145" s="628"/>
      <c r="G145" s="292">
        <v>41988</v>
      </c>
      <c r="H145" s="295">
        <f>+IF(G145=0,0,VLOOKUP(YEAR(G145),INPC!$B$4:$O$31,MONTH(G145)+1))</f>
        <v>87.188983712964003</v>
      </c>
      <c r="I145" s="292">
        <f>+G145</f>
        <v>41988</v>
      </c>
      <c r="J145" s="295">
        <f>VLOOKUP(YEAR(I145),INPC!$B$4:$O$31,MONTH(I145)+1)</f>
        <v>87.188983712964003</v>
      </c>
      <c r="K145" s="296">
        <f>TRUNC(J145/H145,4)</f>
        <v>1</v>
      </c>
      <c r="L145" s="288">
        <f>+IF(F145=0,0,F145*K145)</f>
        <v>0</v>
      </c>
      <c r="M145" s="299"/>
      <c r="N145" s="299"/>
      <c r="O145" s="299"/>
      <c r="P145" s="299"/>
    </row>
    <row r="146" spans="2:16" ht="16.05" customHeight="1">
      <c r="B146" s="629"/>
      <c r="C146" s="629"/>
      <c r="D146" s="629"/>
      <c r="E146" s="629"/>
      <c r="F146" s="629"/>
      <c r="G146" s="292">
        <f>+I145</f>
        <v>41988</v>
      </c>
      <c r="H146" s="295">
        <f>+IF(G146=0,0,VLOOKUP(YEAR(G146),INPC!$B$4:$O$31,MONTH(G146)+1))</f>
        <v>87.188983712964003</v>
      </c>
      <c r="I146" s="292">
        <v>41974</v>
      </c>
      <c r="J146" s="295">
        <f>VLOOKUP(YEAR(I146),INPC!$B$4:$O$31,MONTH(I146)+1)</f>
        <v>87.188983712964003</v>
      </c>
      <c r="K146" s="296" t="str">
        <f t="shared" ref="K146:K153" si="0">IF(M146=0,"N/A",TRUNC(J146/H146,4))</f>
        <v>N/A</v>
      </c>
      <c r="L146" s="288">
        <f>IF(M146=0,0,L145*K146)</f>
        <v>0</v>
      </c>
      <c r="M146" s="289"/>
      <c r="N146" s="290">
        <f t="shared" ref="N146:N153" si="1">+L146-M146</f>
        <v>0</v>
      </c>
      <c r="O146" s="297">
        <v>2015</v>
      </c>
      <c r="P146" s="291"/>
    </row>
    <row r="147" spans="2:16" ht="16.05" customHeight="1">
      <c r="B147" s="293"/>
      <c r="C147" s="293"/>
      <c r="D147" s="293"/>
      <c r="E147" s="294"/>
      <c r="F147" s="288"/>
      <c r="G147" s="292">
        <f>IF(M146=0,I145,I146)</f>
        <v>41988</v>
      </c>
      <c r="H147" s="295">
        <f>+IF(G147=0,0,VLOOKUP(YEAR(G147),INPC!$B$4:$O$31,MONTH(G147)+1))</f>
        <v>87.188983712964003</v>
      </c>
      <c r="I147" s="292">
        <v>42339</v>
      </c>
      <c r="J147" s="295">
        <f>VLOOKUP(YEAR(I147),INPC!$B$4:$O$31,MONTH(I147)+1)</f>
        <v>89.046817717411002</v>
      </c>
      <c r="K147" s="296" t="str">
        <f t="shared" si="0"/>
        <v>N/A</v>
      </c>
      <c r="L147" s="288">
        <f>IF(M146=0,IF(M147=0,0,L145*K147),IF(M147=0,0,N146*K147))</f>
        <v>0</v>
      </c>
      <c r="M147" s="289"/>
      <c r="N147" s="290">
        <f t="shared" si="1"/>
        <v>0</v>
      </c>
      <c r="O147" s="297">
        <v>2016</v>
      </c>
      <c r="P147" s="291"/>
    </row>
    <row r="148" spans="2:16" ht="16.05" customHeight="1">
      <c r="B148" s="293"/>
      <c r="C148" s="293"/>
      <c r="D148" s="293"/>
      <c r="E148" s="294"/>
      <c r="F148" s="288"/>
      <c r="G148" s="292">
        <f>IF(AND(M147=0,M146=0),I145,IF(M147&gt;0,I147,I146))</f>
        <v>41988</v>
      </c>
      <c r="H148" s="295">
        <f>+IF(G148=0,0,VLOOKUP(YEAR(G148),INPC!$B$4:$O$31,MONTH(G148)+1))</f>
        <v>87.188983712964003</v>
      </c>
      <c r="I148" s="292">
        <v>42705</v>
      </c>
      <c r="J148" s="295">
        <f>VLOOKUP(YEAR(I148),INPC!$B$4:$O$31,MONTH(I148)+1)</f>
        <v>92.039034797764003</v>
      </c>
      <c r="K148" s="296" t="str">
        <f t="shared" si="0"/>
        <v>N/A</v>
      </c>
      <c r="L148" s="288">
        <f>IF(AND(M147=0,M146=0),IF(M148=0,0,L145*K148),IF(M148=0,0,IF(M147=0,N146*K148,N147*K148)))</f>
        <v>0</v>
      </c>
      <c r="M148" s="289"/>
      <c r="N148" s="290">
        <f t="shared" si="1"/>
        <v>0</v>
      </c>
      <c r="O148" s="297">
        <v>2017</v>
      </c>
      <c r="P148" s="291"/>
    </row>
    <row r="149" spans="2:16" ht="16.05" customHeight="1">
      <c r="B149" s="293"/>
      <c r="C149" s="293"/>
      <c r="D149" s="293"/>
      <c r="E149" s="294"/>
      <c r="F149" s="288"/>
      <c r="G149" s="292">
        <f>IF(AND(M148=0,M147=0,M146=0),I145,IF(M148&gt;0,I148,IF(M147&gt;0,I147,I146)))</f>
        <v>41988</v>
      </c>
      <c r="H149" s="295">
        <f>+IF(G149=0,0,VLOOKUP(YEAR(G149),INPC!$B$4:$O$31,MONTH(G149)+1))</f>
        <v>87.188983712964003</v>
      </c>
      <c r="I149" s="292">
        <v>43070</v>
      </c>
      <c r="J149" s="295">
        <f>VLOOKUP(YEAR(I149),INPC!$B$4:$O$31,MONTH(I149)+1)</f>
        <v>98.272882985755999</v>
      </c>
      <c r="K149" s="296" t="str">
        <f t="shared" si="0"/>
        <v>N/A</v>
      </c>
      <c r="L149" s="288">
        <f>IF(AND(M148=0,M147=0,M146=0),IF(M149=0,0,L145*K149),IF(M149=0,0,IF(AND(M148=0,M147=0),N146*K149,IF(M148=0,N147*K149,N148*K149))))</f>
        <v>0</v>
      </c>
      <c r="M149" s="289"/>
      <c r="N149" s="290">
        <f t="shared" si="1"/>
        <v>0</v>
      </c>
      <c r="O149" s="297">
        <v>2018</v>
      </c>
      <c r="P149" s="291"/>
    </row>
    <row r="150" spans="2:16" ht="16.05" customHeight="1">
      <c r="B150" s="293"/>
      <c r="C150" s="293"/>
      <c r="D150" s="293"/>
      <c r="E150" s="294"/>
      <c r="F150" s="288"/>
      <c r="G150" s="292">
        <f>IF(AND(M149=0,M148=0,M147=0,M146=0),I145,IF(M149&gt;0,I149,IF(M148&gt;0,I148,IF(M147&gt;0,I147,I146))))</f>
        <v>41988</v>
      </c>
      <c r="H150" s="295">
        <f>+IF(G150=0,0,VLOOKUP(YEAR(G150),INPC!$B$4:$O$31,MONTH(G150)+1))</f>
        <v>87.188983712964003</v>
      </c>
      <c r="I150" s="292">
        <v>43435</v>
      </c>
      <c r="J150" s="295">
        <f>VLOOKUP(YEAR(I150),INPC!$B$4:$O$31,MONTH(I150)+1)</f>
        <v>103.02</v>
      </c>
      <c r="K150" s="296" t="str">
        <f t="shared" si="0"/>
        <v>N/A</v>
      </c>
      <c r="L150" s="288">
        <f>IF(AND(M149=0,M148=0,M147=0,M146=0),IF(M150=0,0,L145*K150),IF(M150=0,0,IF(AND(M149=0,M148=0,M147=0),N146*K150,IF(AND(M149=0,M148=0),N147*K150,IF(M149=0,N148*K150,N149*K150)))))</f>
        <v>0</v>
      </c>
      <c r="M150" s="289"/>
      <c r="N150" s="290">
        <f t="shared" si="1"/>
        <v>0</v>
      </c>
      <c r="O150" s="297">
        <v>2019</v>
      </c>
      <c r="P150" s="291"/>
    </row>
    <row r="151" spans="2:16" ht="16.05" customHeight="1">
      <c r="B151" s="293"/>
      <c r="C151" s="293"/>
      <c r="D151" s="293"/>
      <c r="E151" s="294"/>
      <c r="F151" s="288"/>
      <c r="G151" s="292">
        <f>IF(AND(M150=0,M149=0,M148=0,M147=0,M146=0),I145,IF(M150&gt;0,I150,IF(M149&gt;0,I149,IF(M148&gt;0,I148,IF(M147&gt;0,I147,I146)))))</f>
        <v>41988</v>
      </c>
      <c r="H151" s="295">
        <f>+IF(G151=0,0,VLOOKUP(YEAR(G151),INPC!$B$4:$O$31,MONTH(G151)+1))</f>
        <v>87.188983712964003</v>
      </c>
      <c r="I151" s="292">
        <v>43800</v>
      </c>
      <c r="J151" s="295">
        <f>VLOOKUP(YEAR(I151),INPC!$B$4:$O$31,MONTH(I151)+1)</f>
        <v>105.934</v>
      </c>
      <c r="K151" s="296" t="str">
        <f t="shared" si="0"/>
        <v>N/A</v>
      </c>
      <c r="L151" s="288">
        <f>IF(AND(M150=0,M149=0,M148=0,M147=0,M146=0),IF(M151=0,0,L145*K151),IF(M151=0,0,IF(AND(M150=0,M149=0,M148=0,M147=0),N146*K151,IF(AND(M150=0,M149=0,M148=0),N147*K151,IF(AND(M150=0,M149=0),N148*K151,IF(M150=0,N149*K151,N150*K151))))))</f>
        <v>0</v>
      </c>
      <c r="M151" s="289"/>
      <c r="N151" s="290">
        <f t="shared" si="1"/>
        <v>0</v>
      </c>
      <c r="O151" s="297">
        <v>2020</v>
      </c>
      <c r="P151" s="291"/>
    </row>
    <row r="152" spans="2:16" ht="16.05" customHeight="1">
      <c r="B152" s="293"/>
      <c r="C152" s="293"/>
      <c r="D152" s="293"/>
      <c r="E152" s="294"/>
      <c r="F152" s="288"/>
      <c r="G152" s="292">
        <f>IF(AND(M151=0,M150=0,M149=0,M148=0,M147=0,M146=0),I145,IF(M151&gt;0,I151,IF(M150&gt;0,I150,IF(M149&gt;0,I149,IF(M148&gt;0,I148,IF(M147&gt;0,I147,I146))))))</f>
        <v>41988</v>
      </c>
      <c r="H152" s="295">
        <f>+IF(G152=0,0,VLOOKUP(YEAR(G152),INPC!$B$4:$O$31,MONTH(G152)+1))</f>
        <v>87.188983712964003</v>
      </c>
      <c r="I152" s="292">
        <v>44166</v>
      </c>
      <c r="J152" s="295">
        <f>VLOOKUP(YEAR(I152),INPC!$B$4:$O$31,MONTH(I152)+1)</f>
        <v>109.271</v>
      </c>
      <c r="K152" s="296" t="str">
        <f t="shared" si="0"/>
        <v>N/A</v>
      </c>
      <c r="L152" s="288">
        <f>IF(AND(M151=0,M150=0,M149=0,M148=0,M147=0,M146=0),IF(M152=0,0,L145*K152),IF(M152=0,0,IF(AND(M151=0,M150=0,M149=0,M148=0,M147=0),N146*K152,IF(AND(M151=0,M150=0,M149=0,M148=0),N147*K152,IF(AND(M151=0,M150=0,M149=0),N148*K152,IF(AND(M151=0,M150=0),N149*K152,IF(M151=0,N150*K152,N151*K152)))))))</f>
        <v>0</v>
      </c>
      <c r="M152" s="289"/>
      <c r="N152" s="290">
        <f t="shared" si="1"/>
        <v>0</v>
      </c>
      <c r="O152" s="630">
        <v>2021</v>
      </c>
    </row>
    <row r="153" spans="2:16" ht="16.05" customHeight="1">
      <c r="B153" s="293"/>
      <c r="C153" s="293"/>
      <c r="D153" s="293"/>
      <c r="E153" s="294"/>
      <c r="F153" s="288"/>
      <c r="G153" s="292">
        <f>IF(AND(I152=0,M151=0,M150=0,M149=0,M148=0,M147=0,M146=0),I145,IF(M152&gt;0,I152,IF(M151&gt;0,I151,IF(M150&gt;0,I150,IF(M149&gt;0,I149,IF(M148&gt;0,I148,IF(M147&gt;0,I147,I146)))))))</f>
        <v>41974</v>
      </c>
      <c r="H153" s="295">
        <f>+IF(G153=0,0,VLOOKUP(YEAR(G153),INPC!$B$4:$O$31,MONTH(G153)+1))</f>
        <v>87.188983712964003</v>
      </c>
      <c r="I153" s="292">
        <v>44531</v>
      </c>
      <c r="J153" s="295">
        <f>VLOOKUP(YEAR(I153),INPC!$B$4:$O$31,MONTH(I153)+1)</f>
        <v>117.30800000000001</v>
      </c>
      <c r="K153" s="296">
        <f t="shared" si="0"/>
        <v>1.3453999999999999</v>
      </c>
      <c r="L153" s="631">
        <f>+IF(AND(M152=0,M151=0,M150=0,M149=0,M148=0,M147=0,M146=0),IF(M153=0,0,L145*K153),IF(M153=0,0,IF(AND(M152=0,M151=0,M150=0,M149=0,M148=0,M147=0),N146*K153,IF(AND(M152=0,M151=0,M150=0,M149=0,M148=0),N147*K153,IF(AND(M152=0,M151=0,M150=0,M149=0),N148*K153,IF(AND(M152=0,M151=0,M150=0),N149*K153,IF(AND(M152=0,M151=0),N150*K153,IF(M152=0,N151*K153,N152*K153))))))))</f>
        <v>0</v>
      </c>
      <c r="M153" s="632">
        <v>9.9999999999999995E-7</v>
      </c>
      <c r="N153" s="290">
        <f t="shared" si="1"/>
        <v>-9.9999999999999995E-7</v>
      </c>
      <c r="O153" s="297">
        <v>2022</v>
      </c>
      <c r="P153" s="298">
        <f>N153</f>
        <v>-9.9999999999999995E-7</v>
      </c>
    </row>
    <row r="154" spans="2:16" ht="16.05" customHeigh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2:16" ht="16.05" customHeigh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2:16" ht="16.05" customHeight="1">
      <c r="B156" s="293">
        <v>2015</v>
      </c>
      <c r="C156" s="626"/>
      <c r="D156" s="626"/>
      <c r="E156" s="627"/>
      <c r="F156" s="628"/>
      <c r="G156" s="292">
        <v>42353</v>
      </c>
      <c r="H156" s="295">
        <f>+IF(G156=0,0,VLOOKUP(YEAR(G156),INPC!$B$4:$O$31,MONTH(G156)+1))</f>
        <v>89.046817717411002</v>
      </c>
      <c r="I156" s="292">
        <f>+G156</f>
        <v>42353</v>
      </c>
      <c r="J156" s="295">
        <f>VLOOKUP(YEAR(I156),INPC!$B$4:$O$31,MONTH(I156)+1)</f>
        <v>89.046817717411002</v>
      </c>
      <c r="K156" s="296">
        <f>TRUNC(J156/H156,4)</f>
        <v>1</v>
      </c>
      <c r="L156" s="288">
        <f>+IF(F156=0,0,F156*K156)</f>
        <v>0</v>
      </c>
      <c r="M156" s="299"/>
      <c r="N156" s="299"/>
      <c r="O156" s="299"/>
      <c r="P156" s="299"/>
    </row>
    <row r="157" spans="2:16" ht="16.05" customHeight="1">
      <c r="B157" s="293"/>
      <c r="C157" s="293"/>
      <c r="D157" s="293"/>
      <c r="E157" s="294"/>
      <c r="F157" s="288"/>
      <c r="G157" s="292">
        <f>+I156</f>
        <v>42353</v>
      </c>
      <c r="H157" s="295">
        <f>+IF(G157=0,0,VLOOKUP(YEAR(G157),INPC!$B$4:$O$31,MONTH(G157)+1))</f>
        <v>89.046817717411002</v>
      </c>
      <c r="I157" s="292">
        <v>42339</v>
      </c>
      <c r="J157" s="295">
        <f>VLOOKUP(YEAR(I157),INPC!$B$4:$O$31,MONTH(I157)+1)</f>
        <v>89.046817717411002</v>
      </c>
      <c r="K157" s="296" t="str">
        <f t="shared" ref="K157:K162" si="2">IF(M157=0,"N/A",TRUNC(J157/H157,4))</f>
        <v>N/A</v>
      </c>
      <c r="L157" s="288">
        <f>IF(M157=0,0,L156*K157)</f>
        <v>0</v>
      </c>
      <c r="M157" s="289"/>
      <c r="N157" s="290">
        <f t="shared" ref="N157:N162" si="3">+L157-M157</f>
        <v>0</v>
      </c>
      <c r="O157" s="297">
        <v>2016</v>
      </c>
      <c r="P157" s="291"/>
    </row>
    <row r="158" spans="2:16" ht="16.05" customHeight="1">
      <c r="B158" s="293"/>
      <c r="C158" s="293"/>
      <c r="D158" s="293"/>
      <c r="E158" s="294"/>
      <c r="F158" s="288"/>
      <c r="G158" s="292">
        <f>IF(M157=0,I156,I157)</f>
        <v>42353</v>
      </c>
      <c r="H158" s="295">
        <f>+IF(G158=0,0,VLOOKUP(YEAR(G158),INPC!$B$4:$O$31,MONTH(G158)+1))</f>
        <v>89.046817717411002</v>
      </c>
      <c r="I158" s="292">
        <v>42705</v>
      </c>
      <c r="J158" s="295">
        <f>VLOOKUP(YEAR(I158),INPC!$B$4:$O$31,MONTH(I158)+1)</f>
        <v>92.039034797764003</v>
      </c>
      <c r="K158" s="296" t="str">
        <f t="shared" si="2"/>
        <v>N/A</v>
      </c>
      <c r="L158" s="288">
        <f>IF(M157=0,IF(M158=0,0,L156*K158),IF(M158=0,0,N157*K158))</f>
        <v>0</v>
      </c>
      <c r="M158" s="289"/>
      <c r="N158" s="290">
        <f t="shared" si="3"/>
        <v>0</v>
      </c>
      <c r="O158" s="297">
        <v>2017</v>
      </c>
      <c r="P158" s="291"/>
    </row>
    <row r="159" spans="2:16" ht="16.05" customHeight="1">
      <c r="B159" s="293"/>
      <c r="C159" s="293"/>
      <c r="D159" s="293"/>
      <c r="E159" s="294"/>
      <c r="F159" s="288"/>
      <c r="G159" s="292">
        <f>IF(AND(M158=0,M157=0),I156,IF(M158&gt;0,I158,I157))</f>
        <v>42353</v>
      </c>
      <c r="H159" s="295">
        <f>+IF(G159=0,0,VLOOKUP(YEAR(G159),INPC!$B$4:$O$31,MONTH(G159)+1))</f>
        <v>89.046817717411002</v>
      </c>
      <c r="I159" s="292">
        <v>43070</v>
      </c>
      <c r="J159" s="295">
        <f>VLOOKUP(YEAR(I159),INPC!$B$4:$O$31,MONTH(I159)+1)</f>
        <v>98.272882985755999</v>
      </c>
      <c r="K159" s="296" t="str">
        <f t="shared" si="2"/>
        <v>N/A</v>
      </c>
      <c r="L159" s="288">
        <f>IF(AND(M158=0,M157=0),IF(M159=0,0,L156*K159),IF(M159=0,0,IF(M158=0,N157*K159,N158*K159)))</f>
        <v>0</v>
      </c>
      <c r="M159" s="289"/>
      <c r="N159" s="290">
        <f t="shared" si="3"/>
        <v>0</v>
      </c>
      <c r="O159" s="297">
        <v>2018</v>
      </c>
      <c r="P159" s="291"/>
    </row>
    <row r="160" spans="2:16" ht="16.05" customHeight="1">
      <c r="B160" s="293"/>
      <c r="C160" s="293"/>
      <c r="D160" s="293"/>
      <c r="E160" s="294"/>
      <c r="F160" s="288"/>
      <c r="G160" s="292">
        <f>IF(AND(M159=0,M158=0,M157=0),I156,IF(M159&gt;0,I159,IF(M158&gt;0,I158,I157)))</f>
        <v>42353</v>
      </c>
      <c r="H160" s="295">
        <f>+IF(G160=0,0,VLOOKUP(YEAR(G160),INPC!$B$4:$O$31,MONTH(G160)+1))</f>
        <v>89.046817717411002</v>
      </c>
      <c r="I160" s="292">
        <v>43435</v>
      </c>
      <c r="J160" s="295">
        <f>VLOOKUP(YEAR(I160),INPC!$B$4:$O$31,MONTH(I160)+1)</f>
        <v>103.02</v>
      </c>
      <c r="K160" s="296" t="str">
        <f t="shared" si="2"/>
        <v>N/A</v>
      </c>
      <c r="L160" s="288">
        <f>IF(AND(M159=0,M158=0,M157=0),IF(M160=0,0,L156*K160),IF(M160=0,0,IF(AND(M159=0,M158=0),N157*K160,IF(M159=0,N158*K160,N159*K160))))</f>
        <v>0</v>
      </c>
      <c r="M160" s="289"/>
      <c r="N160" s="290">
        <f t="shared" si="3"/>
        <v>0</v>
      </c>
      <c r="O160" s="297">
        <v>2019</v>
      </c>
      <c r="P160" s="291"/>
    </row>
    <row r="161" spans="2:18" ht="16.05" customHeight="1">
      <c r="B161" s="293"/>
      <c r="C161" s="293"/>
      <c r="D161" s="293"/>
      <c r="E161" s="294"/>
      <c r="F161" s="288"/>
      <c r="G161" s="292">
        <f>IF(AND(M160=0,M159=0,M158=0,M157=0),I156,IF(M160&gt;0,I160,IF(M159&gt;0,I159,IF(M158&gt;0,I158,I157))))</f>
        <v>42353</v>
      </c>
      <c r="H161" s="295">
        <f>+IF(G161=0,0,VLOOKUP(YEAR(G161),INPC!$B$4:$O$31,MONTH(G161)+1))</f>
        <v>89.046817717411002</v>
      </c>
      <c r="I161" s="292">
        <v>43800</v>
      </c>
      <c r="J161" s="295">
        <f>VLOOKUP(YEAR(I161),INPC!$B$4:$O$31,MONTH(I161)+1)</f>
        <v>105.934</v>
      </c>
      <c r="K161" s="296" t="str">
        <f t="shared" si="2"/>
        <v>N/A</v>
      </c>
      <c r="L161" s="288">
        <f>IF(AND(M160=0,M159=0,M158=0,M157=0),IF(M161=0,0,L156*K161),IF(M161=0,0,IF(AND(M160=0,M159=0,M158=0),N157*K161,IF(AND(M160=0,M159=0),N158*K161,IF(M160=0,N159*K161,N160*K161)))))</f>
        <v>0</v>
      </c>
      <c r="M161" s="289"/>
      <c r="N161" s="290">
        <f t="shared" si="3"/>
        <v>0</v>
      </c>
      <c r="O161" s="297">
        <v>2020</v>
      </c>
      <c r="P161" s="291"/>
    </row>
    <row r="162" spans="2:18" ht="16.05" customHeight="1">
      <c r="B162" s="293"/>
      <c r="C162" s="293"/>
      <c r="D162" s="293"/>
      <c r="E162" s="294"/>
      <c r="F162" s="288"/>
      <c r="G162" s="292">
        <f>IF(AND(M161=0,M160=0,M159=0,M158=0,M157=0),I156,IF(M161&gt;0,I161,IF(M160&gt;0,I160,IF(M159&gt;0,I159,IF(M158&gt;0,I158,I157)))))</f>
        <v>42353</v>
      </c>
      <c r="H162" s="295">
        <f>+IF(G162=0,0,VLOOKUP(YEAR(G162),INPC!$B$4:$O$31,MONTH(G162)+1))</f>
        <v>89.046817717411002</v>
      </c>
      <c r="I162" s="292">
        <v>44166</v>
      </c>
      <c r="J162" s="295">
        <f>VLOOKUP(YEAR(I162),INPC!$B$4:$O$31,MONTH(I162)+1)</f>
        <v>109.271</v>
      </c>
      <c r="K162" s="296" t="str">
        <f t="shared" si="2"/>
        <v>N/A</v>
      </c>
      <c r="L162" s="288">
        <f>IF(AND(M161=0,M160=0,M159=0,M158=0,M157=0),IF(M162=0,0,L156*K162),IF(M162=0,0,IF(AND(M161=0,M160=0,M159=0,M158=0),N157*K162,IF(AND(M161=0,M160=0,M159=0),N158*K162,IF(AND(M161=0,M160=0),N159*K162,IF(M161=0,N160*K162,N161*K162))))))</f>
        <v>0</v>
      </c>
      <c r="M162" s="289"/>
      <c r="N162" s="290">
        <f t="shared" si="3"/>
        <v>0</v>
      </c>
      <c r="O162" s="630">
        <v>2021</v>
      </c>
      <c r="P162" s="291"/>
      <c r="R162" s="303"/>
    </row>
    <row r="163" spans="2:18" ht="16.05" customHeight="1">
      <c r="B163" s="293"/>
      <c r="C163" s="293"/>
      <c r="D163" s="293"/>
      <c r="E163" s="294"/>
      <c r="F163" s="288"/>
      <c r="G163" s="292">
        <f>IF(AND(M162=0,M161=0,M160=0,M159=0,M158=0,M157=0),I156,IF(M162&gt;0,I162,IF(M161&gt;0,I161,IF(M160&gt;0,I160,IF(M159&gt;0,I159,IF(M158&gt;0,I158,I157))))))</f>
        <v>42353</v>
      </c>
      <c r="H163" s="295">
        <f>+IF(G163=0,0,VLOOKUP(YEAR(G163),INPC!$B$4:$O$31,MONTH(G163)+1))</f>
        <v>89.046817717411002</v>
      </c>
      <c r="I163" s="292">
        <v>44531</v>
      </c>
      <c r="J163" s="295">
        <f>VLOOKUP(YEAR(I163),INPC!$B$4:$O$31,MONTH(I163)+1)</f>
        <v>117.30800000000001</v>
      </c>
      <c r="K163" s="296">
        <f>IF(M163=0,"N/A",TRUNC(J163/H163,4))</f>
        <v>1.3172999999999999</v>
      </c>
      <c r="L163" s="288">
        <f>IF(AND(M162=0,M161=0,M160=0,M159=0,M158=0,M157=0),IF(M163=0,0,L156*K163),IF(M163=0,0,IF(AND(M162=0,M161=0,M160=0,M159=0,M158=0),N157*K163,IF(AND(M162=0,M161=0,M160=0,M159=0),N158*K163,IF(AND(M162=0,M161=0,M160=0),N159*K163,IF(AND(M162=0,M161=0),N160*K163,IF(M162=0,N161*K163,N162*K163)))))))</f>
        <v>0</v>
      </c>
      <c r="M163" s="632">
        <v>9.9999999999999995E-7</v>
      </c>
      <c r="N163" s="290">
        <f>+L163-M163</f>
        <v>-9.9999999999999995E-7</v>
      </c>
      <c r="O163" s="297">
        <v>2022</v>
      </c>
      <c r="P163" s="298">
        <f>N163</f>
        <v>-9.9999999999999995E-7</v>
      </c>
    </row>
    <row r="164" spans="2:18" ht="16.05" customHeight="1">
      <c r="B164" s="545"/>
      <c r="C164" s="545"/>
      <c r="D164" s="545"/>
      <c r="E164" s="545"/>
      <c r="F164" s="545"/>
      <c r="G164" s="545"/>
      <c r="H164" s="545"/>
      <c r="I164" s="545"/>
      <c r="J164" s="545"/>
      <c r="K164" s="545"/>
      <c r="L164" s="545"/>
      <c r="M164" s="545"/>
      <c r="N164" s="8"/>
      <c r="O164" s="8"/>
      <c r="P164" s="8"/>
    </row>
    <row r="165" spans="2:18" ht="16.05" customHeigh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2:18" ht="16.05" customHeight="1">
      <c r="B166" s="293">
        <v>2016</v>
      </c>
      <c r="C166" s="626"/>
      <c r="D166" s="626"/>
      <c r="E166" s="627"/>
      <c r="F166" s="628"/>
      <c r="G166" s="292">
        <v>42719</v>
      </c>
      <c r="H166" s="295">
        <f>+IF(G166=0,0,VLOOKUP(YEAR(G166),INPC!$B$4:$O$31,MONTH(G166)+1))</f>
        <v>92.039034797764003</v>
      </c>
      <c r="I166" s="292">
        <f>+G166</f>
        <v>42719</v>
      </c>
      <c r="J166" s="295">
        <f>VLOOKUP(YEAR(I166),INPC!$B$4:$O$31,MONTH(I166)+1)</f>
        <v>92.039034797764003</v>
      </c>
      <c r="K166" s="296">
        <f>TRUNC(J166/H166,4)</f>
        <v>1</v>
      </c>
      <c r="L166" s="288">
        <f>+IF(F166=0,0,F166*K166)</f>
        <v>0</v>
      </c>
      <c r="M166" s="299"/>
      <c r="N166" s="299"/>
      <c r="O166" s="299"/>
      <c r="P166" s="299"/>
    </row>
    <row r="167" spans="2:18" ht="16.05" customHeight="1">
      <c r="B167" s="293"/>
      <c r="C167" s="293"/>
      <c r="D167" s="293"/>
      <c r="E167" s="294"/>
      <c r="F167" s="288"/>
      <c r="G167" s="292">
        <f>+I166</f>
        <v>42719</v>
      </c>
      <c r="H167" s="295">
        <f>+IF(G167=0,0,VLOOKUP(YEAR(G167),INPC!$B$4:$O$31,MONTH(G167)+1))</f>
        <v>92.039034797764003</v>
      </c>
      <c r="I167" s="292">
        <v>42705</v>
      </c>
      <c r="J167" s="295">
        <f>VLOOKUP(YEAR(I167),INPC!$B$4:$O$31,MONTH(I167)+1)</f>
        <v>92.039034797764003</v>
      </c>
      <c r="K167" s="296" t="str">
        <f t="shared" ref="K167:K172" si="4">IF(M167=0,"N/A",TRUNC(J167/H167,4))</f>
        <v>N/A</v>
      </c>
      <c r="L167" s="288">
        <f>IF(M167=0,0,L166*K167)</f>
        <v>0</v>
      </c>
      <c r="M167" s="289"/>
      <c r="N167" s="290">
        <f t="shared" ref="N167:N172" si="5">+L167-M167</f>
        <v>0</v>
      </c>
      <c r="O167" s="297">
        <v>2017</v>
      </c>
      <c r="P167" s="291"/>
    </row>
    <row r="168" spans="2:18" ht="16.05" customHeight="1">
      <c r="B168" s="293"/>
      <c r="C168" s="293"/>
      <c r="D168" s="293"/>
      <c r="E168" s="294"/>
      <c r="F168" s="288"/>
      <c r="G168" s="292">
        <f>IF(M167=0,I166,I167)</f>
        <v>42719</v>
      </c>
      <c r="H168" s="295">
        <f>+IF(G168=0,0,VLOOKUP(YEAR(G168),INPC!$B$4:$O$31,MONTH(G168)+1))</f>
        <v>92.039034797764003</v>
      </c>
      <c r="I168" s="292">
        <v>43070</v>
      </c>
      <c r="J168" s="295">
        <f>VLOOKUP(YEAR(I168),INPC!$B$4:$O$31,MONTH(I168)+1)</f>
        <v>98.272882985755999</v>
      </c>
      <c r="K168" s="296" t="str">
        <f t="shared" si="4"/>
        <v>N/A</v>
      </c>
      <c r="L168" s="288">
        <f>IF(M167=0,IF(M168=0,0,L166*K168),IF(M168=0,0,N167*K168))</f>
        <v>0</v>
      </c>
      <c r="M168" s="289"/>
      <c r="N168" s="290">
        <f t="shared" si="5"/>
        <v>0</v>
      </c>
      <c r="O168" s="297">
        <v>2018</v>
      </c>
      <c r="P168" s="291"/>
    </row>
    <row r="169" spans="2:18" ht="16.05" customHeight="1">
      <c r="B169" s="293"/>
      <c r="C169" s="293"/>
      <c r="D169" s="293"/>
      <c r="E169" s="294"/>
      <c r="F169" s="288"/>
      <c r="G169" s="292">
        <f>IF(AND(M168=0,M167=0),I166,IF(M168&gt;0,I168,I167))</f>
        <v>42719</v>
      </c>
      <c r="H169" s="295">
        <f>+IF(G169=0,0,VLOOKUP(YEAR(G169),INPC!$B$4:$O$31,MONTH(G169)+1))</f>
        <v>92.039034797764003</v>
      </c>
      <c r="I169" s="292">
        <v>43435</v>
      </c>
      <c r="J169" s="295">
        <f>VLOOKUP(YEAR(I169),INPC!$B$4:$O$31,MONTH(I169)+1)</f>
        <v>103.02</v>
      </c>
      <c r="K169" s="296" t="str">
        <f t="shared" si="4"/>
        <v>N/A</v>
      </c>
      <c r="L169" s="288">
        <f>IF(AND(M168=0,M167=0),IF(M169=0,0,L166*K169),IF(M169=0,0,IF(M168=0,N167*K169,N168*K169)))</f>
        <v>0</v>
      </c>
      <c r="M169" s="289"/>
      <c r="N169" s="290">
        <f t="shared" si="5"/>
        <v>0</v>
      </c>
      <c r="O169" s="297">
        <v>2019</v>
      </c>
      <c r="P169" s="291"/>
    </row>
    <row r="170" spans="2:18" ht="16.05" customHeight="1">
      <c r="B170" s="293"/>
      <c r="C170" s="293"/>
      <c r="D170" s="293"/>
      <c r="E170" s="294"/>
      <c r="F170" s="288"/>
      <c r="G170" s="292">
        <f>IF(AND(M169=0,M168=0,M167=0),I166,IF(M169&gt;0,I169,IF(M168&gt;0,I168,I167)))</f>
        <v>42719</v>
      </c>
      <c r="H170" s="295">
        <f>+IF(G170=0,0,VLOOKUP(YEAR(G170),INPC!$B$4:$O$31,MONTH(G170)+1))</f>
        <v>92.039034797764003</v>
      </c>
      <c r="I170" s="292">
        <v>43800</v>
      </c>
      <c r="J170" s="295">
        <f>VLOOKUP(YEAR(I170),INPC!$B$4:$O$31,MONTH(I170)+1)</f>
        <v>105.934</v>
      </c>
      <c r="K170" s="296" t="str">
        <f t="shared" si="4"/>
        <v>N/A</v>
      </c>
      <c r="L170" s="288">
        <f>IF(AND(M169=0,M168=0,M167=0),IF(M170=0,0,L166*K170),IF(M170=0,0,IF(AND(M169=0,M168=0),N167*K170,IF(M169=0,N168*K170,N169*K170))))</f>
        <v>0</v>
      </c>
      <c r="M170" s="289"/>
      <c r="N170" s="290">
        <f t="shared" si="5"/>
        <v>0</v>
      </c>
      <c r="O170" s="297">
        <v>2020</v>
      </c>
      <c r="P170" s="291"/>
    </row>
    <row r="171" spans="2:18" ht="16.05" customHeight="1">
      <c r="B171" s="293"/>
      <c r="C171" s="293"/>
      <c r="D171" s="293"/>
      <c r="E171" s="294"/>
      <c r="F171" s="288"/>
      <c r="G171" s="292">
        <f>IF(AND(M170=0,M169=0,M168=0,M167=0),I166,IF(M170&gt;0,I170,IF(M169&gt;0,I169,IF(M168&gt;0,I168,I167))))</f>
        <v>42719</v>
      </c>
      <c r="H171" s="295">
        <f>+IF(G171=0,0,VLOOKUP(YEAR(G171),INPC!$B$4:$O$31,MONTH(G171)+1))</f>
        <v>92.039034797764003</v>
      </c>
      <c r="I171" s="292">
        <v>44166</v>
      </c>
      <c r="J171" s="295">
        <f>VLOOKUP(YEAR(I171),INPC!$B$4:$O$31,MONTH(I171)+1)</f>
        <v>109.271</v>
      </c>
      <c r="K171" s="296" t="str">
        <f t="shared" si="4"/>
        <v>N/A</v>
      </c>
      <c r="L171" s="288">
        <f>IF(AND(M170=0,M169=0,M168=0,M167=0),IF(M171=0,0,L166*K171),IF(M171=0,0,IF(AND(M170=0,M169=0,M168=0),N167*K171,IF(AND(M170=0,M169=0),N168*K171,IF(M170=0,N169*K171,N170*K171)))))</f>
        <v>0</v>
      </c>
      <c r="M171" s="289"/>
      <c r="N171" s="290">
        <f t="shared" si="5"/>
        <v>0</v>
      </c>
      <c r="O171" s="630">
        <v>2021</v>
      </c>
      <c r="P171" s="291"/>
    </row>
    <row r="172" spans="2:18" ht="16.05" customHeight="1">
      <c r="B172" s="293"/>
      <c r="C172" s="293"/>
      <c r="D172" s="293"/>
      <c r="E172" s="294"/>
      <c r="F172" s="288"/>
      <c r="G172" s="292">
        <f>IF(AND(M171=0,M170=0,M169=0,M168=0,M167=0),I166,IF(M171&gt;0,I171,IF(M170&gt;0,I170,IF(M169&gt;0,I169,IF(M168&gt;0,I168,I167)))))</f>
        <v>42719</v>
      </c>
      <c r="H172" s="295">
        <f>+IF(G172=0,0,VLOOKUP(YEAR(G172),INPC!$B$4:$O$31,MONTH(G172)+1))</f>
        <v>92.039034797764003</v>
      </c>
      <c r="I172" s="292">
        <v>44531</v>
      </c>
      <c r="J172" s="295">
        <f>VLOOKUP(YEAR(I172),INPC!$B$4:$O$31,MONTH(I172)+1)</f>
        <v>117.30800000000001</v>
      </c>
      <c r="K172" s="296">
        <f t="shared" si="4"/>
        <v>1.2745</v>
      </c>
      <c r="L172" s="288">
        <f>IF(AND(M171=0,M170=0,M169=0,M168=0,M167=0),IF(M172=0,0,L166*K172),IF(M172=0,0,IF(AND(M171=0,M170=0,M169=0,M168=0),N167*K172,IF(AND(M171=0,M170=0,M169=0),N168*K172,IF(AND(M171=0,M170=0),N169*K172,IF(M171=0,N170*K172,N171*K172))))))</f>
        <v>0</v>
      </c>
      <c r="M172" s="632">
        <v>9.9999999999999995E-7</v>
      </c>
      <c r="N172" s="290">
        <f t="shared" si="5"/>
        <v>-9.9999999999999995E-7</v>
      </c>
      <c r="O172" s="297">
        <v>2022</v>
      </c>
      <c r="P172" s="298">
        <f>N172</f>
        <v>-9.9999999999999995E-7</v>
      </c>
    </row>
    <row r="173" spans="2:18" ht="16.05" customHeigh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2:18" ht="16.05" customHeigh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2:18" ht="16.05" customHeight="1">
      <c r="B175" s="293">
        <v>2017</v>
      </c>
      <c r="C175" s="626"/>
      <c r="D175" s="626"/>
      <c r="E175" s="627"/>
      <c r="F175" s="628"/>
      <c r="G175" s="292">
        <v>43084</v>
      </c>
      <c r="H175" s="295">
        <f>+IF(G175=0,0,VLOOKUP(YEAR(G175),INPC!$B$4:$O$31,MONTH(G175)+1))</f>
        <v>98.272882985755999</v>
      </c>
      <c r="I175" s="292">
        <f>+G175</f>
        <v>43084</v>
      </c>
      <c r="J175" s="295">
        <f>VLOOKUP(YEAR(I175),INPC!$B$4:$O$31,MONTH(I175)+1)</f>
        <v>98.272882985755999</v>
      </c>
      <c r="K175" s="296">
        <f>TRUNC(J175/H175,4)</f>
        <v>1</v>
      </c>
      <c r="L175" s="288">
        <f>+IF(F175=0,0,F175*K175)</f>
        <v>0</v>
      </c>
      <c r="M175" s="299"/>
      <c r="N175" s="299"/>
      <c r="O175" s="299"/>
      <c r="P175" s="299"/>
    </row>
    <row r="176" spans="2:18" ht="16.05" customHeight="1">
      <c r="B176" s="293"/>
      <c r="C176" s="293"/>
      <c r="D176" s="293"/>
      <c r="E176" s="294"/>
      <c r="F176" s="288"/>
      <c r="G176" s="292">
        <f>+I175</f>
        <v>43084</v>
      </c>
      <c r="H176" s="295">
        <f>+IF(G176=0,0,VLOOKUP(YEAR(G176),INPC!$B$4:$O$31,MONTH(G176)+1))</f>
        <v>98.272882985755999</v>
      </c>
      <c r="I176" s="292">
        <v>43070</v>
      </c>
      <c r="J176" s="295">
        <f>VLOOKUP(YEAR(I176),INPC!$B$4:$O$31,MONTH(I176)+1)</f>
        <v>98.272882985755999</v>
      </c>
      <c r="K176" s="296" t="str">
        <f>IF(M176=0,"N/A",TRUNC(J176/H176,4))</f>
        <v>N/A</v>
      </c>
      <c r="L176" s="288">
        <f>IF(M176=0,0,L175*K176)</f>
        <v>0</v>
      </c>
      <c r="M176" s="289"/>
      <c r="N176" s="290">
        <f>+L176-M176</f>
        <v>0</v>
      </c>
      <c r="O176" s="297">
        <v>2018</v>
      </c>
      <c r="P176" s="291"/>
    </row>
    <row r="177" spans="2:16" ht="16.05" customHeight="1">
      <c r="B177" s="293"/>
      <c r="C177" s="293"/>
      <c r="D177" s="293"/>
      <c r="E177" s="294"/>
      <c r="F177" s="288"/>
      <c r="G177" s="292">
        <f>IF(M176=0,I175,I176)</f>
        <v>43084</v>
      </c>
      <c r="H177" s="295">
        <f>+IF(G177=0,0,VLOOKUP(YEAR(G177),INPC!$B$4:$O$31,MONTH(G177)+1))</f>
        <v>98.272882985755999</v>
      </c>
      <c r="I177" s="292">
        <v>43435</v>
      </c>
      <c r="J177" s="295">
        <f>VLOOKUP(YEAR(I177),INPC!$B$4:$O$31,MONTH(I177)+1)</f>
        <v>103.02</v>
      </c>
      <c r="K177" s="296" t="str">
        <f>IF(M177=0,"N/A",TRUNC(J177/H177,4))</f>
        <v>N/A</v>
      </c>
      <c r="L177" s="288">
        <f>IF(M176=0,IF(M177=0,0,L175*K177),IF(M177=0,0,N176*K177))</f>
        <v>0</v>
      </c>
      <c r="M177" s="289"/>
      <c r="N177" s="290">
        <f>+L177-M177</f>
        <v>0</v>
      </c>
      <c r="O177" s="297">
        <v>2019</v>
      </c>
      <c r="P177" s="291"/>
    </row>
    <row r="178" spans="2:16" ht="16.05" customHeight="1">
      <c r="B178" s="293"/>
      <c r="C178" s="293"/>
      <c r="D178" s="293"/>
      <c r="E178" s="294"/>
      <c r="F178" s="288"/>
      <c r="G178" s="292">
        <f>IF(AND(M177=0,M176=0),I175,IF(M177&gt;0,I177,I176))</f>
        <v>43084</v>
      </c>
      <c r="H178" s="295">
        <f>+IF(G178=0,0,VLOOKUP(YEAR(G178),INPC!$B$4:$O$31,MONTH(G178)+1))</f>
        <v>98.272882985755999</v>
      </c>
      <c r="I178" s="292">
        <v>43800</v>
      </c>
      <c r="J178" s="295">
        <f>VLOOKUP(YEAR(I178),INPC!$B$4:$O$31,MONTH(I178)+1)</f>
        <v>105.934</v>
      </c>
      <c r="K178" s="296" t="str">
        <f>IF(M178=0,"N/A",TRUNC(J178/H178,4))</f>
        <v>N/A</v>
      </c>
      <c r="L178" s="288">
        <f>IF(AND(M177=0,M176=0),IF(M178=0,0,L175*K178),IF(M178=0,0,IF(M177=0,N176*K178,N177*K178)))</f>
        <v>0</v>
      </c>
      <c r="M178" s="289"/>
      <c r="N178" s="290">
        <f>+L178-M178</f>
        <v>0</v>
      </c>
      <c r="O178" s="297">
        <v>2020</v>
      </c>
      <c r="P178" s="291"/>
    </row>
    <row r="179" spans="2:16" ht="16.05" customHeight="1">
      <c r="B179" s="293"/>
      <c r="C179" s="293"/>
      <c r="D179" s="293"/>
      <c r="E179" s="294"/>
      <c r="F179" s="288"/>
      <c r="G179" s="292">
        <f>IF(AND(M178=0,M177=0,M176=0),I175,IF(M178&gt;0,I178,IF(M177&gt;0,I177,I176)))</f>
        <v>43084</v>
      </c>
      <c r="H179" s="295">
        <f>+IF(G179=0,0,VLOOKUP(YEAR(G179),INPC!$B$4:$O$31,MONTH(G179)+1))</f>
        <v>98.272882985755999</v>
      </c>
      <c r="I179" s="292">
        <v>44166</v>
      </c>
      <c r="J179" s="295">
        <f>VLOOKUP(YEAR(I179),INPC!$B$4:$O$31,MONTH(I179)+1)</f>
        <v>109.271</v>
      </c>
      <c r="K179" s="296" t="str">
        <f>IF(M179=0,"N/A",TRUNC(J179/H179,4))</f>
        <v>N/A</v>
      </c>
      <c r="L179" s="288">
        <f>IF(AND(M178=0,M177=0,M176=0),IF(M179=0,0,L175*K179),IF(M179=0,0,IF(AND(M178=0,M177=0),N176*K179,IF(M178=0,N177*K179,N178*K179))))</f>
        <v>0</v>
      </c>
      <c r="M179" s="289"/>
      <c r="N179" s="290">
        <f>+L179-M179</f>
        <v>0</v>
      </c>
      <c r="O179" s="630">
        <v>2021</v>
      </c>
      <c r="P179" s="291"/>
    </row>
    <row r="180" spans="2:16" ht="16.05" customHeight="1">
      <c r="B180" s="293"/>
      <c r="C180" s="293"/>
      <c r="D180" s="293"/>
      <c r="E180" s="294"/>
      <c r="F180" s="288"/>
      <c r="G180" s="292">
        <f>IF(AND(M179=0,M178=0,M177=0,M176=0),I175,IF(M179&gt;0,I179,IF(M178&gt;0,I178,IF(M177&gt;0,I177,I176))))</f>
        <v>43084</v>
      </c>
      <c r="H180" s="295">
        <f>+IF(G180=0,0,VLOOKUP(YEAR(G180),INPC!$B$4:$O$31,MONTH(G180)+1))</f>
        <v>98.272882985755999</v>
      </c>
      <c r="I180" s="292">
        <v>44531</v>
      </c>
      <c r="J180" s="295">
        <f>VLOOKUP(YEAR(I180),INPC!$B$4:$O$31,MONTH(I180)+1)</f>
        <v>117.30800000000001</v>
      </c>
      <c r="K180" s="296">
        <f>IF(M180=0,"N/A",TRUNC(J180/H180,4))</f>
        <v>1.1936</v>
      </c>
      <c r="L180" s="288">
        <f>IF(AND(M179=0,M178=0,M177=0,M176=0),IF(M180=0,0,L175*K180),IF(M180=0,0,IF(AND(M179=0,M178=0,M177=0),N176*K180,IF(AND(M179=0,M178=0),N177*K180,IF(M179=0,N178*K180,N179*K180)))))</f>
        <v>0</v>
      </c>
      <c r="M180" s="632">
        <v>9.9999999999999995E-7</v>
      </c>
      <c r="N180" s="290">
        <f>+L180-M180</f>
        <v>-9.9999999999999995E-7</v>
      </c>
      <c r="O180" s="297">
        <v>2022</v>
      </c>
      <c r="P180" s="298">
        <f>N180</f>
        <v>-9.9999999999999995E-7</v>
      </c>
    </row>
    <row r="181" spans="2:16" ht="16.05" customHeigh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2:16" ht="16.05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2:16" ht="16.05" customHeight="1">
      <c r="B183" s="293">
        <v>2018</v>
      </c>
      <c r="C183" s="626"/>
      <c r="D183" s="626"/>
      <c r="E183" s="627"/>
      <c r="F183" s="628"/>
      <c r="G183" s="292">
        <v>43449</v>
      </c>
      <c r="H183" s="295">
        <f>+IF(G183=0,0,VLOOKUP(YEAR(G183),INPC!$B$4:$O$31,MONTH(G183)+1))</f>
        <v>103.02</v>
      </c>
      <c r="I183" s="292">
        <f>+G183</f>
        <v>43449</v>
      </c>
      <c r="J183" s="295">
        <f>VLOOKUP(YEAR(I183),INPC!$B$4:$O$31,MONTH(I183)+1)</f>
        <v>103.02</v>
      </c>
      <c r="K183" s="296">
        <f>TRUNC(J183/H183,4)</f>
        <v>1</v>
      </c>
      <c r="L183" s="288">
        <f>+IF(F183=0,0,F183*K183)</f>
        <v>0</v>
      </c>
      <c r="M183" s="299"/>
      <c r="N183" s="299"/>
      <c r="O183" s="299"/>
      <c r="P183" s="299"/>
    </row>
    <row r="184" spans="2:16" ht="16.05" customHeight="1">
      <c r="B184" s="293"/>
      <c r="C184" s="293"/>
      <c r="D184" s="293"/>
      <c r="E184" s="294"/>
      <c r="F184" s="288"/>
      <c r="G184" s="292">
        <f>+I183</f>
        <v>43449</v>
      </c>
      <c r="H184" s="295">
        <f>+IF(G184=0,0,VLOOKUP(YEAR(G184),INPC!$B$4:$O$31,MONTH(G184)+1))</f>
        <v>103.02</v>
      </c>
      <c r="I184" s="292">
        <v>43435</v>
      </c>
      <c r="J184" s="295">
        <f>VLOOKUP(YEAR(I184),INPC!$B$4:$O$31,MONTH(I184)+1)</f>
        <v>103.02</v>
      </c>
      <c r="K184" s="296" t="str">
        <f>IF(M184=0,"N/A",TRUNC(J184/H184,4))</f>
        <v>N/A</v>
      </c>
      <c r="L184" s="288">
        <f>IF(M184=0,0,L183*K184)</f>
        <v>0</v>
      </c>
      <c r="M184" s="289"/>
      <c r="N184" s="290">
        <f>+L184-M184</f>
        <v>0</v>
      </c>
      <c r="O184" s="297">
        <v>2019</v>
      </c>
      <c r="P184" s="291"/>
    </row>
    <row r="185" spans="2:16" ht="16.05" customHeight="1">
      <c r="B185" s="293"/>
      <c r="C185" s="293"/>
      <c r="D185" s="293"/>
      <c r="E185" s="294"/>
      <c r="F185" s="288"/>
      <c r="G185" s="292">
        <f>IF(M184=0,I183,I184)</f>
        <v>43449</v>
      </c>
      <c r="H185" s="295">
        <f>+IF(G185=0,0,VLOOKUP(YEAR(G185),INPC!$B$4:$O$31,MONTH(G185)+1))</f>
        <v>103.02</v>
      </c>
      <c r="I185" s="292">
        <v>43800</v>
      </c>
      <c r="J185" s="295">
        <f>VLOOKUP(YEAR(I185),INPC!$B$4:$O$31,MONTH(I185)+1)</f>
        <v>105.934</v>
      </c>
      <c r="K185" s="296" t="str">
        <f>IF(M185=0,"N/A",TRUNC(J185/H185,4))</f>
        <v>N/A</v>
      </c>
      <c r="L185" s="288">
        <f>IF(M184=0,IF(M185=0,0,L183*K185),IF(M185=0,0,N184*K185))</f>
        <v>0</v>
      </c>
      <c r="M185" s="289"/>
      <c r="N185" s="290">
        <f>+L185-M185</f>
        <v>0</v>
      </c>
      <c r="O185" s="297">
        <v>2020</v>
      </c>
      <c r="P185" s="291"/>
    </row>
    <row r="186" spans="2:16" ht="16.05" customHeight="1">
      <c r="B186" s="293"/>
      <c r="C186" s="293"/>
      <c r="D186" s="293"/>
      <c r="E186" s="294"/>
      <c r="F186" s="288"/>
      <c r="G186" s="292">
        <f>IF(AND(M185=0,M184=0),I183,IF(M185&gt;0,I185,I184))</f>
        <v>43449</v>
      </c>
      <c r="H186" s="295">
        <f>+IF(G186=0,0,VLOOKUP(YEAR(G186),INPC!$B$4:$O$31,MONTH(G186)+1))</f>
        <v>103.02</v>
      </c>
      <c r="I186" s="292">
        <v>44166</v>
      </c>
      <c r="J186" s="295">
        <f>VLOOKUP(YEAR(I186),INPC!$B$4:$O$31,MONTH(I186)+1)</f>
        <v>109.271</v>
      </c>
      <c r="K186" s="296" t="str">
        <f>IF(M186=0,"N/A",TRUNC(J186/H186,4))</f>
        <v>N/A</v>
      </c>
      <c r="L186" s="288">
        <f>IF(AND(M185=0,M184=0),IF(M186=0,0,L183*K186),IF(M186=0,0,IF(M185=0,N184*K186,N185*K186)))</f>
        <v>0</v>
      </c>
      <c r="M186" s="289"/>
      <c r="N186" s="290">
        <f>+L186-M186</f>
        <v>0</v>
      </c>
      <c r="O186" s="630">
        <v>2021</v>
      </c>
      <c r="P186" s="291"/>
    </row>
    <row r="187" spans="2:16" ht="16.05" customHeight="1">
      <c r="B187" s="293"/>
      <c r="C187" s="293"/>
      <c r="D187" s="293"/>
      <c r="E187" s="294"/>
      <c r="F187" s="288"/>
      <c r="G187" s="292">
        <f>IF(AND(M186=0,M185=0,M184=0),I183,IF(M186&gt;0,I186,IF(M185&gt;0,I185,I184)))</f>
        <v>43449</v>
      </c>
      <c r="H187" s="295">
        <f>+IF(G187=0,0,VLOOKUP(YEAR(G187),INPC!$B$4:$O$31,MONTH(G187)+1))</f>
        <v>103.02</v>
      </c>
      <c r="I187" s="292">
        <v>44531</v>
      </c>
      <c r="J187" s="295">
        <f>VLOOKUP(YEAR(I187),INPC!$B$4:$O$31,MONTH(I187)+1)</f>
        <v>117.30800000000001</v>
      </c>
      <c r="K187" s="296">
        <f>IF(M187=0,"N/A",TRUNC(J187/H187,4))</f>
        <v>1.1386000000000001</v>
      </c>
      <c r="L187" s="288">
        <f>IF(AND(M186=0,M185=0,M184=0),IF(M187=0,0,L183*K187),IF(M187=0,0,IF(AND(M186=0,M185=0),N184*K187,IF(M186=0,N185*K187,N186*K187))))</f>
        <v>0</v>
      </c>
      <c r="M187" s="632">
        <v>9.9999999999999995E-7</v>
      </c>
      <c r="N187" s="290">
        <f>+L187-M187</f>
        <v>-9.9999999999999995E-7</v>
      </c>
      <c r="O187" s="297">
        <v>2022</v>
      </c>
      <c r="P187" s="298">
        <f>N187</f>
        <v>-9.9999999999999995E-7</v>
      </c>
    </row>
    <row r="188" spans="2:16" ht="16.05" customHeigh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2:16" ht="16.05" customHeigh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2:16" ht="16.05" customHeight="1">
      <c r="B190" s="293">
        <v>2019</v>
      </c>
      <c r="C190" s="626"/>
      <c r="D190" s="626"/>
      <c r="E190" s="627"/>
      <c r="F190" s="628"/>
      <c r="G190" s="292">
        <v>43814</v>
      </c>
      <c r="H190" s="295">
        <f>+IF(G190=0,0,VLOOKUP(YEAR(G190),INPC!$B$4:$O$31,MONTH(G190)+1))</f>
        <v>105.934</v>
      </c>
      <c r="I190" s="292">
        <f>+G190</f>
        <v>43814</v>
      </c>
      <c r="J190" s="295">
        <f>VLOOKUP(YEAR(I190),INPC!$B$4:$O$31,MONTH(I190)+1)</f>
        <v>105.934</v>
      </c>
      <c r="K190" s="296">
        <f>TRUNC(J190/H190,4)</f>
        <v>1</v>
      </c>
      <c r="L190" s="288">
        <f>+IF(F190=0,0,F190*K190)</f>
        <v>0</v>
      </c>
      <c r="M190" s="299"/>
      <c r="N190" s="299"/>
      <c r="O190" s="299"/>
      <c r="P190" s="299"/>
    </row>
    <row r="191" spans="2:16" ht="16.05" customHeight="1">
      <c r="B191" s="293"/>
      <c r="C191" s="293"/>
      <c r="D191" s="293"/>
      <c r="E191" s="294"/>
      <c r="F191" s="288"/>
      <c r="G191" s="292">
        <f>+I190</f>
        <v>43814</v>
      </c>
      <c r="H191" s="295">
        <f>+IF(G191=0,0,VLOOKUP(YEAR(G191),INPC!$B$4:$O$31,MONTH(G191)+1))</f>
        <v>105.934</v>
      </c>
      <c r="I191" s="292">
        <v>43800</v>
      </c>
      <c r="J191" s="295">
        <f>VLOOKUP(YEAR(I191),INPC!$B$4:$O$31,MONTH(I191)+1)</f>
        <v>105.934</v>
      </c>
      <c r="K191" s="296" t="str">
        <f>IF(M191=0,"N/A",TRUNC(J191/H191,4))</f>
        <v>N/A</v>
      </c>
      <c r="L191" s="288">
        <f>IF(M191=0,0,L190*K191)</f>
        <v>0</v>
      </c>
      <c r="M191" s="289"/>
      <c r="N191" s="290">
        <f>+L191-M191</f>
        <v>0</v>
      </c>
      <c r="O191" s="297">
        <v>2020</v>
      </c>
      <c r="P191" s="291"/>
    </row>
    <row r="192" spans="2:16" ht="16.05" customHeight="1">
      <c r="B192" s="293"/>
      <c r="C192" s="293"/>
      <c r="D192" s="293"/>
      <c r="E192" s="294"/>
      <c r="F192" s="288"/>
      <c r="G192" s="292">
        <f>IF(M191=0,I190,I191)</f>
        <v>43814</v>
      </c>
      <c r="H192" s="295">
        <f>+IF(G192=0,0,VLOOKUP(YEAR(G192),INPC!$B$4:$O$31,MONTH(G192)+1))</f>
        <v>105.934</v>
      </c>
      <c r="I192" s="292">
        <v>44166</v>
      </c>
      <c r="J192" s="295">
        <f>VLOOKUP(YEAR(I192),INPC!$B$4:$O$31,MONTH(I192)+1)</f>
        <v>109.271</v>
      </c>
      <c r="K192" s="296" t="str">
        <f>IF(M192=0,"N/A",TRUNC(J192/H192,4))</f>
        <v>N/A</v>
      </c>
      <c r="L192" s="288">
        <f>IF(M191=0,IF(M192=0,0,L190*K192),IF(M192=0,0,N191*K192))</f>
        <v>0</v>
      </c>
      <c r="M192" s="289"/>
      <c r="N192" s="290">
        <f>+L192-M192</f>
        <v>0</v>
      </c>
      <c r="O192" s="630">
        <v>2021</v>
      </c>
      <c r="P192" s="291"/>
    </row>
    <row r="193" spans="2:16" ht="16.05" customHeight="1">
      <c r="B193" s="293"/>
      <c r="C193" s="293"/>
      <c r="D193" s="293"/>
      <c r="E193" s="294"/>
      <c r="F193" s="288"/>
      <c r="G193" s="292">
        <f>IF(AND(M192=0,M191=0),I190,IF(M192&gt;0,I192,I191))</f>
        <v>43814</v>
      </c>
      <c r="H193" s="295">
        <f>+IF(G193=0,0,VLOOKUP(YEAR(G193),INPC!$B$4:$O$31,MONTH(G193)+1))</f>
        <v>105.934</v>
      </c>
      <c r="I193" s="292">
        <v>44531</v>
      </c>
      <c r="J193" s="295">
        <f>VLOOKUP(YEAR(I193),INPC!$B$4:$O$31,MONTH(I193)+1)</f>
        <v>117.30800000000001</v>
      </c>
      <c r="K193" s="296">
        <f>IF(M193=0,"N/A",TRUNC(J193/H193,4))</f>
        <v>1.1073</v>
      </c>
      <c r="L193" s="288">
        <f>IF(AND(M192=0,M191=0),IF(M193=0,0,L190*K193),IF(M193=0,0,IF(M192=0,N191*K193,N192*K193)))</f>
        <v>0</v>
      </c>
      <c r="M193" s="632">
        <v>9.9999999999999995E-7</v>
      </c>
      <c r="N193" s="290">
        <f>+L193-M193</f>
        <v>-9.9999999999999995E-7</v>
      </c>
      <c r="O193" s="297">
        <v>2022</v>
      </c>
      <c r="P193" s="298">
        <f>N193</f>
        <v>-9.9999999999999995E-7</v>
      </c>
    </row>
    <row r="194" spans="2:16" ht="16.0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2:16" ht="16.05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2:16" ht="16.05" customHeight="1">
      <c r="B196" s="293">
        <v>2020</v>
      </c>
      <c r="C196" s="626"/>
      <c r="D196" s="626"/>
      <c r="E196" s="627"/>
      <c r="F196" s="628"/>
      <c r="G196" s="292">
        <v>44180</v>
      </c>
      <c r="H196" s="295">
        <f>+IF(G196=0,0,VLOOKUP(YEAR(G196),INPC!$B$4:$O$31,MONTH(G196)+1))</f>
        <v>109.271</v>
      </c>
      <c r="I196" s="292">
        <f>+G196</f>
        <v>44180</v>
      </c>
      <c r="J196" s="295">
        <f>VLOOKUP(YEAR(I196),INPC!$B$4:$O$31,MONTH(I196)+1)</f>
        <v>109.271</v>
      </c>
      <c r="K196" s="296">
        <f>TRUNC(J196/H196,4)</f>
        <v>1</v>
      </c>
      <c r="L196" s="288">
        <f>+IF(F196=0,0,F196*K196)</f>
        <v>0</v>
      </c>
      <c r="M196" s="299"/>
      <c r="N196" s="299"/>
      <c r="O196" s="299"/>
      <c r="P196" s="299"/>
    </row>
    <row r="197" spans="2:16" ht="16.05" customHeight="1">
      <c r="B197" s="293"/>
      <c r="C197" s="293"/>
      <c r="D197" s="293"/>
      <c r="E197" s="294"/>
      <c r="F197" s="288"/>
      <c r="G197" s="292">
        <f>+I196</f>
        <v>44180</v>
      </c>
      <c r="H197" s="295">
        <f>+IF(G197=0,0,VLOOKUP(YEAR(G197),INPC!$B$4:$O$31,MONTH(G197)+1))</f>
        <v>109.271</v>
      </c>
      <c r="I197" s="292">
        <v>44166</v>
      </c>
      <c r="J197" s="295">
        <f>VLOOKUP(YEAR(I197),INPC!$B$4:$O$31,MONTH(I197)+1)</f>
        <v>109.271</v>
      </c>
      <c r="K197" s="296" t="str">
        <f>IF(M197=0,"N/A",TRUNC(J197/H197,4))</f>
        <v>N/A</v>
      </c>
      <c r="L197" s="288">
        <f>IF(M197=0,0,L196*K197)</f>
        <v>0</v>
      </c>
      <c r="M197" s="289"/>
      <c r="N197" s="290">
        <f>+L197-M197</f>
        <v>0</v>
      </c>
      <c r="O197" s="630">
        <v>2021</v>
      </c>
      <c r="P197" s="291"/>
    </row>
    <row r="198" spans="2:16" ht="16.05" customHeight="1">
      <c r="B198" s="293"/>
      <c r="C198" s="293"/>
      <c r="D198" s="293"/>
      <c r="E198" s="294"/>
      <c r="F198" s="288"/>
      <c r="G198" s="292">
        <f>IF(M197=0,I196,I197)</f>
        <v>44180</v>
      </c>
      <c r="H198" s="295">
        <f>+IF(G198=0,0,VLOOKUP(YEAR(G198),INPC!$B$4:$O$31,MONTH(G198)+1))</f>
        <v>109.271</v>
      </c>
      <c r="I198" s="292">
        <v>44531</v>
      </c>
      <c r="J198" s="295">
        <f>VLOOKUP(YEAR(I198),INPC!$B$4:$O$31,MONTH(I198)+1)</f>
        <v>117.30800000000001</v>
      </c>
      <c r="K198" s="296">
        <f>IF(M198=0,"N/A",TRUNC(J198/H198,4))</f>
        <v>1.0734999999999999</v>
      </c>
      <c r="L198" s="288">
        <f>IF(M197=0,IF(M198=0,0,L196*K198),IF(M198=0,0,N197*K198))</f>
        <v>0</v>
      </c>
      <c r="M198" s="632">
        <v>9.9999999999999995E-7</v>
      </c>
      <c r="N198" s="290">
        <f>+L198-M198</f>
        <v>-9.9999999999999995E-7</v>
      </c>
      <c r="O198" s="297">
        <v>2022</v>
      </c>
      <c r="P198" s="298">
        <f>N198</f>
        <v>-9.9999999999999995E-7</v>
      </c>
    </row>
    <row r="199" spans="2:16" ht="16.05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2:16" ht="16.05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2:16" ht="16.05" customHeight="1">
      <c r="B201" s="293">
        <v>2021</v>
      </c>
      <c r="C201" s="626"/>
      <c r="D201" s="626"/>
      <c r="E201" s="627"/>
      <c r="F201" s="628"/>
      <c r="G201" s="292">
        <v>44545</v>
      </c>
      <c r="H201" s="295">
        <f>+IF(G201=0,0,VLOOKUP(YEAR(G201),INPC!$B$4:$O$31,MONTH(G201)+1))</f>
        <v>117.30800000000001</v>
      </c>
      <c r="I201" s="292">
        <f>+G201</f>
        <v>44545</v>
      </c>
      <c r="J201" s="295">
        <f>VLOOKUP(YEAR(I201),INPC!$B$4:$O$31,MONTH(I201)+1)</f>
        <v>117.30800000000001</v>
      </c>
      <c r="K201" s="296">
        <f>TRUNC(J201/H201,4)</f>
        <v>1</v>
      </c>
      <c r="L201" s="288">
        <f>+IF(F201=0,0,F201*K201)</f>
        <v>0</v>
      </c>
      <c r="M201" s="299"/>
      <c r="N201" s="299"/>
      <c r="O201" s="299"/>
      <c r="P201" s="299"/>
    </row>
    <row r="202" spans="2:16" ht="16.05" customHeight="1">
      <c r="B202" s="293"/>
      <c r="C202" s="293"/>
      <c r="D202" s="293"/>
      <c r="E202" s="294"/>
      <c r="F202" s="288"/>
      <c r="G202" s="292">
        <f>+I201</f>
        <v>44545</v>
      </c>
      <c r="H202" s="295">
        <f>+IF(G202=0,0,VLOOKUP(YEAR(G202),INPC!$B$4:$O$31,MONTH(G202)+1))</f>
        <v>117.30800000000001</v>
      </c>
      <c r="I202" s="292">
        <v>44531</v>
      </c>
      <c r="J202" s="295">
        <f>VLOOKUP(YEAR(I202),INPC!$B$4:$O$31,MONTH(I202)+1)</f>
        <v>117.30800000000001</v>
      </c>
      <c r="K202" s="296">
        <f>IF(M202=0,"N/A",TRUNC(J202/H202,4))</f>
        <v>1</v>
      </c>
      <c r="L202" s="288">
        <f>IF(M202=0,0,L201*K202)</f>
        <v>0</v>
      </c>
      <c r="M202" s="632">
        <v>9.9999999999999995E-7</v>
      </c>
      <c r="N202" s="290">
        <f>+L202-M202</f>
        <v>-9.9999999999999995E-7</v>
      </c>
      <c r="O202" s="297">
        <v>2022</v>
      </c>
      <c r="P202" s="298">
        <f>N202</f>
        <v>-9.9999999999999995E-7</v>
      </c>
    </row>
    <row r="203" spans="2:16" ht="16.05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2:16" ht="19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2:16" ht="19.2">
      <c r="B205" s="8"/>
      <c r="C205" s="8"/>
      <c r="D205" s="8"/>
      <c r="E205" s="8"/>
      <c r="F205" s="8"/>
      <c r="G205" s="8"/>
      <c r="H205" s="8"/>
      <c r="I205" s="8"/>
      <c r="J205" s="8"/>
      <c r="K205" s="240"/>
      <c r="L205" s="240"/>
      <c r="M205" s="240"/>
      <c r="N205" s="240"/>
      <c r="O205" s="252" t="s">
        <v>658</v>
      </c>
      <c r="P205" s="301">
        <f>SUM(P166:P203)</f>
        <v>-5.9999999999999993E-6</v>
      </c>
    </row>
    <row r="206" spans="2:16" ht="19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2:16" ht="19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2:16" ht="19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2:17" ht="24.6">
      <c r="B209" s="232" t="s">
        <v>618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2:17" ht="19.2">
      <c r="B210" s="246" t="s">
        <v>659</v>
      </c>
      <c r="C210" s="247"/>
      <c r="D210" s="247"/>
      <c r="E210" s="247"/>
      <c r="F210" s="247"/>
      <c r="G210" s="247"/>
      <c r="H210" s="247"/>
      <c r="I210" s="250"/>
      <c r="P210" s="250"/>
    </row>
    <row r="211" spans="2:17" ht="19.2">
      <c r="B211" s="234" t="s">
        <v>660</v>
      </c>
      <c r="C211" s="235"/>
      <c r="D211" s="235"/>
      <c r="E211" s="235"/>
      <c r="F211" s="235"/>
      <c r="G211" s="235"/>
      <c r="H211" s="235"/>
      <c r="I211" s="8"/>
      <c r="P211" s="8"/>
    </row>
    <row r="212" spans="2:17" ht="19.2">
      <c r="B212" s="234" t="s">
        <v>661</v>
      </c>
      <c r="C212" s="235"/>
      <c r="D212" s="235"/>
      <c r="E212" s="235"/>
      <c r="F212" s="235"/>
      <c r="G212" s="235"/>
      <c r="H212" s="235"/>
      <c r="I212" s="8"/>
      <c r="J212" s="8"/>
      <c r="K212" s="8"/>
      <c r="L212" s="8"/>
      <c r="M212" s="8"/>
      <c r="N212" s="8"/>
      <c r="O212" s="8"/>
      <c r="P212" s="8"/>
    </row>
    <row r="213" spans="2:17" ht="19.2">
      <c r="B213" s="234" t="s">
        <v>662</v>
      </c>
      <c r="C213" s="235"/>
      <c r="D213" s="235"/>
      <c r="E213" s="235"/>
      <c r="F213" s="235"/>
      <c r="G213" s="235"/>
      <c r="H213" s="235"/>
      <c r="I213" s="8"/>
      <c r="J213" s="8"/>
      <c r="K213" s="8"/>
      <c r="L213" s="8"/>
      <c r="M213" s="8"/>
      <c r="N213" s="8"/>
      <c r="O213" s="8"/>
      <c r="P213" s="8"/>
    </row>
    <row r="214" spans="2:17" ht="19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2:17" ht="19.2">
      <c r="B215" s="246" t="s">
        <v>623</v>
      </c>
      <c r="C215" s="248"/>
      <c r="D215" s="247"/>
      <c r="E215" s="247"/>
      <c r="F215" s="247"/>
      <c r="G215" s="247"/>
      <c r="H215" s="247"/>
    </row>
    <row r="216" spans="2:17" ht="19.2">
      <c r="B216" s="234"/>
      <c r="C216" s="234" t="s">
        <v>663</v>
      </c>
      <c r="D216" s="235"/>
      <c r="E216" s="235"/>
      <c r="F216" s="235"/>
      <c r="G216" s="235"/>
      <c r="H216" s="235"/>
      <c r="I216" s="8"/>
      <c r="J216" s="8"/>
      <c r="K216" s="8"/>
      <c r="L216" s="8"/>
      <c r="M216" s="8"/>
      <c r="N216" s="8"/>
      <c r="O216" s="8"/>
      <c r="P216" s="8"/>
      <c r="Q216" s="8"/>
    </row>
    <row r="217" spans="2:17" ht="19.2">
      <c r="B217" s="234"/>
      <c r="C217" s="234" t="s">
        <v>664</v>
      </c>
      <c r="D217" s="235"/>
      <c r="E217" s="235"/>
      <c r="F217" s="235"/>
      <c r="G217" s="235"/>
      <c r="H217" s="235"/>
      <c r="I217" s="8"/>
      <c r="J217" s="8"/>
      <c r="K217" s="8"/>
      <c r="L217" s="8"/>
      <c r="M217" s="8"/>
      <c r="N217" s="8"/>
      <c r="O217" s="8"/>
      <c r="P217" s="8"/>
    </row>
    <row r="218" spans="2:17" ht="19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2:17" ht="19.2">
      <c r="B219" s="246" t="s">
        <v>640</v>
      </c>
      <c r="C219" s="248"/>
      <c r="D219" s="247"/>
      <c r="E219" s="247"/>
      <c r="F219" s="247"/>
      <c r="G219" s="247"/>
      <c r="H219" s="247"/>
    </row>
    <row r="220" spans="2:17" ht="19.2">
      <c r="B220" s="234"/>
      <c r="C220" s="234" t="s">
        <v>665</v>
      </c>
      <c r="D220" s="235"/>
      <c r="E220" s="235"/>
      <c r="F220" s="235"/>
      <c r="G220" s="235"/>
      <c r="H220" s="235"/>
    </row>
    <row r="221" spans="2:17" ht="19.2">
      <c r="B221" s="234"/>
      <c r="C221" s="234" t="s">
        <v>666</v>
      </c>
      <c r="D221" s="235"/>
      <c r="E221" s="235"/>
      <c r="F221" s="235"/>
      <c r="G221" s="235"/>
      <c r="H221" s="235"/>
    </row>
    <row r="222" spans="2:17" ht="19.2">
      <c r="B222" s="234"/>
      <c r="C222" s="234"/>
      <c r="D222" s="235"/>
      <c r="E222" s="235"/>
      <c r="F222" s="235"/>
      <c r="G222" s="235"/>
      <c r="H222" s="235"/>
    </row>
    <row r="223" spans="2:17" ht="19.2">
      <c r="B223" s="234" t="s">
        <v>667</v>
      </c>
      <c r="C223" s="234"/>
      <c r="D223" s="235"/>
      <c r="E223" s="235"/>
      <c r="F223" s="235"/>
      <c r="G223" s="235"/>
      <c r="H223" s="235"/>
    </row>
    <row r="224" spans="2:17" ht="19.2">
      <c r="B224" s="234" t="s">
        <v>668</v>
      </c>
      <c r="C224" s="234"/>
      <c r="D224" s="235"/>
      <c r="E224" s="235"/>
      <c r="F224" s="235"/>
      <c r="G224" s="235"/>
      <c r="H224" s="235"/>
    </row>
  </sheetData>
  <sheetProtection formatCells="0" formatColumns="0" formatRows="0" insertColumns="0" insertRows="0" sort="0" autoFilter="0" pivotTables="0"/>
  <dataValidations count="2">
    <dataValidation type="list" allowBlank="1" showInputMessage="1" showErrorMessage="1" promptTitle="SELECCIONA UNA OPCION" prompt="SELECCIONA UNA OPCION" sqref="C20 C16 C8 C12 C24:C28 C32 C58 C65 C71 C76 C80 C106 C112 C117 C121 C166 C175 C183 C190 C196 C201 C36 C156 C145" xr:uid="{4A257644-76C5-0A43-8343-6836DC11647C}">
      <formula1>$AB$7:$AB$13</formula1>
    </dataValidation>
    <dataValidation type="list" allowBlank="1" showInputMessage="1" showErrorMessage="1" promptTitle="SELECCIONA UNA OPCION" prompt="SELECCIONA UNA OPCION" sqref="D20 U12:U14 U16:U18 D8 U8:U10 D12 U24:U26 D16 D24:D28 U20:U22 U28:U30 D32 U32:U34 D58 D65 D71 D76 D80 D106 D112 D117 D121 D166 D175 D183 D190 D196 D201 D36 U36:U38 D156 D145" xr:uid="{299D9998-D43F-0646-ADD8-2C388EBC9B9E}">
      <formula1>$AC$7:$AC$12</formula1>
    </dataValidation>
  </dataValidations>
  <pageMargins left="0.7" right="0.7" top="0.75" bottom="0.75" header="0.3" footer="0.3"/>
  <pageSetup scale="1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2909-D14B-934E-9C51-8FABAD2A69E5}">
  <dimension ref="B2:H48"/>
  <sheetViews>
    <sheetView zoomScale="120" zoomScaleNormal="120" workbookViewId="0">
      <selection activeCell="D25" sqref="D25"/>
    </sheetView>
  </sheetViews>
  <sheetFormatPr defaultColWidth="10.796875" defaultRowHeight="19.2"/>
  <cols>
    <col min="1" max="1" width="10.796875" style="8"/>
    <col min="2" max="2" width="16.796875" style="8" customWidth="1"/>
    <col min="3" max="3" width="16.5" style="8" customWidth="1"/>
    <col min="4" max="4" width="15.69921875" style="8" customWidth="1"/>
    <col min="5" max="5" width="29" style="8" customWidth="1"/>
    <col min="6" max="16384" width="10.796875" style="8"/>
  </cols>
  <sheetData>
    <row r="2" spans="2:8" ht="21" customHeight="1">
      <c r="B2" s="676" t="s">
        <v>669</v>
      </c>
      <c r="C2" s="676"/>
      <c r="D2" s="676"/>
      <c r="E2" s="676"/>
    </row>
    <row r="3" spans="2:8" ht="57.6">
      <c r="B3" s="14" t="s">
        <v>670</v>
      </c>
      <c r="C3" s="14" t="s">
        <v>671</v>
      </c>
      <c r="D3" s="14" t="s">
        <v>672</v>
      </c>
      <c r="E3" s="261" t="s">
        <v>673</v>
      </c>
    </row>
    <row r="4" spans="2:8">
      <c r="B4" s="34" t="s">
        <v>674</v>
      </c>
      <c r="C4" s="34" t="s">
        <v>674</v>
      </c>
      <c r="D4" s="34" t="s">
        <v>674</v>
      </c>
      <c r="E4" s="34" t="s">
        <v>675</v>
      </c>
    </row>
    <row r="5" spans="2:8">
      <c r="B5" s="35">
        <v>0.01</v>
      </c>
      <c r="C5" s="35">
        <v>7735</v>
      </c>
      <c r="D5" s="35">
        <v>0</v>
      </c>
      <c r="E5" s="36">
        <v>1.92</v>
      </c>
      <c r="H5" s="611"/>
    </row>
    <row r="6" spans="2:8">
      <c r="B6" s="35">
        <v>7735.01</v>
      </c>
      <c r="C6" s="35">
        <v>65651.070000000007</v>
      </c>
      <c r="D6" s="35">
        <v>148.51</v>
      </c>
      <c r="E6" s="36">
        <v>6.4</v>
      </c>
      <c r="H6" s="612"/>
    </row>
    <row r="7" spans="2:8">
      <c r="B7" s="35">
        <v>65651.08</v>
      </c>
      <c r="C7" s="35">
        <v>115375.9</v>
      </c>
      <c r="D7" s="35">
        <v>3855.14</v>
      </c>
      <c r="E7" s="36">
        <v>10.88</v>
      </c>
      <c r="H7" s="611"/>
    </row>
    <row r="8" spans="2:8">
      <c r="B8" s="35">
        <v>115375.91</v>
      </c>
      <c r="C8" s="35">
        <v>134119.41</v>
      </c>
      <c r="D8" s="35">
        <v>9265.2000000000007</v>
      </c>
      <c r="E8" s="36">
        <v>16</v>
      </c>
      <c r="H8" s="611"/>
    </row>
    <row r="9" spans="2:8">
      <c r="B9" s="35">
        <v>134119.42000000001</v>
      </c>
      <c r="C9" s="35">
        <v>160577.65</v>
      </c>
      <c r="D9" s="35">
        <v>12264.16</v>
      </c>
      <c r="E9" s="36">
        <v>17.920000000000002</v>
      </c>
      <c r="H9" s="612"/>
    </row>
    <row r="10" spans="2:8">
      <c r="B10" s="35">
        <v>160577.66</v>
      </c>
      <c r="C10" s="35">
        <v>323862</v>
      </c>
      <c r="D10" s="35">
        <v>17005.47</v>
      </c>
      <c r="E10" s="36">
        <v>21.36</v>
      </c>
      <c r="H10" s="612"/>
    </row>
    <row r="11" spans="2:8">
      <c r="B11" s="35">
        <v>323862.01</v>
      </c>
      <c r="C11" s="35">
        <v>510451</v>
      </c>
      <c r="D11" s="35">
        <v>51883.01</v>
      </c>
      <c r="E11" s="36">
        <v>23.52</v>
      </c>
      <c r="H11" s="611"/>
    </row>
    <row r="12" spans="2:8">
      <c r="B12" s="35">
        <v>510451.01</v>
      </c>
      <c r="C12" s="35">
        <v>974535.03</v>
      </c>
      <c r="D12" s="35">
        <v>95768.74</v>
      </c>
      <c r="E12" s="36">
        <v>30</v>
      </c>
      <c r="H12" s="611"/>
    </row>
    <row r="13" spans="2:8">
      <c r="B13" s="35">
        <v>974535.04</v>
      </c>
      <c r="C13" s="35">
        <v>1299380.04</v>
      </c>
      <c r="D13" s="35">
        <v>234993.95</v>
      </c>
      <c r="E13" s="36">
        <v>32</v>
      </c>
      <c r="H13" s="612"/>
    </row>
    <row r="14" spans="2:8">
      <c r="B14" s="35">
        <v>1299380.05</v>
      </c>
      <c r="C14" s="35">
        <v>3898140.12</v>
      </c>
      <c r="D14" s="35">
        <v>338944.34</v>
      </c>
      <c r="E14" s="36">
        <v>34</v>
      </c>
      <c r="H14" s="612"/>
    </row>
    <row r="15" spans="2:8">
      <c r="B15" s="35">
        <v>3898140.13</v>
      </c>
      <c r="C15" s="35" t="s">
        <v>676</v>
      </c>
      <c r="D15" s="35">
        <v>1222522.76</v>
      </c>
      <c r="E15" s="36">
        <v>35</v>
      </c>
      <c r="H15" s="612"/>
    </row>
    <row r="16" spans="2:8">
      <c r="H16" s="611"/>
    </row>
    <row r="17" spans="8:8">
      <c r="H17" s="612"/>
    </row>
    <row r="18" spans="8:8">
      <c r="H18" s="612"/>
    </row>
    <row r="19" spans="8:8">
      <c r="H19" s="612"/>
    </row>
    <row r="20" spans="8:8">
      <c r="H20" s="611"/>
    </row>
    <row r="21" spans="8:8">
      <c r="H21" s="612"/>
    </row>
    <row r="22" spans="8:8">
      <c r="H22" s="612"/>
    </row>
    <row r="23" spans="8:8">
      <c r="H23" s="612"/>
    </row>
    <row r="24" spans="8:8">
      <c r="H24" s="611"/>
    </row>
    <row r="25" spans="8:8">
      <c r="H25" s="612"/>
    </row>
    <row r="26" spans="8:8">
      <c r="H26" s="612"/>
    </row>
    <row r="27" spans="8:8">
      <c r="H27" s="612"/>
    </row>
    <row r="28" spans="8:8">
      <c r="H28" s="611"/>
    </row>
    <row r="29" spans="8:8">
      <c r="H29" s="612"/>
    </row>
    <row r="30" spans="8:8">
      <c r="H30" s="612"/>
    </row>
    <row r="31" spans="8:8">
      <c r="H31" s="612"/>
    </row>
    <row r="32" spans="8:8">
      <c r="H32" s="611"/>
    </row>
    <row r="33" spans="8:8">
      <c r="H33" s="612"/>
    </row>
    <row r="34" spans="8:8">
      <c r="H34" s="612"/>
    </row>
    <row r="35" spans="8:8">
      <c r="H35" s="612"/>
    </row>
    <row r="36" spans="8:8">
      <c r="H36" s="611"/>
    </row>
    <row r="37" spans="8:8">
      <c r="H37" s="612"/>
    </row>
    <row r="38" spans="8:8">
      <c r="H38" s="612"/>
    </row>
    <row r="39" spans="8:8">
      <c r="H39" s="612"/>
    </row>
    <row r="40" spans="8:8">
      <c r="H40" s="611"/>
    </row>
    <row r="41" spans="8:8">
      <c r="H41" s="612"/>
    </row>
    <row r="42" spans="8:8">
      <c r="H42" s="612"/>
    </row>
    <row r="43" spans="8:8">
      <c r="H43" s="612"/>
    </row>
    <row r="44" spans="8:8">
      <c r="H44" s="611"/>
    </row>
    <row r="45" spans="8:8">
      <c r="H45" s="612"/>
    </row>
    <row r="46" spans="8:8">
      <c r="H46" s="611"/>
    </row>
    <row r="47" spans="8:8">
      <c r="H47" s="612"/>
    </row>
    <row r="48" spans="8:8">
      <c r="H48" s="611"/>
    </row>
  </sheetData>
  <mergeCells count="1">
    <mergeCell ref="B2:E2"/>
  </mergeCells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H31"/>
  <sheetViews>
    <sheetView topLeftCell="K1" workbookViewId="0">
      <selection activeCell="P1" sqref="P1:AB24"/>
    </sheetView>
  </sheetViews>
  <sheetFormatPr defaultColWidth="10.796875" defaultRowHeight="15.6"/>
  <cols>
    <col min="1" max="16384" width="10.796875" style="2"/>
  </cols>
  <sheetData>
    <row r="1" spans="1:268" s="9" customFormat="1" ht="24.6">
      <c r="A1" s="8" t="s">
        <v>393</v>
      </c>
      <c r="B1" s="676" t="s">
        <v>811</v>
      </c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8"/>
      <c r="P1" s="676" t="s">
        <v>813</v>
      </c>
      <c r="Q1" s="676"/>
      <c r="R1" s="676"/>
      <c r="S1" s="676"/>
      <c r="T1" s="676"/>
      <c r="U1" s="676"/>
      <c r="V1" s="676"/>
      <c r="W1" s="676"/>
      <c r="X1" s="676"/>
      <c r="Y1" s="676"/>
      <c r="Z1" s="676"/>
      <c r="AA1" s="676"/>
      <c r="AB1" s="676"/>
      <c r="AC1" s="8"/>
      <c r="AD1" s="676" t="s">
        <v>677</v>
      </c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8"/>
      <c r="AR1" s="676" t="s">
        <v>678</v>
      </c>
      <c r="AS1" s="676"/>
      <c r="AT1" s="676"/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8"/>
      <c r="BF1" s="676" t="s">
        <v>679</v>
      </c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8"/>
      <c r="BT1" s="676" t="s">
        <v>680</v>
      </c>
      <c r="BU1" s="676"/>
      <c r="BV1" s="676"/>
      <c r="BW1" s="676"/>
      <c r="BX1" s="676"/>
      <c r="BY1" s="676"/>
      <c r="BZ1" s="676"/>
      <c r="CA1" s="676"/>
      <c r="CB1" s="676"/>
      <c r="CC1" s="676"/>
      <c r="CD1" s="676"/>
      <c r="CE1" s="676"/>
      <c r="CF1" s="676"/>
      <c r="CG1" s="8"/>
      <c r="CH1" s="676" t="s">
        <v>681</v>
      </c>
      <c r="CI1" s="676"/>
      <c r="CJ1" s="676"/>
      <c r="CK1" s="676"/>
      <c r="CL1" s="676"/>
      <c r="CM1" s="676"/>
      <c r="CN1" s="676"/>
      <c r="CO1" s="676"/>
      <c r="CP1" s="676"/>
      <c r="CQ1" s="676"/>
      <c r="CR1" s="676"/>
      <c r="CS1" s="676"/>
      <c r="CT1" s="676"/>
      <c r="CW1" s="676" t="s">
        <v>682</v>
      </c>
      <c r="CX1" s="676"/>
      <c r="CY1" s="676"/>
      <c r="CZ1" s="676"/>
      <c r="DA1" s="676"/>
      <c r="DB1" s="676"/>
      <c r="DC1" s="676"/>
      <c r="DD1" s="676"/>
      <c r="DE1" s="676"/>
      <c r="DF1" s="676"/>
      <c r="DG1" s="676"/>
      <c r="DH1" s="676"/>
      <c r="DI1" s="676"/>
      <c r="DL1" s="676" t="s">
        <v>683</v>
      </c>
      <c r="DM1" s="676"/>
      <c r="DN1" s="676"/>
      <c r="DO1" s="676"/>
      <c r="DP1" s="676"/>
      <c r="DQ1" s="676"/>
      <c r="DR1" s="676"/>
      <c r="DS1" s="676"/>
      <c r="DT1" s="676"/>
      <c r="DU1" s="676"/>
      <c r="DV1" s="676"/>
      <c r="DW1" s="676"/>
      <c r="DX1" s="676"/>
      <c r="DZ1" s="676" t="s">
        <v>684</v>
      </c>
      <c r="EA1" s="676"/>
      <c r="EB1" s="676"/>
      <c r="EC1" s="676"/>
      <c r="ED1" s="676"/>
      <c r="EE1" s="676"/>
      <c r="EF1" s="676"/>
      <c r="EG1" s="676"/>
      <c r="EH1" s="676"/>
      <c r="EI1" s="676"/>
      <c r="EJ1" s="676"/>
      <c r="EK1" s="676"/>
      <c r="EL1" s="676"/>
      <c r="EN1" s="676" t="s">
        <v>685</v>
      </c>
      <c r="EO1" s="676"/>
      <c r="EP1" s="676"/>
      <c r="EQ1" s="676"/>
      <c r="ER1" s="676"/>
      <c r="ES1" s="676"/>
      <c r="ET1" s="676"/>
      <c r="EU1" s="676"/>
      <c r="EV1" s="676"/>
      <c r="EW1" s="676"/>
      <c r="EX1" s="676"/>
      <c r="EY1" s="676"/>
      <c r="EZ1" s="676"/>
      <c r="FB1" s="676" t="s">
        <v>686</v>
      </c>
      <c r="FC1" s="676"/>
      <c r="FD1" s="676"/>
      <c r="FE1" s="676"/>
      <c r="FF1" s="676"/>
      <c r="FG1" s="676"/>
      <c r="FH1" s="676"/>
      <c r="FI1" s="676"/>
      <c r="FJ1" s="676"/>
      <c r="FK1" s="676"/>
      <c r="FL1" s="676"/>
      <c r="FM1" s="676"/>
      <c r="FN1" s="676"/>
      <c r="FP1" s="676" t="s">
        <v>687</v>
      </c>
      <c r="FQ1" s="676"/>
      <c r="FR1" s="676"/>
      <c r="FS1" s="676"/>
      <c r="FT1" s="676"/>
      <c r="FU1" s="676"/>
      <c r="FV1" s="676"/>
      <c r="FW1" s="676"/>
      <c r="FX1" s="676"/>
      <c r="FY1" s="676"/>
      <c r="FZ1" s="676"/>
      <c r="GA1" s="676"/>
      <c r="GB1" s="676"/>
      <c r="GD1" s="676" t="s">
        <v>688</v>
      </c>
      <c r="GE1" s="676"/>
      <c r="GF1" s="676"/>
      <c r="GG1" s="676"/>
      <c r="GH1" s="676"/>
      <c r="GI1" s="676"/>
      <c r="GJ1" s="676"/>
      <c r="GK1" s="676"/>
      <c r="GL1" s="676"/>
      <c r="GM1" s="676"/>
      <c r="GN1" s="676"/>
      <c r="GO1" s="676"/>
      <c r="GP1" s="676"/>
      <c r="GR1" s="676" t="s">
        <v>689</v>
      </c>
      <c r="GS1" s="676"/>
      <c r="GT1" s="676"/>
      <c r="GU1" s="676"/>
      <c r="GV1" s="676"/>
      <c r="GW1" s="676"/>
      <c r="GX1" s="676"/>
      <c r="GY1" s="676"/>
      <c r="GZ1" s="676"/>
      <c r="HA1" s="676"/>
      <c r="HB1" s="676"/>
      <c r="HC1" s="676"/>
      <c r="HD1" s="676"/>
      <c r="HF1" s="676" t="s">
        <v>690</v>
      </c>
      <c r="HG1" s="676"/>
      <c r="HH1" s="676"/>
      <c r="HI1" s="676"/>
      <c r="HJ1" s="676"/>
      <c r="HK1" s="676"/>
      <c r="HL1" s="676"/>
      <c r="HM1" s="676"/>
      <c r="HN1" s="676"/>
      <c r="HO1" s="676"/>
      <c r="HP1" s="676"/>
      <c r="HQ1" s="676"/>
      <c r="HR1" s="676"/>
      <c r="HT1" s="676" t="s">
        <v>691</v>
      </c>
      <c r="HU1" s="676"/>
      <c r="HV1" s="676"/>
      <c r="HW1" s="676"/>
      <c r="HX1" s="676"/>
      <c r="HY1" s="676"/>
      <c r="HZ1" s="676"/>
      <c r="IA1" s="676"/>
      <c r="IB1" s="676"/>
      <c r="IC1" s="676"/>
      <c r="ID1" s="676"/>
      <c r="IE1" s="676"/>
      <c r="IF1" s="676"/>
      <c r="IH1" s="676" t="s">
        <v>692</v>
      </c>
      <c r="II1" s="676"/>
      <c r="IJ1" s="676"/>
      <c r="IK1" s="676"/>
      <c r="IL1" s="676"/>
      <c r="IM1" s="676"/>
      <c r="IN1" s="676"/>
      <c r="IO1" s="676"/>
      <c r="IP1" s="676"/>
      <c r="IQ1" s="676"/>
      <c r="IR1" s="676"/>
      <c r="IS1" s="676"/>
      <c r="IT1" s="676"/>
      <c r="IV1" s="676" t="s">
        <v>693</v>
      </c>
      <c r="IW1" s="676"/>
      <c r="IX1" s="676"/>
      <c r="IY1" s="676"/>
      <c r="IZ1" s="676"/>
      <c r="JA1" s="676"/>
      <c r="JB1" s="676"/>
      <c r="JC1" s="676"/>
      <c r="JD1" s="676"/>
      <c r="JE1" s="676"/>
      <c r="JF1" s="676"/>
      <c r="JG1" s="676"/>
      <c r="JH1" s="676"/>
    </row>
    <row r="2" spans="1:268" s="10" customFormat="1" ht="19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</row>
    <row r="3" spans="1:268" s="10" customFormat="1" ht="19.2">
      <c r="A3" s="8"/>
      <c r="B3" s="11">
        <v>2023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8"/>
      <c r="P3" s="11">
        <v>2022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8"/>
      <c r="AD3" s="11">
        <v>2021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8"/>
      <c r="AR3" s="11">
        <v>2020</v>
      </c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8"/>
      <c r="BF3" s="11">
        <v>2019</v>
      </c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8"/>
      <c r="BT3" s="11">
        <v>2018</v>
      </c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8"/>
      <c r="CH3" s="11">
        <v>2017</v>
      </c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W3" s="11">
        <v>2016</v>
      </c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L3" s="11">
        <v>2015</v>
      </c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Z3" s="11">
        <v>2014</v>
      </c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N3" s="11">
        <v>2013</v>
      </c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B3" s="11">
        <v>2012</v>
      </c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P3" s="11">
        <v>2011</v>
      </c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D3" s="11">
        <v>2010</v>
      </c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R3" s="11">
        <v>2009</v>
      </c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F3" s="11">
        <v>2008</v>
      </c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T3" s="11">
        <v>2007</v>
      </c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H3" s="11">
        <v>2006</v>
      </c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V3" s="11">
        <v>2005</v>
      </c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</row>
    <row r="4" spans="1:268" s="10" customFormat="1" ht="19.2">
      <c r="A4" s="12" t="s">
        <v>694</v>
      </c>
      <c r="B4" s="13"/>
      <c r="C4" s="14" t="s">
        <v>695</v>
      </c>
      <c r="D4" s="14" t="s">
        <v>235</v>
      </c>
      <c r="E4" s="14" t="s">
        <v>696</v>
      </c>
      <c r="F4" s="14" t="s">
        <v>241</v>
      </c>
      <c r="G4" s="14" t="s">
        <v>697</v>
      </c>
      <c r="H4" s="14" t="s">
        <v>246</v>
      </c>
      <c r="I4" s="14" t="s">
        <v>249</v>
      </c>
      <c r="J4" s="14" t="s">
        <v>252</v>
      </c>
      <c r="K4" s="14" t="s">
        <v>255</v>
      </c>
      <c r="L4" s="14" t="s">
        <v>258</v>
      </c>
      <c r="M4" s="14" t="s">
        <v>261</v>
      </c>
      <c r="N4" s="14" t="s">
        <v>264</v>
      </c>
      <c r="O4" s="12"/>
      <c r="P4" s="13"/>
      <c r="Q4" s="14" t="s">
        <v>695</v>
      </c>
      <c r="R4" s="14" t="s">
        <v>235</v>
      </c>
      <c r="S4" s="14" t="s">
        <v>696</v>
      </c>
      <c r="T4" s="14" t="s">
        <v>241</v>
      </c>
      <c r="U4" s="14" t="s">
        <v>697</v>
      </c>
      <c r="V4" s="14" t="s">
        <v>246</v>
      </c>
      <c r="W4" s="14" t="s">
        <v>249</v>
      </c>
      <c r="X4" s="14" t="s">
        <v>252</v>
      </c>
      <c r="Y4" s="14" t="s">
        <v>255</v>
      </c>
      <c r="Z4" s="14" t="s">
        <v>258</v>
      </c>
      <c r="AA4" s="14" t="s">
        <v>261</v>
      </c>
      <c r="AB4" s="14" t="s">
        <v>264</v>
      </c>
      <c r="AC4" s="12"/>
      <c r="AD4" s="13"/>
      <c r="AE4" s="14" t="s">
        <v>695</v>
      </c>
      <c r="AF4" s="14" t="s">
        <v>235</v>
      </c>
      <c r="AG4" s="14" t="s">
        <v>696</v>
      </c>
      <c r="AH4" s="14" t="s">
        <v>241</v>
      </c>
      <c r="AI4" s="14" t="s">
        <v>697</v>
      </c>
      <c r="AJ4" s="14" t="s">
        <v>246</v>
      </c>
      <c r="AK4" s="14" t="s">
        <v>249</v>
      </c>
      <c r="AL4" s="14" t="s">
        <v>252</v>
      </c>
      <c r="AM4" s="14" t="s">
        <v>255</v>
      </c>
      <c r="AN4" s="14" t="s">
        <v>258</v>
      </c>
      <c r="AO4" s="14" t="s">
        <v>261</v>
      </c>
      <c r="AP4" s="14" t="s">
        <v>264</v>
      </c>
      <c r="AQ4" s="12"/>
      <c r="AR4" s="13"/>
      <c r="AS4" s="14" t="s">
        <v>695</v>
      </c>
      <c r="AT4" s="14" t="s">
        <v>235</v>
      </c>
      <c r="AU4" s="14" t="s">
        <v>696</v>
      </c>
      <c r="AV4" s="14" t="s">
        <v>241</v>
      </c>
      <c r="AW4" s="14" t="s">
        <v>697</v>
      </c>
      <c r="AX4" s="14" t="s">
        <v>246</v>
      </c>
      <c r="AY4" s="14" t="s">
        <v>249</v>
      </c>
      <c r="AZ4" s="14" t="s">
        <v>252</v>
      </c>
      <c r="BA4" s="14" t="s">
        <v>255</v>
      </c>
      <c r="BB4" s="14" t="s">
        <v>258</v>
      </c>
      <c r="BC4" s="14" t="s">
        <v>261</v>
      </c>
      <c r="BD4" s="14" t="s">
        <v>264</v>
      </c>
      <c r="BE4" s="12"/>
      <c r="BF4" s="13"/>
      <c r="BG4" s="14" t="s">
        <v>695</v>
      </c>
      <c r="BH4" s="14" t="s">
        <v>235</v>
      </c>
      <c r="BI4" s="14" t="s">
        <v>696</v>
      </c>
      <c r="BJ4" s="14" t="s">
        <v>241</v>
      </c>
      <c r="BK4" s="14" t="s">
        <v>697</v>
      </c>
      <c r="BL4" s="14" t="s">
        <v>246</v>
      </c>
      <c r="BM4" s="14" t="s">
        <v>249</v>
      </c>
      <c r="BN4" s="14" t="s">
        <v>252</v>
      </c>
      <c r="BO4" s="14" t="s">
        <v>255</v>
      </c>
      <c r="BP4" s="14" t="s">
        <v>258</v>
      </c>
      <c r="BQ4" s="14" t="s">
        <v>261</v>
      </c>
      <c r="BR4" s="14" t="s">
        <v>264</v>
      </c>
      <c r="BS4" s="12"/>
      <c r="BT4" s="13"/>
      <c r="BU4" s="14" t="s">
        <v>695</v>
      </c>
      <c r="BV4" s="14" t="s">
        <v>235</v>
      </c>
      <c r="BW4" s="14" t="s">
        <v>696</v>
      </c>
      <c r="BX4" s="14" t="s">
        <v>241</v>
      </c>
      <c r="BY4" s="14" t="s">
        <v>697</v>
      </c>
      <c r="BZ4" s="14" t="s">
        <v>246</v>
      </c>
      <c r="CA4" s="14" t="s">
        <v>249</v>
      </c>
      <c r="CB4" s="14" t="s">
        <v>252</v>
      </c>
      <c r="CC4" s="14" t="s">
        <v>255</v>
      </c>
      <c r="CD4" s="14" t="s">
        <v>258</v>
      </c>
      <c r="CE4" s="14" t="s">
        <v>261</v>
      </c>
      <c r="CF4" s="14" t="s">
        <v>264</v>
      </c>
      <c r="CG4" s="15"/>
      <c r="CH4" s="13"/>
      <c r="CI4" s="14" t="s">
        <v>695</v>
      </c>
      <c r="CJ4" s="14" t="s">
        <v>235</v>
      </c>
      <c r="CK4" s="14" t="s">
        <v>696</v>
      </c>
      <c r="CL4" s="14" t="s">
        <v>241</v>
      </c>
      <c r="CM4" s="14" t="s">
        <v>697</v>
      </c>
      <c r="CN4" s="14" t="s">
        <v>246</v>
      </c>
      <c r="CO4" s="14" t="s">
        <v>249</v>
      </c>
      <c r="CP4" s="14" t="s">
        <v>252</v>
      </c>
      <c r="CQ4" s="14" t="s">
        <v>255</v>
      </c>
      <c r="CR4" s="14" t="s">
        <v>258</v>
      </c>
      <c r="CS4" s="14" t="s">
        <v>261</v>
      </c>
      <c r="CT4" s="14" t="s">
        <v>264</v>
      </c>
      <c r="CW4" s="13"/>
      <c r="CX4" s="14" t="s">
        <v>695</v>
      </c>
      <c r="CY4" s="14" t="s">
        <v>235</v>
      </c>
      <c r="CZ4" s="14" t="s">
        <v>696</v>
      </c>
      <c r="DA4" s="14" t="s">
        <v>241</v>
      </c>
      <c r="DB4" s="14" t="s">
        <v>697</v>
      </c>
      <c r="DC4" s="14" t="s">
        <v>246</v>
      </c>
      <c r="DD4" s="14" t="s">
        <v>249</v>
      </c>
      <c r="DE4" s="14" t="s">
        <v>252</v>
      </c>
      <c r="DF4" s="14" t="s">
        <v>255</v>
      </c>
      <c r="DG4" s="14" t="s">
        <v>258</v>
      </c>
      <c r="DH4" s="14" t="s">
        <v>261</v>
      </c>
      <c r="DI4" s="14" t="s">
        <v>264</v>
      </c>
      <c r="DL4" s="13"/>
      <c r="DM4" s="14" t="s">
        <v>695</v>
      </c>
      <c r="DN4" s="14" t="s">
        <v>235</v>
      </c>
      <c r="DO4" s="14" t="s">
        <v>696</v>
      </c>
      <c r="DP4" s="14" t="s">
        <v>241</v>
      </c>
      <c r="DQ4" s="14" t="s">
        <v>697</v>
      </c>
      <c r="DR4" s="14" t="s">
        <v>246</v>
      </c>
      <c r="DS4" s="14" t="s">
        <v>249</v>
      </c>
      <c r="DT4" s="14" t="s">
        <v>252</v>
      </c>
      <c r="DU4" s="14" t="s">
        <v>255</v>
      </c>
      <c r="DV4" s="14" t="s">
        <v>258</v>
      </c>
      <c r="DW4" s="14" t="s">
        <v>261</v>
      </c>
      <c r="DX4" s="14" t="s">
        <v>264</v>
      </c>
      <c r="DZ4" s="13"/>
      <c r="EA4" s="14" t="s">
        <v>695</v>
      </c>
      <c r="EB4" s="14" t="s">
        <v>235</v>
      </c>
      <c r="EC4" s="14" t="s">
        <v>696</v>
      </c>
      <c r="ED4" s="14" t="s">
        <v>241</v>
      </c>
      <c r="EE4" s="14" t="s">
        <v>697</v>
      </c>
      <c r="EF4" s="14" t="s">
        <v>246</v>
      </c>
      <c r="EG4" s="14" t="s">
        <v>249</v>
      </c>
      <c r="EH4" s="14" t="s">
        <v>252</v>
      </c>
      <c r="EI4" s="14" t="s">
        <v>255</v>
      </c>
      <c r="EJ4" s="14" t="s">
        <v>258</v>
      </c>
      <c r="EK4" s="14" t="s">
        <v>261</v>
      </c>
      <c r="EL4" s="14" t="s">
        <v>264</v>
      </c>
      <c r="EN4" s="13"/>
      <c r="EO4" s="14" t="s">
        <v>695</v>
      </c>
      <c r="EP4" s="14" t="s">
        <v>235</v>
      </c>
      <c r="EQ4" s="14" t="s">
        <v>696</v>
      </c>
      <c r="ER4" s="14" t="s">
        <v>241</v>
      </c>
      <c r="ES4" s="14" t="s">
        <v>697</v>
      </c>
      <c r="ET4" s="14" t="s">
        <v>246</v>
      </c>
      <c r="EU4" s="14" t="s">
        <v>249</v>
      </c>
      <c r="EV4" s="14" t="s">
        <v>252</v>
      </c>
      <c r="EW4" s="14" t="s">
        <v>255</v>
      </c>
      <c r="EX4" s="14" t="s">
        <v>258</v>
      </c>
      <c r="EY4" s="14" t="s">
        <v>261</v>
      </c>
      <c r="EZ4" s="14" t="s">
        <v>264</v>
      </c>
      <c r="FB4" s="13"/>
      <c r="FC4" s="14" t="s">
        <v>695</v>
      </c>
      <c r="FD4" s="14" t="s">
        <v>235</v>
      </c>
      <c r="FE4" s="14" t="s">
        <v>696</v>
      </c>
      <c r="FF4" s="14" t="s">
        <v>241</v>
      </c>
      <c r="FG4" s="14" t="s">
        <v>697</v>
      </c>
      <c r="FH4" s="14" t="s">
        <v>246</v>
      </c>
      <c r="FI4" s="14" t="s">
        <v>249</v>
      </c>
      <c r="FJ4" s="14" t="s">
        <v>252</v>
      </c>
      <c r="FK4" s="14" t="s">
        <v>255</v>
      </c>
      <c r="FL4" s="14" t="s">
        <v>258</v>
      </c>
      <c r="FM4" s="14" t="s">
        <v>261</v>
      </c>
      <c r="FN4" s="14" t="s">
        <v>264</v>
      </c>
      <c r="FP4" s="13"/>
      <c r="FQ4" s="14" t="s">
        <v>695</v>
      </c>
      <c r="FR4" s="14" t="s">
        <v>235</v>
      </c>
      <c r="FS4" s="14" t="s">
        <v>696</v>
      </c>
      <c r="FT4" s="14" t="s">
        <v>241</v>
      </c>
      <c r="FU4" s="14" t="s">
        <v>697</v>
      </c>
      <c r="FV4" s="14" t="s">
        <v>246</v>
      </c>
      <c r="FW4" s="14" t="s">
        <v>249</v>
      </c>
      <c r="FX4" s="14" t="s">
        <v>252</v>
      </c>
      <c r="FY4" s="14" t="s">
        <v>255</v>
      </c>
      <c r="FZ4" s="14" t="s">
        <v>258</v>
      </c>
      <c r="GA4" s="14" t="s">
        <v>261</v>
      </c>
      <c r="GB4" s="14" t="s">
        <v>264</v>
      </c>
      <c r="GD4" s="13"/>
      <c r="GE4" s="14" t="s">
        <v>695</v>
      </c>
      <c r="GF4" s="14" t="s">
        <v>235</v>
      </c>
      <c r="GG4" s="14" t="s">
        <v>696</v>
      </c>
      <c r="GH4" s="14" t="s">
        <v>241</v>
      </c>
      <c r="GI4" s="14" t="s">
        <v>697</v>
      </c>
      <c r="GJ4" s="14" t="s">
        <v>246</v>
      </c>
      <c r="GK4" s="14" t="s">
        <v>249</v>
      </c>
      <c r="GL4" s="14" t="s">
        <v>252</v>
      </c>
      <c r="GM4" s="14" t="s">
        <v>255</v>
      </c>
      <c r="GN4" s="14" t="s">
        <v>258</v>
      </c>
      <c r="GO4" s="14" t="s">
        <v>261</v>
      </c>
      <c r="GP4" s="14" t="s">
        <v>264</v>
      </c>
      <c r="GR4" s="13"/>
      <c r="GS4" s="14" t="s">
        <v>695</v>
      </c>
      <c r="GT4" s="14" t="s">
        <v>235</v>
      </c>
      <c r="GU4" s="14" t="s">
        <v>696</v>
      </c>
      <c r="GV4" s="14" t="s">
        <v>241</v>
      </c>
      <c r="GW4" s="14" t="s">
        <v>697</v>
      </c>
      <c r="GX4" s="14" t="s">
        <v>246</v>
      </c>
      <c r="GY4" s="14" t="s">
        <v>249</v>
      </c>
      <c r="GZ4" s="14" t="s">
        <v>252</v>
      </c>
      <c r="HA4" s="14" t="s">
        <v>255</v>
      </c>
      <c r="HB4" s="14" t="s">
        <v>258</v>
      </c>
      <c r="HC4" s="14" t="s">
        <v>261</v>
      </c>
      <c r="HD4" s="14" t="s">
        <v>264</v>
      </c>
      <c r="HF4" s="13"/>
      <c r="HG4" s="14" t="s">
        <v>695</v>
      </c>
      <c r="HH4" s="14" t="s">
        <v>235</v>
      </c>
      <c r="HI4" s="14" t="s">
        <v>696</v>
      </c>
      <c r="HJ4" s="14" t="s">
        <v>241</v>
      </c>
      <c r="HK4" s="14" t="s">
        <v>697</v>
      </c>
      <c r="HL4" s="14" t="s">
        <v>246</v>
      </c>
      <c r="HM4" s="14" t="s">
        <v>249</v>
      </c>
      <c r="HN4" s="14" t="s">
        <v>252</v>
      </c>
      <c r="HO4" s="14" t="s">
        <v>255</v>
      </c>
      <c r="HP4" s="14" t="s">
        <v>258</v>
      </c>
      <c r="HQ4" s="14" t="s">
        <v>261</v>
      </c>
      <c r="HR4" s="14" t="s">
        <v>264</v>
      </c>
      <c r="HT4" s="13"/>
      <c r="HU4" s="14" t="s">
        <v>695</v>
      </c>
      <c r="HV4" s="14" t="s">
        <v>235</v>
      </c>
      <c r="HW4" s="14" t="s">
        <v>696</v>
      </c>
      <c r="HX4" s="14" t="s">
        <v>241</v>
      </c>
      <c r="HY4" s="14" t="s">
        <v>697</v>
      </c>
      <c r="HZ4" s="14" t="s">
        <v>246</v>
      </c>
      <c r="IA4" s="14" t="s">
        <v>249</v>
      </c>
      <c r="IB4" s="14" t="s">
        <v>252</v>
      </c>
      <c r="IC4" s="14" t="s">
        <v>255</v>
      </c>
      <c r="ID4" s="14" t="s">
        <v>258</v>
      </c>
      <c r="IE4" s="14" t="s">
        <v>261</v>
      </c>
      <c r="IF4" s="14" t="s">
        <v>264</v>
      </c>
      <c r="IH4" s="13"/>
      <c r="II4" s="14" t="s">
        <v>695</v>
      </c>
      <c r="IJ4" s="14" t="s">
        <v>235</v>
      </c>
      <c r="IK4" s="14" t="s">
        <v>696</v>
      </c>
      <c r="IL4" s="14" t="s">
        <v>241</v>
      </c>
      <c r="IM4" s="14" t="s">
        <v>697</v>
      </c>
      <c r="IN4" s="14" t="s">
        <v>246</v>
      </c>
      <c r="IO4" s="14" t="s">
        <v>249</v>
      </c>
      <c r="IP4" s="14" t="s">
        <v>252</v>
      </c>
      <c r="IQ4" s="14" t="s">
        <v>255</v>
      </c>
      <c r="IR4" s="14" t="s">
        <v>258</v>
      </c>
      <c r="IS4" s="14" t="s">
        <v>261</v>
      </c>
      <c r="IT4" s="14" t="s">
        <v>264</v>
      </c>
      <c r="IV4" s="13"/>
      <c r="IW4" s="14" t="s">
        <v>695</v>
      </c>
      <c r="IX4" s="14" t="s">
        <v>235</v>
      </c>
      <c r="IY4" s="14" t="s">
        <v>696</v>
      </c>
      <c r="IZ4" s="14" t="s">
        <v>241</v>
      </c>
      <c r="JA4" s="14" t="s">
        <v>697</v>
      </c>
      <c r="JB4" s="14" t="s">
        <v>246</v>
      </c>
      <c r="JC4" s="14" t="s">
        <v>249</v>
      </c>
      <c r="JD4" s="14" t="s">
        <v>252</v>
      </c>
      <c r="JE4" s="14" t="s">
        <v>255</v>
      </c>
      <c r="JF4" s="14" t="s">
        <v>258</v>
      </c>
      <c r="JG4" s="14" t="s">
        <v>261</v>
      </c>
      <c r="JH4" s="14" t="s">
        <v>264</v>
      </c>
    </row>
    <row r="5" spans="1:268" s="19" customFormat="1" ht="19.8" thickBot="1">
      <c r="A5" s="8" t="s">
        <v>698</v>
      </c>
      <c r="B5" s="16" t="s">
        <v>698</v>
      </c>
      <c r="C5" s="17">
        <v>0.70435000000000003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16" t="s">
        <v>698</v>
      </c>
      <c r="Q5" s="17">
        <v>0.70479999999999998</v>
      </c>
      <c r="R5" s="17">
        <v>0.72555000000000003</v>
      </c>
      <c r="S5" s="17">
        <v>0.75075000000000003</v>
      </c>
      <c r="T5" s="17">
        <v>0.71084999999999998</v>
      </c>
      <c r="U5" s="17">
        <v>0.71714999999999995</v>
      </c>
      <c r="V5" s="17">
        <v>0.68794999999999995</v>
      </c>
      <c r="W5" s="17">
        <v>0.69725000000000004</v>
      </c>
      <c r="X5" s="17">
        <v>0.68559999999999999</v>
      </c>
      <c r="Y5" s="17">
        <v>0.64319999999999999</v>
      </c>
      <c r="Z5" s="17">
        <v>0.63775000000000004</v>
      </c>
      <c r="AA5" s="17">
        <v>0.66964999999999997</v>
      </c>
      <c r="AB5" s="17">
        <v>0.67795000000000005</v>
      </c>
      <c r="AC5" s="8"/>
      <c r="AD5" s="16" t="s">
        <v>698</v>
      </c>
      <c r="AE5" s="17">
        <v>0.76734999999999998</v>
      </c>
      <c r="AF5" s="17">
        <v>0.77449999999999997</v>
      </c>
      <c r="AG5" s="17">
        <v>0.76175000000000004</v>
      </c>
      <c r="AH5" s="17">
        <v>0.77270000000000005</v>
      </c>
      <c r="AI5" s="17">
        <v>0.77395000000000003</v>
      </c>
      <c r="AJ5" s="17">
        <v>0.75065000000000004</v>
      </c>
      <c r="AK5" s="17">
        <v>0.7349</v>
      </c>
      <c r="AL5" s="17">
        <v>0.73085</v>
      </c>
      <c r="AM5" s="17">
        <v>0.72235000000000005</v>
      </c>
      <c r="AN5" s="17">
        <v>0.75109999999999999</v>
      </c>
      <c r="AO5" s="17">
        <v>0.70945000000000003</v>
      </c>
      <c r="AP5" s="17">
        <v>0.72704999999999997</v>
      </c>
      <c r="AQ5" s="8"/>
      <c r="AR5" s="16" t="s">
        <v>698</v>
      </c>
      <c r="AS5" s="17">
        <v>0.66925000000000001</v>
      </c>
      <c r="AT5" s="17">
        <v>0.64524999999999999</v>
      </c>
      <c r="AU5" s="17">
        <v>0.61150000000000004</v>
      </c>
      <c r="AV5" s="17">
        <v>0.65449999999999997</v>
      </c>
      <c r="AW5" s="17">
        <v>0.66374999999999995</v>
      </c>
      <c r="AX5" s="17">
        <v>0.68864999999999998</v>
      </c>
      <c r="AY5" s="17">
        <v>0.71704999999999997</v>
      </c>
      <c r="AZ5" s="17">
        <v>0.73965000000000003</v>
      </c>
      <c r="BA5" s="17">
        <v>0.71675</v>
      </c>
      <c r="BB5" s="17">
        <v>0.70325000000000004</v>
      </c>
      <c r="BC5" s="17">
        <v>0.73655000000000004</v>
      </c>
      <c r="BD5" s="17">
        <v>0.77164999999999995</v>
      </c>
      <c r="BE5" s="8"/>
      <c r="BF5" s="16" t="s">
        <v>698</v>
      </c>
      <c r="BG5" s="17">
        <v>0.72914999999999996</v>
      </c>
      <c r="BH5" s="17">
        <v>0.71150000000000002</v>
      </c>
      <c r="BI5" s="17">
        <v>0.70874999999999999</v>
      </c>
      <c r="BJ5" s="17">
        <v>0.70384999999999998</v>
      </c>
      <c r="BK5" s="17">
        <v>0.69274999999999998</v>
      </c>
      <c r="BL5" s="17">
        <v>0.70169999999999999</v>
      </c>
      <c r="BM5" s="17">
        <v>0.68915000000000004</v>
      </c>
      <c r="BN5" s="17">
        <v>0.67369999999999997</v>
      </c>
      <c r="BO5" s="17">
        <v>0.67449999999999999</v>
      </c>
      <c r="BP5" s="17">
        <v>0.68935000000000002</v>
      </c>
      <c r="BQ5" s="17">
        <v>0.67635000000000001</v>
      </c>
      <c r="BR5" s="17">
        <v>0.70274999999999999</v>
      </c>
      <c r="BS5" s="8"/>
      <c r="BT5" s="16" t="s">
        <v>698</v>
      </c>
      <c r="BU5" s="17">
        <v>0.81010000000000004</v>
      </c>
      <c r="BV5" s="17">
        <v>0.77925</v>
      </c>
      <c r="BW5" s="17">
        <v>0.76675000000000004</v>
      </c>
      <c r="BX5" s="17">
        <v>0.75460000000000005</v>
      </c>
      <c r="BY5" s="17">
        <v>0.75685000000000002</v>
      </c>
      <c r="BZ5" s="17">
        <v>0.73880000000000001</v>
      </c>
      <c r="CA5" s="17">
        <v>0.74314999999999998</v>
      </c>
      <c r="CB5" s="17">
        <v>0.72314999999999996</v>
      </c>
      <c r="CC5" s="17">
        <v>0.72335000000000005</v>
      </c>
      <c r="CD5" s="17">
        <v>0.70855000000000001</v>
      </c>
      <c r="CE5" s="17">
        <v>0.73014999999999997</v>
      </c>
      <c r="CF5" s="17">
        <v>0.70425000000000004</v>
      </c>
      <c r="CG5" s="8"/>
      <c r="CH5" s="16" t="s">
        <v>698</v>
      </c>
      <c r="CI5" s="17">
        <v>0.75929999999999997</v>
      </c>
      <c r="CJ5" s="17">
        <v>0.76880000000000004</v>
      </c>
      <c r="CK5" s="17">
        <v>0.76280000000000003</v>
      </c>
      <c r="CL5" s="17">
        <v>0.74724999999999997</v>
      </c>
      <c r="CM5" s="17">
        <v>0.74419999999999997</v>
      </c>
      <c r="CN5" s="17">
        <v>0.76700000000000002</v>
      </c>
      <c r="CO5" s="17">
        <v>0.79820000000000002</v>
      </c>
      <c r="CP5" s="17">
        <v>0.79290000000000005</v>
      </c>
      <c r="CQ5" s="17">
        <v>0.78439999999999999</v>
      </c>
      <c r="CR5" s="17">
        <v>0.76470000000000005</v>
      </c>
      <c r="CS5" s="17">
        <v>0.75919999999999999</v>
      </c>
      <c r="CT5" s="17">
        <v>0.78210000000000002</v>
      </c>
      <c r="CU5" s="18"/>
      <c r="CV5" s="18" t="s">
        <v>698</v>
      </c>
      <c r="CW5" s="16" t="s">
        <v>698</v>
      </c>
      <c r="CX5" s="17">
        <v>0.70750000000000002</v>
      </c>
      <c r="CY5" s="17">
        <v>0.71419999999999995</v>
      </c>
      <c r="CZ5" s="17">
        <v>0.76900000000000002</v>
      </c>
      <c r="DA5" s="17">
        <v>0.76280000000000003</v>
      </c>
      <c r="DB5" s="17">
        <v>0.72460000000000002</v>
      </c>
      <c r="DC5" s="17">
        <v>0.74450000000000005</v>
      </c>
      <c r="DD5" s="17">
        <v>0.75960000000000005</v>
      </c>
      <c r="DE5" s="17">
        <v>0.75129999999999997</v>
      </c>
      <c r="DF5" s="17">
        <v>0.76519999999999999</v>
      </c>
      <c r="DG5" s="17">
        <v>0.75939999999999996</v>
      </c>
      <c r="DH5" s="17">
        <v>0.73909999999999998</v>
      </c>
      <c r="DI5" s="17">
        <v>0.72399999999999998</v>
      </c>
      <c r="DK5" s="18" t="s">
        <v>698</v>
      </c>
      <c r="DL5" s="16" t="s">
        <v>698</v>
      </c>
      <c r="DM5" s="17">
        <v>0.77900000000000003</v>
      </c>
      <c r="DN5" s="17">
        <v>0.78290000000000004</v>
      </c>
      <c r="DO5" s="17">
        <v>0.76419999999999999</v>
      </c>
      <c r="DP5" s="17">
        <v>0.78869999999999996</v>
      </c>
      <c r="DQ5" s="17">
        <v>0.76570000000000005</v>
      </c>
      <c r="DR5" s="17">
        <v>0.76849999999999996</v>
      </c>
      <c r="DS5" s="17">
        <v>0.73460000000000003</v>
      </c>
      <c r="DT5" s="17">
        <v>0.70889999999999997</v>
      </c>
      <c r="DU5" s="17">
        <v>0.70230000000000004</v>
      </c>
      <c r="DV5" s="17">
        <v>0.7107</v>
      </c>
      <c r="DW5" s="17">
        <v>0.72440000000000004</v>
      </c>
      <c r="DX5" s="17">
        <v>0.72860000000000003</v>
      </c>
      <c r="DY5" s="20"/>
      <c r="DZ5" s="16" t="s">
        <v>698</v>
      </c>
      <c r="EA5" s="17">
        <v>0.87250000000000005</v>
      </c>
      <c r="EB5" s="17">
        <v>0.89480000000000004</v>
      </c>
      <c r="EC5" s="17">
        <v>0.92679999999999996</v>
      </c>
      <c r="ED5" s="17">
        <v>0.92649999999999999</v>
      </c>
      <c r="EE5" s="17">
        <v>0.93079999999999996</v>
      </c>
      <c r="EF5" s="17">
        <v>0.94379999999999997</v>
      </c>
      <c r="EG5" s="17">
        <v>0.92969999999999997</v>
      </c>
      <c r="EH5" s="17">
        <v>0.93530000000000002</v>
      </c>
      <c r="EI5" s="17">
        <v>0.875</v>
      </c>
      <c r="EJ5" s="17">
        <v>0.87739999999999996</v>
      </c>
      <c r="EK5" s="17">
        <v>0.85370000000000001</v>
      </c>
      <c r="EL5" s="17">
        <v>0.81830000000000003</v>
      </c>
      <c r="EM5" s="20"/>
      <c r="EN5" s="16" t="s">
        <v>698</v>
      </c>
      <c r="EO5" s="17">
        <v>1.0429999999999999</v>
      </c>
      <c r="EP5" s="17">
        <v>1.0238</v>
      </c>
      <c r="EQ5" s="17">
        <v>1.0428999999999999</v>
      </c>
      <c r="ER5" s="17">
        <v>1.0384</v>
      </c>
      <c r="ES5" s="17">
        <v>0.95899999999999996</v>
      </c>
      <c r="ET5" s="17">
        <v>0.91520000000000001</v>
      </c>
      <c r="EU5" s="17">
        <v>0.89739999999999998</v>
      </c>
      <c r="EV5" s="17">
        <v>0.89070000000000005</v>
      </c>
      <c r="EW5" s="17">
        <v>0.93510000000000004</v>
      </c>
      <c r="EX5" s="17">
        <v>0.9486</v>
      </c>
      <c r="EY5" s="17">
        <v>0.91379999999999995</v>
      </c>
      <c r="EZ5" s="17">
        <v>0.89459999999999995</v>
      </c>
      <c r="FA5" s="20"/>
      <c r="FB5" s="16" t="s">
        <v>698</v>
      </c>
      <c r="FC5" s="17">
        <v>1.0648</v>
      </c>
      <c r="FD5" s="17">
        <v>1.0843</v>
      </c>
      <c r="FE5" s="17">
        <v>1.0364</v>
      </c>
      <c r="FF5" s="17">
        <v>1.0415000000000001</v>
      </c>
      <c r="FG5" s="17">
        <v>0.9718</v>
      </c>
      <c r="FH5" s="17">
        <v>1.0235000000000001</v>
      </c>
      <c r="FI5" s="17">
        <v>1.0508</v>
      </c>
      <c r="FJ5" s="17">
        <v>1.0319</v>
      </c>
      <c r="FK5" s="17">
        <v>1.0385</v>
      </c>
      <c r="FL5" s="17">
        <v>1.0370999999999999</v>
      </c>
      <c r="FM5" s="17">
        <v>1.0417000000000001</v>
      </c>
      <c r="FN5" s="17">
        <v>1.038</v>
      </c>
      <c r="FO5" s="20"/>
      <c r="FP5" s="16" t="s">
        <v>698</v>
      </c>
      <c r="FQ5" s="17">
        <v>0.99690000000000001</v>
      </c>
      <c r="FR5" s="17">
        <v>1.018</v>
      </c>
      <c r="FS5" s="17">
        <v>1.0336000000000001</v>
      </c>
      <c r="FT5" s="17">
        <v>1.0931</v>
      </c>
      <c r="FU5" s="17">
        <v>1.0665</v>
      </c>
      <c r="FV5" s="17">
        <v>1.0730999999999999</v>
      </c>
      <c r="FW5" s="17">
        <v>1.0963000000000001</v>
      </c>
      <c r="FX5" s="17">
        <v>1.0701000000000001</v>
      </c>
      <c r="FY5" s="17">
        <v>0.97030000000000005</v>
      </c>
      <c r="FZ5" s="17">
        <v>1.0572999999999999</v>
      </c>
      <c r="GA5" s="17">
        <v>1.0284</v>
      </c>
      <c r="GB5" s="17">
        <v>1.0192000000000001</v>
      </c>
      <c r="GC5" s="20"/>
      <c r="GD5" s="16" t="s">
        <v>698</v>
      </c>
      <c r="GE5" s="17">
        <v>0.88890000000000002</v>
      </c>
      <c r="GF5" s="17">
        <v>0.89490000000000003</v>
      </c>
      <c r="GG5" s="17">
        <v>0.91659999999999997</v>
      </c>
      <c r="GH5" s="17">
        <v>0.93079999999999996</v>
      </c>
      <c r="GI5" s="17">
        <v>0.83850000000000002</v>
      </c>
      <c r="GJ5" s="17">
        <v>0.84419999999999995</v>
      </c>
      <c r="GK5" s="17">
        <v>0.90429999999999999</v>
      </c>
      <c r="GL5" s="17">
        <v>0.89019999999999999</v>
      </c>
      <c r="GM5" s="17">
        <v>0.96760000000000002</v>
      </c>
      <c r="GN5" s="17">
        <v>0.98009999999999997</v>
      </c>
      <c r="GO5" s="17">
        <v>0.95889999999999997</v>
      </c>
      <c r="GP5" s="17">
        <v>1.0229999999999999</v>
      </c>
      <c r="GQ5" s="20"/>
      <c r="GR5" s="16" t="s">
        <v>698</v>
      </c>
      <c r="GS5" s="17">
        <v>0.63560000000000005</v>
      </c>
      <c r="GT5" s="17">
        <v>0.6411</v>
      </c>
      <c r="GU5" s="17">
        <v>0.69230000000000003</v>
      </c>
      <c r="GV5" s="17">
        <v>0.7339</v>
      </c>
      <c r="GW5" s="17">
        <v>0.79949999999999999</v>
      </c>
      <c r="GX5" s="17">
        <v>0.80869999999999997</v>
      </c>
      <c r="GY5" s="17">
        <v>0.83089999999999997</v>
      </c>
      <c r="GZ5" s="17">
        <v>0.84099999999999997</v>
      </c>
      <c r="HA5" s="17">
        <v>0.8821</v>
      </c>
      <c r="HB5" s="17">
        <v>0.90449999999999997</v>
      </c>
      <c r="HC5" s="17">
        <v>0.91300000000000003</v>
      </c>
      <c r="HD5" s="17">
        <v>0.89949999999999997</v>
      </c>
      <c r="HE5" s="20"/>
      <c r="HF5" s="16" t="s">
        <v>698</v>
      </c>
      <c r="HG5" s="17">
        <v>0.89280000000000004</v>
      </c>
      <c r="HH5" s="17">
        <v>0.93530000000000002</v>
      </c>
      <c r="HI5" s="17">
        <v>0.91279999999999994</v>
      </c>
      <c r="HJ5" s="17">
        <v>0.9425</v>
      </c>
      <c r="HK5" s="17">
        <v>0.95299999999999996</v>
      </c>
      <c r="HL5" s="17">
        <v>0.95960000000000001</v>
      </c>
      <c r="HM5" s="17">
        <v>0.94040000000000001</v>
      </c>
      <c r="HN5" s="17">
        <v>0.86099999999999999</v>
      </c>
      <c r="HO5" s="17">
        <v>0.78910000000000002</v>
      </c>
      <c r="HP5" s="17">
        <v>0.66349999999999998</v>
      </c>
      <c r="HQ5" s="17">
        <v>0.65280000000000005</v>
      </c>
      <c r="HR5" s="17">
        <v>0.69130000000000003</v>
      </c>
      <c r="HS5" s="20"/>
      <c r="HT5" s="16" t="s">
        <v>698</v>
      </c>
      <c r="HU5" s="17">
        <v>0.77400000000000002</v>
      </c>
      <c r="HV5" s="17">
        <v>0.78779999999999994</v>
      </c>
      <c r="HW5" s="17">
        <v>0.81040000000000001</v>
      </c>
      <c r="HX5" s="17">
        <v>0.83189999999999997</v>
      </c>
      <c r="HY5" s="17">
        <v>0.82789999999999997</v>
      </c>
      <c r="HZ5" s="17">
        <v>0.84909999999999997</v>
      </c>
      <c r="IA5" s="17">
        <v>0.85680000000000001</v>
      </c>
      <c r="IB5" s="17">
        <v>0.81359999999999999</v>
      </c>
      <c r="IC5" s="17">
        <v>0.88470000000000004</v>
      </c>
      <c r="ID5" s="17">
        <v>0.92649999999999999</v>
      </c>
      <c r="IE5" s="17">
        <v>0.88349999999999995</v>
      </c>
      <c r="IF5" s="17">
        <v>0.87829999999999997</v>
      </c>
      <c r="IG5" s="20"/>
      <c r="IH5" s="16" t="s">
        <v>698</v>
      </c>
      <c r="II5" s="17">
        <v>0.75609999999999999</v>
      </c>
      <c r="IJ5" s="17">
        <v>0.74229999999999996</v>
      </c>
      <c r="IK5" s="17">
        <v>0.71430000000000005</v>
      </c>
      <c r="IL5" s="17">
        <v>0.75849999999999995</v>
      </c>
      <c r="IM5" s="17">
        <v>0.75370000000000004</v>
      </c>
      <c r="IN5" s="17">
        <v>0.74270000000000003</v>
      </c>
      <c r="IO5" s="17">
        <v>0.76639999999999997</v>
      </c>
      <c r="IP5" s="17">
        <v>0.76349999999999996</v>
      </c>
      <c r="IQ5" s="17">
        <v>0.74609999999999999</v>
      </c>
      <c r="IR5" s="17">
        <v>0.77370000000000005</v>
      </c>
      <c r="IS5" s="17">
        <v>0.78939999999999999</v>
      </c>
      <c r="IT5" s="17">
        <v>0.78549999999999998</v>
      </c>
      <c r="IU5" s="20"/>
      <c r="IV5" s="16" t="s">
        <v>698</v>
      </c>
      <c r="IW5" s="17">
        <v>0.77549999999999997</v>
      </c>
      <c r="IX5" s="17">
        <v>0.79359999999999997</v>
      </c>
      <c r="IY5" s="17">
        <v>0.77370000000000005</v>
      </c>
      <c r="IZ5" s="17">
        <v>0.78200000000000003</v>
      </c>
      <c r="JA5" s="17">
        <v>0.75760000000000005</v>
      </c>
      <c r="JB5" s="17">
        <v>0.76170000000000004</v>
      </c>
      <c r="JC5" s="17">
        <v>0.75939999999999996</v>
      </c>
      <c r="JD5" s="17">
        <v>0.75109999999999999</v>
      </c>
      <c r="JE5" s="17">
        <v>0.76319999999999999</v>
      </c>
      <c r="JF5" s="17">
        <v>0.74690000000000001</v>
      </c>
      <c r="JG5" s="17">
        <v>0.7399</v>
      </c>
      <c r="JH5" s="17">
        <v>0.73340000000000005</v>
      </c>
    </row>
    <row r="6" spans="1:268" s="19" customFormat="1" ht="19.8" thickBot="1">
      <c r="A6" s="8" t="s">
        <v>699</v>
      </c>
      <c r="B6" s="16" t="s">
        <v>699</v>
      </c>
      <c r="C6" s="17">
        <v>0.19650000000000001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16" t="s">
        <v>699</v>
      </c>
      <c r="Q6" s="17">
        <v>0.1883</v>
      </c>
      <c r="R6" s="17">
        <v>0.19409999999999999</v>
      </c>
      <c r="S6" s="17">
        <v>0.21049999999999999</v>
      </c>
      <c r="T6" s="17">
        <v>0.20200000000000001</v>
      </c>
      <c r="U6" s="17">
        <v>0.21110000000000001</v>
      </c>
      <c r="V6" s="17">
        <v>0.1913</v>
      </c>
      <c r="W6" s="17">
        <v>0.19239999999999999</v>
      </c>
      <c r="X6" s="17">
        <v>0.19309999999999999</v>
      </c>
      <c r="Y6" s="17">
        <v>0.18490000000000001</v>
      </c>
      <c r="Z6" s="17">
        <v>0.1913</v>
      </c>
      <c r="AA6" s="17">
        <v>0.19009999999999999</v>
      </c>
      <c r="AB6" s="17">
        <v>0.18920000000000001</v>
      </c>
      <c r="AC6" s="8"/>
      <c r="AD6" s="16" t="s">
        <v>699</v>
      </c>
      <c r="AE6" s="17">
        <v>0.183</v>
      </c>
      <c r="AF6" s="17">
        <v>0.17949999999999999</v>
      </c>
      <c r="AG6" s="17">
        <v>0.17730000000000001</v>
      </c>
      <c r="AH6" s="17">
        <v>0.18440000000000001</v>
      </c>
      <c r="AI6" s="17">
        <v>0.1905</v>
      </c>
      <c r="AJ6" s="17">
        <v>0.1993</v>
      </c>
      <c r="AK6" s="17">
        <v>0.19439999999999999</v>
      </c>
      <c r="AL6" s="17">
        <v>0.1953</v>
      </c>
      <c r="AM6" s="17">
        <v>0.18340000000000001</v>
      </c>
      <c r="AN6" s="17">
        <v>0.17749999999999999</v>
      </c>
      <c r="AO6" s="17">
        <v>0.17730000000000001</v>
      </c>
      <c r="AP6" s="17">
        <v>0.17949999999999999</v>
      </c>
      <c r="AQ6" s="8"/>
      <c r="AR6" s="16" t="s">
        <v>699</v>
      </c>
      <c r="AS6" s="17">
        <v>0.2334</v>
      </c>
      <c r="AT6" s="17">
        <v>0.22309999999999999</v>
      </c>
      <c r="AU6" s="17">
        <v>0.1928</v>
      </c>
      <c r="AV6" s="17">
        <v>0.18459999999999999</v>
      </c>
      <c r="AW6" s="17">
        <v>0.18379999999999999</v>
      </c>
      <c r="AX6" s="17">
        <v>0.18210000000000001</v>
      </c>
      <c r="AY6" s="17">
        <v>0.1918</v>
      </c>
      <c r="AZ6" s="17">
        <v>0.1822</v>
      </c>
      <c r="BA6" s="17">
        <v>0.1774</v>
      </c>
      <c r="BB6" s="17">
        <v>0.17280000000000001</v>
      </c>
      <c r="BC6" s="17">
        <v>0.186</v>
      </c>
      <c r="BD6" s="17">
        <v>0.1925</v>
      </c>
      <c r="BE6" s="8"/>
      <c r="BF6" s="16" t="s">
        <v>699</v>
      </c>
      <c r="BG6" s="17">
        <v>0.2737</v>
      </c>
      <c r="BH6" s="17">
        <v>0.26700000000000002</v>
      </c>
      <c r="BI6" s="17">
        <v>0.25600000000000001</v>
      </c>
      <c r="BJ6" s="17">
        <v>0.25430000000000003</v>
      </c>
      <c r="BK6" s="17">
        <v>0.255</v>
      </c>
      <c r="BL6" s="17">
        <v>0.26100000000000001</v>
      </c>
      <c r="BM6" s="17">
        <v>0.26629999999999998</v>
      </c>
      <c r="BN6" s="17">
        <v>0.2417</v>
      </c>
      <c r="BO6" s="17">
        <v>0.24060000000000001</v>
      </c>
      <c r="BP6" s="17">
        <v>0.2492</v>
      </c>
      <c r="BQ6" s="17">
        <v>0.2359</v>
      </c>
      <c r="BR6" s="17">
        <v>0.24879999999999999</v>
      </c>
      <c r="BS6" s="8"/>
      <c r="BT6" s="16" t="s">
        <v>699</v>
      </c>
      <c r="BU6" s="17">
        <v>0.31340000000000001</v>
      </c>
      <c r="BV6" s="17">
        <v>0.30840000000000001</v>
      </c>
      <c r="BW6" s="17">
        <v>0.29920000000000002</v>
      </c>
      <c r="BX6" s="17">
        <v>0.2863</v>
      </c>
      <c r="BY6" s="17">
        <v>0.26819999999999999</v>
      </c>
      <c r="BZ6" s="17">
        <v>0.25840000000000002</v>
      </c>
      <c r="CA6" s="17">
        <v>0.26650000000000001</v>
      </c>
      <c r="CB6" s="17">
        <v>0.24340000000000001</v>
      </c>
      <c r="CC6" s="17">
        <v>0.24859999999999999</v>
      </c>
      <c r="CD6" s="17">
        <v>0.26850000000000002</v>
      </c>
      <c r="CE6" s="17">
        <v>0.25919999999999999</v>
      </c>
      <c r="CF6" s="17">
        <v>0.25769999999999998</v>
      </c>
      <c r="CG6" s="8"/>
      <c r="CH6" s="16" t="s">
        <v>699</v>
      </c>
      <c r="CI6" s="17">
        <v>0.31719999999999998</v>
      </c>
      <c r="CJ6" s="17">
        <v>0.32140000000000002</v>
      </c>
      <c r="CK6" s="17">
        <v>0.31979999999999997</v>
      </c>
      <c r="CL6" s="17">
        <v>0.31390000000000001</v>
      </c>
      <c r="CM6" s="17">
        <v>0.30830000000000002</v>
      </c>
      <c r="CN6" s="17">
        <v>0.30209999999999998</v>
      </c>
      <c r="CO6" s="17">
        <v>0.3196</v>
      </c>
      <c r="CP6" s="17">
        <v>0.31730000000000003</v>
      </c>
      <c r="CQ6" s="17">
        <v>0.316</v>
      </c>
      <c r="CR6" s="17">
        <v>0.3054</v>
      </c>
      <c r="CS6" s="17">
        <v>0.30509999999999998</v>
      </c>
      <c r="CT6" s="17">
        <v>0.3019</v>
      </c>
      <c r="CU6" s="18"/>
      <c r="CV6" s="18" t="s">
        <v>699</v>
      </c>
      <c r="CW6" s="16" t="s">
        <v>699</v>
      </c>
      <c r="CX6" s="17">
        <v>0.24929999999999999</v>
      </c>
      <c r="CY6" s="17">
        <v>0.251</v>
      </c>
      <c r="CZ6" s="17">
        <v>0.2787</v>
      </c>
      <c r="DA6" s="17">
        <v>0.28910000000000002</v>
      </c>
      <c r="DB6" s="17">
        <v>0.27779999999999999</v>
      </c>
      <c r="DC6" s="17">
        <v>0.31240000000000001</v>
      </c>
      <c r="DD6" s="17">
        <v>0.30790000000000001</v>
      </c>
      <c r="DE6" s="17">
        <v>0.30890000000000001</v>
      </c>
      <c r="DF6" s="17">
        <v>0.30819999999999997</v>
      </c>
      <c r="DG6" s="17">
        <v>0.31409999999999999</v>
      </c>
      <c r="DH6" s="17">
        <v>0.29509999999999997</v>
      </c>
      <c r="DI6" s="17">
        <v>0.30719999999999997</v>
      </c>
      <c r="DK6" s="18" t="s">
        <v>699</v>
      </c>
      <c r="DL6" s="16" t="s">
        <v>699</v>
      </c>
      <c r="DM6" s="17">
        <v>0.37269999999999998</v>
      </c>
      <c r="DN6" s="17">
        <v>0.35039999999999999</v>
      </c>
      <c r="DO6" s="17">
        <v>0.31109999999999999</v>
      </c>
      <c r="DP6" s="17">
        <v>0.33250000000000002</v>
      </c>
      <c r="DQ6" s="17">
        <v>0.31440000000000001</v>
      </c>
      <c r="DR6" s="17">
        <v>0.32269999999999999</v>
      </c>
      <c r="DS6" s="17">
        <v>0.29199999999999998</v>
      </c>
      <c r="DT6" s="17">
        <v>0.27600000000000002</v>
      </c>
      <c r="DU6" s="17">
        <v>0.25169999999999998</v>
      </c>
      <c r="DV6" s="17">
        <v>0.25900000000000001</v>
      </c>
      <c r="DW6" s="17">
        <v>0.25640000000000002</v>
      </c>
      <c r="DX6" s="17">
        <v>0.2525</v>
      </c>
      <c r="DY6" s="20"/>
      <c r="DZ6" s="16" t="s">
        <v>699</v>
      </c>
      <c r="EA6" s="17">
        <v>0.4143</v>
      </c>
      <c r="EB6" s="17">
        <v>0.42680000000000001</v>
      </c>
      <c r="EC6" s="17">
        <v>0.44130000000000003</v>
      </c>
      <c r="ED6" s="17">
        <v>0.44690000000000002</v>
      </c>
      <c r="EE6" s="17">
        <v>0.44619999999999999</v>
      </c>
      <c r="EF6" s="17">
        <v>0.45269999999999999</v>
      </c>
      <c r="EG6" s="17">
        <v>0.44130000000000003</v>
      </c>
      <c r="EH6" s="17">
        <v>0.44669999999999999</v>
      </c>
      <c r="EI6" s="17">
        <v>0.40679999999999999</v>
      </c>
      <c r="EJ6" s="17">
        <v>0.4037</v>
      </c>
      <c r="EK6" s="17">
        <v>0.38900000000000001</v>
      </c>
      <c r="EL6" s="17">
        <v>0.37730000000000002</v>
      </c>
      <c r="EM6" s="20"/>
      <c r="EN6" s="16" t="s">
        <v>699</v>
      </c>
      <c r="EO6" s="17">
        <v>0.50210999999999995</v>
      </c>
      <c r="EP6" s="17">
        <v>0.50560000000000005</v>
      </c>
      <c r="EQ6" s="17">
        <v>0.49769999999999998</v>
      </c>
      <c r="ER6" s="17">
        <v>0.4995</v>
      </c>
      <c r="ES6" s="17">
        <v>0.4672</v>
      </c>
      <c r="ET6" s="17">
        <v>0.4496</v>
      </c>
      <c r="EU6" s="17">
        <v>0.43609999999999999</v>
      </c>
      <c r="EV6" s="17">
        <v>0.41970000000000002</v>
      </c>
      <c r="EW6" s="17">
        <v>0.44879999999999998</v>
      </c>
      <c r="EX6" s="17">
        <v>0.44740000000000002</v>
      </c>
      <c r="EY6" s="17">
        <v>0.4279</v>
      </c>
      <c r="EZ6" s="17">
        <v>0.42320000000000002</v>
      </c>
      <c r="FA6" s="20"/>
      <c r="FB6" s="16" t="s">
        <v>699</v>
      </c>
      <c r="FC6" s="17">
        <v>0.57484000000000002</v>
      </c>
      <c r="FD6" s="17">
        <v>0.58750999999999998</v>
      </c>
      <c r="FE6" s="17">
        <v>0.54698999999999998</v>
      </c>
      <c r="FF6" s="17">
        <v>0.52910000000000001</v>
      </c>
      <c r="FG6" s="17">
        <v>0.49606</v>
      </c>
      <c r="FH6" s="17">
        <v>0.49642999999999998</v>
      </c>
      <c r="FI6" s="17">
        <v>0.48785000000000001</v>
      </c>
      <c r="FJ6" s="17">
        <v>0.49278</v>
      </c>
      <c r="FK6" s="17">
        <v>0.49247000000000002</v>
      </c>
      <c r="FL6" s="17">
        <v>0.49253999999999998</v>
      </c>
      <c r="FM6" s="17">
        <v>0.47372999999999998</v>
      </c>
      <c r="FN6" s="17">
        <v>0.48827999999999999</v>
      </c>
      <c r="FO6" s="20"/>
      <c r="FP6" s="16" t="s">
        <v>699</v>
      </c>
      <c r="FQ6" s="17">
        <v>0.59730000000000005</v>
      </c>
      <c r="FR6" s="17">
        <v>0.60294999999999999</v>
      </c>
      <c r="FS6" s="17">
        <v>0.61451</v>
      </c>
      <c r="FT6" s="17">
        <v>0.63553000000000004</v>
      </c>
      <c r="FU6" s="17">
        <v>0.63122999999999996</v>
      </c>
      <c r="FV6" s="17">
        <v>0.64056999999999997</v>
      </c>
      <c r="FW6" s="17">
        <v>0.64073999999999998</v>
      </c>
      <c r="FX6" s="17">
        <v>0.62944999999999995</v>
      </c>
      <c r="FY6" s="17">
        <v>0.53893999999999997</v>
      </c>
      <c r="FZ6" s="17">
        <v>0.59130000000000005</v>
      </c>
      <c r="GA6" s="17">
        <v>0.55525000000000002</v>
      </c>
      <c r="GB6" s="17">
        <v>0.53568000000000005</v>
      </c>
      <c r="GC6" s="20"/>
      <c r="GD6" s="16" t="s">
        <v>699</v>
      </c>
      <c r="GE6" s="17">
        <v>0.53615999999999997</v>
      </c>
      <c r="GF6" s="17">
        <v>0.55020999999999998</v>
      </c>
      <c r="GG6" s="17">
        <v>0.56040999999999996</v>
      </c>
      <c r="GH6" s="17">
        <v>0.57777000000000001</v>
      </c>
      <c r="GI6" s="17">
        <v>0.55327999999999999</v>
      </c>
      <c r="GJ6" s="17">
        <v>0.55559000000000003</v>
      </c>
      <c r="GK6" s="17">
        <v>0.56715000000000004</v>
      </c>
      <c r="GL6" s="17">
        <v>0.56982999999999995</v>
      </c>
      <c r="GM6" s="17">
        <v>0.58931</v>
      </c>
      <c r="GN6" s="17">
        <v>0.58850999999999998</v>
      </c>
      <c r="GO6" s="17">
        <v>0.58155999999999997</v>
      </c>
      <c r="GP6" s="17">
        <v>0.60150000000000003</v>
      </c>
      <c r="GQ6" s="20"/>
      <c r="GR6" s="16" t="s">
        <v>699</v>
      </c>
      <c r="GS6" s="17">
        <v>0.43778</v>
      </c>
      <c r="GT6" s="17">
        <v>0.42571999999999999</v>
      </c>
      <c r="GU6" s="17">
        <v>0.43290000000000001</v>
      </c>
      <c r="GV6" s="17">
        <v>0.45812999999999998</v>
      </c>
      <c r="GW6" s="17">
        <v>0.50678000000000001</v>
      </c>
      <c r="GX6" s="17">
        <v>0.51380999999999999</v>
      </c>
      <c r="GY6" s="17">
        <v>0.53283999999999998</v>
      </c>
      <c r="GZ6" s="17">
        <v>0.53003</v>
      </c>
      <c r="HA6" s="17">
        <v>0.56218999999999997</v>
      </c>
      <c r="HB6" s="17">
        <v>0.57552000000000003</v>
      </c>
      <c r="HC6" s="17">
        <v>0.57162999999999997</v>
      </c>
      <c r="HD6" s="17">
        <v>0.57298000000000004</v>
      </c>
      <c r="HE6" s="20"/>
      <c r="HF6" s="16" t="s">
        <v>699</v>
      </c>
      <c r="HG6" s="17">
        <v>0.56201999999999996</v>
      </c>
      <c r="HH6" s="17">
        <v>0.59791000000000005</v>
      </c>
      <c r="HI6" s="17">
        <v>0.57238</v>
      </c>
      <c r="HJ6" s="17">
        <v>0.58452000000000004</v>
      </c>
      <c r="HK6" s="17">
        <v>0.60724</v>
      </c>
      <c r="HL6" s="17">
        <v>0.62297999999999998</v>
      </c>
      <c r="HM6" s="17">
        <v>0.64024999999999999</v>
      </c>
      <c r="HN6" s="17">
        <v>0.61417999999999995</v>
      </c>
      <c r="HO6" s="17">
        <v>0.52205999999999997</v>
      </c>
      <c r="HP6" s="17">
        <v>0.47486</v>
      </c>
      <c r="HQ6" s="17">
        <v>0.43786999999999998</v>
      </c>
      <c r="HR6" s="17">
        <v>0.42543999999999998</v>
      </c>
      <c r="HS6" s="20"/>
      <c r="HT6" s="16" t="s">
        <v>699</v>
      </c>
      <c r="HU6" s="17">
        <v>0.46923999999999999</v>
      </c>
      <c r="HV6" s="17">
        <v>0.47360000000000002</v>
      </c>
      <c r="HW6" s="17">
        <v>0.48726999999999998</v>
      </c>
      <c r="HX6" s="17">
        <v>0.49279000000000001</v>
      </c>
      <c r="HY6" s="17">
        <v>0.51361000000000001</v>
      </c>
      <c r="HZ6" s="17">
        <v>0.51956999999999998</v>
      </c>
      <c r="IA6" s="17">
        <v>0.53003</v>
      </c>
      <c r="IB6" s="17">
        <v>0.50839999999999996</v>
      </c>
      <c r="IC6" s="17">
        <v>0.54318</v>
      </c>
      <c r="ID6" s="17">
        <v>0.57116999999999996</v>
      </c>
      <c r="IE6" s="17">
        <v>0.55828</v>
      </c>
      <c r="IF6" s="17">
        <v>0.56249000000000005</v>
      </c>
      <c r="IG6" s="20"/>
      <c r="IH6" s="16" t="s">
        <v>699</v>
      </c>
      <c r="II6" s="17">
        <v>0.45171</v>
      </c>
      <c r="IJ6" s="17">
        <v>0.46511999999999998</v>
      </c>
      <c r="IK6" s="17">
        <v>0.45567999999999997</v>
      </c>
      <c r="IL6" s="17">
        <v>0.47434999999999999</v>
      </c>
      <c r="IM6" s="17">
        <v>0.42753000000000002</v>
      </c>
      <c r="IN6" s="17">
        <v>0.45684999999999998</v>
      </c>
      <c r="IO6" s="17">
        <v>0.45906999999999998</v>
      </c>
      <c r="IP6" s="17">
        <v>0.46959000000000001</v>
      </c>
      <c r="IQ6" s="17">
        <v>0.45956000000000002</v>
      </c>
      <c r="IR6" s="17">
        <v>0.46598000000000001</v>
      </c>
      <c r="IS6" s="17">
        <v>0.46083000000000002</v>
      </c>
      <c r="IT6" s="17">
        <v>0.46838000000000002</v>
      </c>
      <c r="IU6" s="20"/>
      <c r="IV6" s="16" t="s">
        <v>699</v>
      </c>
      <c r="IW6" s="17">
        <v>0.37803999999999999</v>
      </c>
      <c r="IX6" s="17">
        <v>0.37951000000000001</v>
      </c>
      <c r="IY6" s="17">
        <v>0.37364999999999998</v>
      </c>
      <c r="IZ6" s="17">
        <v>0.39595999999999998</v>
      </c>
      <c r="JA6" s="17">
        <v>0.42096</v>
      </c>
      <c r="JB6" s="17">
        <v>0.42570999999999998</v>
      </c>
      <c r="JC6" s="17">
        <v>0.41391</v>
      </c>
      <c r="JD6" s="17">
        <v>0.41893999999999998</v>
      </c>
      <c r="JE6" s="17">
        <v>0.45167000000000002</v>
      </c>
      <c r="JF6" s="17">
        <v>0.44424999999999998</v>
      </c>
      <c r="JG6" s="17">
        <v>0.45707999999999999</v>
      </c>
      <c r="JH6" s="17">
        <v>0.43035000000000001</v>
      </c>
    </row>
    <row r="7" spans="1:268" s="19" customFormat="1" ht="19.8" thickBot="1">
      <c r="A7" s="8" t="s">
        <v>700</v>
      </c>
      <c r="B7" s="16" t="s">
        <v>700</v>
      </c>
      <c r="C7" s="17">
        <v>0.74950000000000006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6" t="s">
        <v>700</v>
      </c>
      <c r="Q7" s="17">
        <v>0.78620000000000001</v>
      </c>
      <c r="R7" s="17">
        <v>0.78849999999999998</v>
      </c>
      <c r="S7" s="17">
        <v>0.80059999999999998</v>
      </c>
      <c r="T7" s="17">
        <v>0.78249999999999997</v>
      </c>
      <c r="U7" s="17">
        <v>0.79069999999999996</v>
      </c>
      <c r="V7" s="17">
        <v>0.77539999999999998</v>
      </c>
      <c r="W7" s="17">
        <v>0.78039999999999998</v>
      </c>
      <c r="X7" s="17">
        <v>0.76370000000000005</v>
      </c>
      <c r="Y7" s="17">
        <v>0.72799999999999998</v>
      </c>
      <c r="Z7" s="17">
        <v>0.73240000000000005</v>
      </c>
      <c r="AA7" s="17">
        <v>0.7379</v>
      </c>
      <c r="AB7" s="17">
        <v>0.73770000000000002</v>
      </c>
      <c r="AC7" s="8"/>
      <c r="AD7" s="16" t="s">
        <v>700</v>
      </c>
      <c r="AE7" s="17">
        <v>0.78269999999999995</v>
      </c>
      <c r="AF7" s="17">
        <v>0.79010000000000002</v>
      </c>
      <c r="AG7" s="17">
        <v>0.79579999999999995</v>
      </c>
      <c r="AH7" s="17">
        <v>0.81310000000000004</v>
      </c>
      <c r="AI7" s="17">
        <v>0.82769999999999999</v>
      </c>
      <c r="AJ7" s="17">
        <v>0.80720000000000003</v>
      </c>
      <c r="AK7" s="17">
        <v>0.80120000000000002</v>
      </c>
      <c r="AL7" s="17">
        <v>0.79139999999999999</v>
      </c>
      <c r="AM7" s="17">
        <v>0.7893</v>
      </c>
      <c r="AN7" s="17">
        <v>0.80679999999999996</v>
      </c>
      <c r="AO7" s="17">
        <v>0.77980000000000005</v>
      </c>
      <c r="AP7" s="17">
        <v>0.79149999999999998</v>
      </c>
      <c r="AQ7" s="8"/>
      <c r="AR7" s="16" t="s">
        <v>700</v>
      </c>
      <c r="AS7" s="17">
        <v>0.75600000000000001</v>
      </c>
      <c r="AT7" s="17">
        <v>0.74470000000000003</v>
      </c>
      <c r="AU7" s="17">
        <v>0.70199999999999996</v>
      </c>
      <c r="AV7" s="17">
        <v>0.72</v>
      </c>
      <c r="AW7" s="17">
        <v>0.72370000000000001</v>
      </c>
      <c r="AX7" s="17">
        <v>0.73429999999999995</v>
      </c>
      <c r="AY7" s="17">
        <v>0.74619999999999997</v>
      </c>
      <c r="AZ7" s="17">
        <v>0.76759999999999995</v>
      </c>
      <c r="BA7" s="17">
        <v>0.74850000000000005</v>
      </c>
      <c r="BB7" s="17">
        <v>0.75</v>
      </c>
      <c r="BC7" s="17">
        <v>0.77180000000000004</v>
      </c>
      <c r="BD7" s="17">
        <v>0.78500000000000003</v>
      </c>
      <c r="BE7" s="8"/>
      <c r="BF7" s="16" t="s">
        <v>700</v>
      </c>
      <c r="BG7" s="17">
        <v>0.76139999999999997</v>
      </c>
      <c r="BH7" s="17">
        <v>0.75900000000000001</v>
      </c>
      <c r="BI7" s="17">
        <v>0.74850000000000005</v>
      </c>
      <c r="BJ7" s="17">
        <v>0.74350000000000005</v>
      </c>
      <c r="BK7" s="17">
        <v>0.73980000000000001</v>
      </c>
      <c r="BL7" s="17">
        <v>0.76529999999999998</v>
      </c>
      <c r="BM7" s="17">
        <v>0.76180000000000003</v>
      </c>
      <c r="BN7" s="17">
        <v>0.75249999999999995</v>
      </c>
      <c r="BO7" s="17">
        <v>0.75539999999999996</v>
      </c>
      <c r="BP7" s="17">
        <v>0.76039999999999996</v>
      </c>
      <c r="BQ7" s="17">
        <v>0.75290000000000001</v>
      </c>
      <c r="BR7" s="17">
        <v>0.77110000000000001</v>
      </c>
      <c r="BS7" s="8"/>
      <c r="BT7" s="16" t="s">
        <v>700</v>
      </c>
      <c r="BU7" s="17">
        <v>0.81510000000000005</v>
      </c>
      <c r="BV7" s="17">
        <v>0.78049999999999997</v>
      </c>
      <c r="BW7" s="17">
        <v>0.77580000000000005</v>
      </c>
      <c r="BX7" s="17">
        <v>0.77980000000000005</v>
      </c>
      <c r="BY7" s="17">
        <v>0.77100000000000002</v>
      </c>
      <c r="BZ7" s="17">
        <v>0.76039999999999996</v>
      </c>
      <c r="CA7" s="17">
        <v>0.76780000000000004</v>
      </c>
      <c r="CB7" s="17">
        <v>0.7671</v>
      </c>
      <c r="CC7" s="17">
        <v>0.77339999999999998</v>
      </c>
      <c r="CD7" s="17">
        <v>0.76139999999999997</v>
      </c>
      <c r="CE7" s="17">
        <v>0.75219999999999998</v>
      </c>
      <c r="CF7" s="17">
        <v>0.73229999999999995</v>
      </c>
      <c r="CG7" s="8"/>
      <c r="CH7" s="16" t="s">
        <v>700</v>
      </c>
      <c r="CI7" s="17">
        <v>0.76690000000000003</v>
      </c>
      <c r="CJ7" s="17">
        <v>0.75529999999999997</v>
      </c>
      <c r="CK7" s="17">
        <v>0.75</v>
      </c>
      <c r="CL7" s="17">
        <v>0.73129999999999995</v>
      </c>
      <c r="CM7" s="17">
        <v>0.74019999999999997</v>
      </c>
      <c r="CN7" s="17">
        <v>0.7702</v>
      </c>
      <c r="CO7" s="17">
        <v>0.7994</v>
      </c>
      <c r="CP7" s="17">
        <v>0.7974</v>
      </c>
      <c r="CQ7" s="17">
        <v>0.79979999999999996</v>
      </c>
      <c r="CR7" s="17">
        <v>0.77610000000000001</v>
      </c>
      <c r="CS7" s="17">
        <v>0.77659999999999996</v>
      </c>
      <c r="CT7" s="17">
        <v>0.79779999999999995</v>
      </c>
      <c r="CU7" s="18"/>
      <c r="CV7" s="18" t="s">
        <v>700</v>
      </c>
      <c r="CW7" s="16" t="s">
        <v>700</v>
      </c>
      <c r="CX7" s="17">
        <v>0.71060000000000001</v>
      </c>
      <c r="CY7" s="17">
        <v>0.73860000000000003</v>
      </c>
      <c r="CZ7" s="17">
        <v>0.77390000000000003</v>
      </c>
      <c r="DA7" s="17">
        <v>0.79849999999999999</v>
      </c>
      <c r="DB7" s="17">
        <v>0.76459999999999995</v>
      </c>
      <c r="DC7" s="17">
        <v>0.77010000000000001</v>
      </c>
      <c r="DD7" s="17">
        <v>0.76619999999999999</v>
      </c>
      <c r="DE7" s="17">
        <v>0.76180000000000003</v>
      </c>
      <c r="DF7" s="17">
        <v>0.76100000000000001</v>
      </c>
      <c r="DG7" s="17">
        <v>0.74560000000000004</v>
      </c>
      <c r="DH7" s="17">
        <v>0.74390000000000001</v>
      </c>
      <c r="DI7" s="17">
        <v>0.74560000000000004</v>
      </c>
      <c r="DK7" s="18" t="s">
        <v>700</v>
      </c>
      <c r="DL7" s="16" t="s">
        <v>700</v>
      </c>
      <c r="DM7" s="17">
        <v>0.78879999999999995</v>
      </c>
      <c r="DN7" s="17">
        <v>0.80089999999999995</v>
      </c>
      <c r="DO7" s="17">
        <v>0.78959999999999997</v>
      </c>
      <c r="DP7" s="17">
        <v>0.8256</v>
      </c>
      <c r="DQ7" s="17">
        <v>0.80149999999999999</v>
      </c>
      <c r="DR7" s="17">
        <v>0.80120000000000002</v>
      </c>
      <c r="DS7" s="17">
        <v>0.76910000000000001</v>
      </c>
      <c r="DT7" s="17">
        <v>0.75139999999999996</v>
      </c>
      <c r="DU7" s="17">
        <v>0.74590000000000001</v>
      </c>
      <c r="DV7" s="17">
        <v>0.76029999999999998</v>
      </c>
      <c r="DW7" s="17">
        <v>0.75090000000000001</v>
      </c>
      <c r="DX7" s="17">
        <v>0.72299999999999998</v>
      </c>
      <c r="DY7" s="20"/>
      <c r="DZ7" s="16" t="s">
        <v>700</v>
      </c>
      <c r="EA7" s="17">
        <v>0.89690000000000003</v>
      </c>
      <c r="EB7" s="17">
        <v>0.90339999999999998</v>
      </c>
      <c r="EC7" s="17">
        <v>0.90600000000000003</v>
      </c>
      <c r="ED7" s="17">
        <v>0.91120000000000001</v>
      </c>
      <c r="EE7" s="17">
        <v>0.92100000000000004</v>
      </c>
      <c r="EF7" s="17">
        <v>0.93889999999999996</v>
      </c>
      <c r="EG7" s="17">
        <v>0.91859999999999997</v>
      </c>
      <c r="EH7" s="17">
        <v>0.92179999999999995</v>
      </c>
      <c r="EI7" s="17">
        <v>0.89490000000000003</v>
      </c>
      <c r="EJ7" s="17">
        <v>0.88360000000000005</v>
      </c>
      <c r="EK7" s="17">
        <v>0.877</v>
      </c>
      <c r="EL7" s="17">
        <v>0.86329999999999996</v>
      </c>
      <c r="EM7" s="20"/>
      <c r="EN7" s="16" t="s">
        <v>700</v>
      </c>
      <c r="EO7" s="17">
        <v>1.0012000000000001</v>
      </c>
      <c r="EP7" s="17">
        <v>0.97289999999999999</v>
      </c>
      <c r="EQ7" s="17">
        <v>0.98360000000000003</v>
      </c>
      <c r="ER7" s="17">
        <v>0.99429999999999996</v>
      </c>
      <c r="ES7" s="17">
        <v>0.96760000000000002</v>
      </c>
      <c r="ET7" s="17">
        <v>0.94799999999999995</v>
      </c>
      <c r="EU7" s="17">
        <v>0.97270000000000001</v>
      </c>
      <c r="EV7" s="17">
        <v>0.94810000000000005</v>
      </c>
      <c r="EW7" s="17">
        <v>0.97289999999999999</v>
      </c>
      <c r="EX7" s="17">
        <v>0.95779999999999998</v>
      </c>
      <c r="EY7" s="17">
        <v>0.9446</v>
      </c>
      <c r="EZ7" s="17">
        <v>0.94120000000000004</v>
      </c>
      <c r="FA7" s="20"/>
      <c r="FB7" s="16" t="s">
        <v>700</v>
      </c>
      <c r="FC7" s="17">
        <v>1.0011000000000001</v>
      </c>
      <c r="FD7" s="17">
        <v>1.0121500000000001</v>
      </c>
      <c r="FE7" s="17">
        <v>1.00261</v>
      </c>
      <c r="FF7" s="17">
        <v>1.0124500000000001</v>
      </c>
      <c r="FG7" s="17">
        <v>0.97002999999999995</v>
      </c>
      <c r="FH7" s="17">
        <v>0.98126000000000002</v>
      </c>
      <c r="FI7" s="17">
        <v>0.99690999999999996</v>
      </c>
      <c r="FJ7" s="17">
        <v>1.0124500000000001</v>
      </c>
      <c r="FK7" s="17">
        <v>1.01678</v>
      </c>
      <c r="FL7" s="17">
        <v>0.99980000000000002</v>
      </c>
      <c r="FM7" s="17">
        <v>1.00604</v>
      </c>
      <c r="FN7" s="17">
        <v>1.0045200000000001</v>
      </c>
      <c r="FO7" s="20"/>
      <c r="FP7" s="16" t="s">
        <v>700</v>
      </c>
      <c r="FQ7" s="17">
        <v>1.0008999999999999</v>
      </c>
      <c r="FR7" s="17">
        <v>1.02722</v>
      </c>
      <c r="FS7" s="17">
        <v>1.0301800000000001</v>
      </c>
      <c r="FT7" s="17">
        <v>1.0477799999999999</v>
      </c>
      <c r="FU7" s="17">
        <v>1.0345500000000001</v>
      </c>
      <c r="FV7" s="17">
        <v>1.0356300000000001</v>
      </c>
      <c r="FW7" s="17">
        <v>1.04559</v>
      </c>
      <c r="FX7" s="17">
        <v>1.02722</v>
      </c>
      <c r="FY7" s="17">
        <v>0.95794999999999997</v>
      </c>
      <c r="FZ7" s="17">
        <v>1.0017</v>
      </c>
      <c r="GA7" s="17">
        <v>0.98580000000000001</v>
      </c>
      <c r="GB7" s="17">
        <v>0.98087000000000002</v>
      </c>
      <c r="GC7" s="20"/>
      <c r="GD7" s="16" t="s">
        <v>700</v>
      </c>
      <c r="GE7" s="17">
        <v>0.93940999999999997</v>
      </c>
      <c r="GF7" s="17">
        <v>0.94598000000000004</v>
      </c>
      <c r="GG7" s="17">
        <v>0.98463999999999996</v>
      </c>
      <c r="GH7" s="17">
        <v>0.98765000000000003</v>
      </c>
      <c r="GI7" s="17">
        <v>0.95355999999999996</v>
      </c>
      <c r="GJ7" s="17">
        <v>0.94135000000000002</v>
      </c>
      <c r="GK7" s="17">
        <v>0.97050000000000003</v>
      </c>
      <c r="GL7" s="17">
        <v>0.93808999999999998</v>
      </c>
      <c r="GM7" s="17">
        <v>0.97333000000000003</v>
      </c>
      <c r="GN7" s="17">
        <v>0.98270000000000002</v>
      </c>
      <c r="GO7" s="17">
        <v>0.97389999999999999</v>
      </c>
      <c r="GP7" s="17">
        <v>1.00634</v>
      </c>
      <c r="GQ7" s="20"/>
      <c r="GR7" s="16" t="s">
        <v>700</v>
      </c>
      <c r="GS7" s="17">
        <v>0.80618999999999996</v>
      </c>
      <c r="GT7" s="17">
        <v>0.78932999999999998</v>
      </c>
      <c r="GU7" s="17">
        <v>0.79346000000000005</v>
      </c>
      <c r="GV7" s="17">
        <v>0.84082999999999997</v>
      </c>
      <c r="GW7" s="17">
        <v>0.91198999999999997</v>
      </c>
      <c r="GX7" s="17">
        <v>0.86124999999999996</v>
      </c>
      <c r="GY7" s="17">
        <v>0.92549999999999999</v>
      </c>
      <c r="GZ7" s="17">
        <v>0.90900999999999998</v>
      </c>
      <c r="HA7" s="17">
        <v>0.93240000000000001</v>
      </c>
      <c r="HB7" s="17">
        <v>0.92798999999999998</v>
      </c>
      <c r="HC7" s="17">
        <v>0.94606999999999997</v>
      </c>
      <c r="HD7" s="17">
        <v>0.95465</v>
      </c>
      <c r="HE7" s="20"/>
      <c r="HF7" s="16" t="s">
        <v>700</v>
      </c>
      <c r="HG7" s="17">
        <v>0.99492999999999998</v>
      </c>
      <c r="HH7" s="17">
        <v>1.02166</v>
      </c>
      <c r="HI7" s="17">
        <v>0.97285999999999995</v>
      </c>
      <c r="HJ7" s="17">
        <v>0.99285000000000001</v>
      </c>
      <c r="HK7" s="17">
        <v>1.00644</v>
      </c>
      <c r="HL7" s="17">
        <v>0.9859</v>
      </c>
      <c r="HM7" s="17">
        <v>0.97531999999999996</v>
      </c>
      <c r="HN7" s="17">
        <v>0.94447000000000003</v>
      </c>
      <c r="HO7" s="17">
        <v>0.94064999999999999</v>
      </c>
      <c r="HP7" s="17">
        <v>0.82169000000000003</v>
      </c>
      <c r="HQ7" s="17">
        <v>0.80522000000000005</v>
      </c>
      <c r="HR7" s="17">
        <v>0.81593000000000004</v>
      </c>
      <c r="HS7" s="20"/>
      <c r="HT7" s="16" t="s">
        <v>700</v>
      </c>
      <c r="HU7" s="17">
        <v>0.84702999999999995</v>
      </c>
      <c r="HV7" s="17">
        <v>0.85309999999999997</v>
      </c>
      <c r="HW7" s="17">
        <v>0.86812999999999996</v>
      </c>
      <c r="HX7" s="17">
        <v>0.90473000000000003</v>
      </c>
      <c r="HY7" s="17">
        <v>0.93537000000000003</v>
      </c>
      <c r="HZ7" s="17">
        <v>0.93913999999999997</v>
      </c>
      <c r="IA7" s="17">
        <v>0.93755999999999995</v>
      </c>
      <c r="IB7" s="17">
        <v>0.94589000000000001</v>
      </c>
      <c r="IC7" s="17">
        <v>0.99509999999999998</v>
      </c>
      <c r="ID7" s="17">
        <v>1.05274</v>
      </c>
      <c r="IE7" s="17">
        <v>1</v>
      </c>
      <c r="IF7" s="17">
        <v>1.0134799999999999</v>
      </c>
      <c r="IG7" s="20"/>
      <c r="IH7" s="16" t="s">
        <v>700</v>
      </c>
      <c r="II7" s="17">
        <v>0.87451000000000001</v>
      </c>
      <c r="IJ7" s="17">
        <v>0.87880999999999998</v>
      </c>
      <c r="IK7" s="17">
        <v>0.85755999999999999</v>
      </c>
      <c r="IL7" s="17">
        <v>0.89237999999999995</v>
      </c>
      <c r="IM7" s="17">
        <v>0.90917000000000003</v>
      </c>
      <c r="IN7" s="17">
        <v>0.89831000000000005</v>
      </c>
      <c r="IO7" s="17">
        <v>0.88534999999999997</v>
      </c>
      <c r="IP7" s="17">
        <v>0.90188000000000001</v>
      </c>
      <c r="IQ7" s="17">
        <v>0.89581999999999995</v>
      </c>
      <c r="IR7" s="17">
        <v>0.89119000000000004</v>
      </c>
      <c r="IS7" s="17">
        <v>0.87573000000000001</v>
      </c>
      <c r="IT7" s="17">
        <v>0.85829999999999995</v>
      </c>
      <c r="IU7" s="20"/>
      <c r="IV7" s="16" t="s">
        <v>700</v>
      </c>
      <c r="IW7" s="17">
        <v>0.80730000000000002</v>
      </c>
      <c r="IX7" s="17">
        <v>0.81267999999999996</v>
      </c>
      <c r="IY7" s="17">
        <v>0.82706000000000002</v>
      </c>
      <c r="IZ7" s="17">
        <v>0.79661999999999999</v>
      </c>
      <c r="JA7" s="17">
        <v>0.79757999999999996</v>
      </c>
      <c r="JB7" s="17">
        <v>0.81633</v>
      </c>
      <c r="JC7" s="17">
        <v>0.81533</v>
      </c>
      <c r="JD7" s="17">
        <v>0.84245999999999999</v>
      </c>
      <c r="JE7" s="17">
        <v>0.86102999999999996</v>
      </c>
      <c r="JF7" s="17">
        <v>0.84824999999999995</v>
      </c>
      <c r="JG7" s="17">
        <v>0.85624</v>
      </c>
      <c r="JH7" s="17">
        <v>0.85668</v>
      </c>
    </row>
    <row r="8" spans="1:268" s="19" customFormat="1" ht="19.8" thickBot="1">
      <c r="A8" s="8" t="s">
        <v>701</v>
      </c>
      <c r="B8" s="16" t="s">
        <v>701</v>
      </c>
      <c r="C8" s="17">
        <v>1.0886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/>
      <c r="P8" s="16" t="s">
        <v>701</v>
      </c>
      <c r="Q8" s="17">
        <v>1.0742</v>
      </c>
      <c r="R8" s="17">
        <v>1.0899000000000001</v>
      </c>
      <c r="S8" s="17">
        <v>1.0868</v>
      </c>
      <c r="T8" s="17">
        <v>1.0304</v>
      </c>
      <c r="U8" s="17">
        <v>1.0431999999999999</v>
      </c>
      <c r="V8" s="17">
        <v>1.0447</v>
      </c>
      <c r="W8" s="17">
        <v>1.0498000000000001</v>
      </c>
      <c r="X8" s="17">
        <v>1.0244</v>
      </c>
      <c r="Y8" s="17">
        <v>1.0165999999999999</v>
      </c>
      <c r="Z8" s="17">
        <v>0.99729999999999996</v>
      </c>
      <c r="AA8" s="17">
        <v>1.0495000000000001</v>
      </c>
      <c r="AB8" s="17">
        <v>1.0806</v>
      </c>
      <c r="AC8" s="8"/>
      <c r="AD8" s="16" t="s">
        <v>701</v>
      </c>
      <c r="AE8" s="17">
        <v>1.1240000000000001</v>
      </c>
      <c r="AF8" s="17">
        <v>1.1045</v>
      </c>
      <c r="AG8" s="17">
        <v>1.0627</v>
      </c>
      <c r="AH8" s="17">
        <v>1.0965</v>
      </c>
      <c r="AI8" s="17">
        <v>1.1119000000000001</v>
      </c>
      <c r="AJ8" s="17">
        <v>1.0817000000000001</v>
      </c>
      <c r="AK8" s="17">
        <v>1.1032999999999999</v>
      </c>
      <c r="AL8" s="17">
        <v>1.0919000000000001</v>
      </c>
      <c r="AM8" s="17">
        <v>1.0719000000000001</v>
      </c>
      <c r="AN8" s="17">
        <v>1.0942000000000001</v>
      </c>
      <c r="AO8" s="17">
        <v>1.081</v>
      </c>
      <c r="AP8" s="17">
        <v>1.0975999999999999</v>
      </c>
      <c r="AQ8" s="8"/>
      <c r="AR8" s="16" t="s">
        <v>701</v>
      </c>
      <c r="AS8" s="17">
        <v>1.0367999999999999</v>
      </c>
      <c r="AT8" s="17">
        <v>1.0335000000000001</v>
      </c>
      <c r="AU8" s="17">
        <v>1.0339</v>
      </c>
      <c r="AV8" s="17">
        <v>1.0356000000000001</v>
      </c>
      <c r="AW8" s="17">
        <v>1.0410999999999999</v>
      </c>
      <c r="AX8" s="17">
        <v>1.0553999999999999</v>
      </c>
      <c r="AY8" s="17">
        <v>1.0995999999999999</v>
      </c>
      <c r="AZ8" s="17">
        <v>1.1107</v>
      </c>
      <c r="BA8" s="17">
        <v>1.0884</v>
      </c>
      <c r="BB8" s="17">
        <v>1.0921000000000001</v>
      </c>
      <c r="BC8" s="17">
        <v>1.1044</v>
      </c>
      <c r="BD8" s="17">
        <v>1.1315</v>
      </c>
      <c r="BE8" s="8"/>
      <c r="BF8" s="16" t="s">
        <v>701</v>
      </c>
      <c r="BG8" s="17">
        <v>1.0084</v>
      </c>
      <c r="BH8" s="17">
        <v>1.0037</v>
      </c>
      <c r="BI8" s="17">
        <v>1.0043</v>
      </c>
      <c r="BJ8" s="17">
        <v>0.98140000000000005</v>
      </c>
      <c r="BK8" s="17">
        <v>0.99450000000000005</v>
      </c>
      <c r="BL8" s="17">
        <v>1.0254000000000001</v>
      </c>
      <c r="BM8" s="17">
        <v>1.0104</v>
      </c>
      <c r="BN8" s="17">
        <v>1.0108999999999999</v>
      </c>
      <c r="BO8" s="17">
        <v>1.0026999999999999</v>
      </c>
      <c r="BP8" s="17">
        <v>1.0128999999999999</v>
      </c>
      <c r="BQ8" s="17">
        <v>1.0005999999999999</v>
      </c>
      <c r="BR8" s="17">
        <v>1.0326</v>
      </c>
      <c r="BS8" s="8"/>
      <c r="BT8" s="16" t="s">
        <v>701</v>
      </c>
      <c r="BU8" s="17">
        <v>1.0757000000000001</v>
      </c>
      <c r="BV8" s="17">
        <v>1.0585</v>
      </c>
      <c r="BW8" s="17">
        <v>1.0485</v>
      </c>
      <c r="BX8" s="17">
        <v>1.0098</v>
      </c>
      <c r="BY8" s="17">
        <v>1.0169999999999999</v>
      </c>
      <c r="BZ8" s="17">
        <v>1.0072000000000001</v>
      </c>
      <c r="CA8" s="17">
        <v>1.0104</v>
      </c>
      <c r="CB8" s="17">
        <v>1.0343</v>
      </c>
      <c r="CC8" s="17">
        <v>1.0236000000000001</v>
      </c>
      <c r="CD8" s="17">
        <v>0.99450000000000005</v>
      </c>
      <c r="CE8" s="17">
        <v>1.0011000000000001</v>
      </c>
      <c r="CF8" s="17">
        <v>1.0148999999999999</v>
      </c>
      <c r="CG8" s="8"/>
      <c r="CH8" s="16" t="s">
        <v>701</v>
      </c>
      <c r="CI8" s="17">
        <v>1.0133000000000001</v>
      </c>
      <c r="CJ8" s="17">
        <v>0.99829999999999997</v>
      </c>
      <c r="CK8" s="17">
        <v>0.99880000000000002</v>
      </c>
      <c r="CL8" s="17">
        <v>1.0047999999999999</v>
      </c>
      <c r="CM8" s="17">
        <v>1.0330999999999999</v>
      </c>
      <c r="CN8" s="17">
        <v>1.044</v>
      </c>
      <c r="CO8" s="17">
        <v>1.0357000000000001</v>
      </c>
      <c r="CP8" s="17">
        <v>1.0401</v>
      </c>
      <c r="CQ8" s="17">
        <v>1.0335000000000001</v>
      </c>
      <c r="CR8" s="17">
        <v>1.0023</v>
      </c>
      <c r="CS8" s="17">
        <v>1.0181</v>
      </c>
      <c r="CT8" s="17">
        <v>1.0259</v>
      </c>
      <c r="CU8" s="18"/>
      <c r="CV8" s="18" t="s">
        <v>701</v>
      </c>
      <c r="CW8" s="16" t="s">
        <v>701</v>
      </c>
      <c r="CX8" s="17">
        <v>0.97660000000000002</v>
      </c>
      <c r="CY8" s="17">
        <v>1.0031000000000001</v>
      </c>
      <c r="CZ8" s="17">
        <v>1.044</v>
      </c>
      <c r="DA8" s="17">
        <v>1.0434000000000001</v>
      </c>
      <c r="DB8" s="17">
        <v>1.0065999999999999</v>
      </c>
      <c r="DC8" s="17">
        <v>1.0267999999999999</v>
      </c>
      <c r="DD8" s="17">
        <v>1.0331999999999999</v>
      </c>
      <c r="DE8" s="17">
        <v>1.0176000000000001</v>
      </c>
      <c r="DF8" s="17">
        <v>1.0309999999999999</v>
      </c>
      <c r="DG8" s="17">
        <v>1.0103</v>
      </c>
      <c r="DH8" s="17">
        <v>0.9819</v>
      </c>
      <c r="DI8" s="17">
        <v>0.98419999999999996</v>
      </c>
      <c r="DK8" s="18" t="s">
        <v>701</v>
      </c>
      <c r="DL8" s="16" t="s">
        <v>701</v>
      </c>
      <c r="DM8" s="17">
        <v>1.087</v>
      </c>
      <c r="DN8" s="17">
        <v>1.0546</v>
      </c>
      <c r="DO8" s="17">
        <v>1.0294000000000001</v>
      </c>
      <c r="DP8" s="17">
        <v>1.0670999999999999</v>
      </c>
      <c r="DQ8" s="17">
        <v>1.0593999999999999</v>
      </c>
      <c r="DR8" s="17">
        <v>1.0691999999999999</v>
      </c>
      <c r="DS8" s="17">
        <v>1.04</v>
      </c>
      <c r="DT8" s="17">
        <v>1.0341</v>
      </c>
      <c r="DU8" s="17">
        <v>1.0236000000000001</v>
      </c>
      <c r="DV8" s="17">
        <v>1.0136000000000001</v>
      </c>
      <c r="DW8" s="17">
        <v>0.97260000000000002</v>
      </c>
      <c r="DX8" s="17">
        <v>0.99980000000000002</v>
      </c>
      <c r="DY8" s="20"/>
      <c r="DZ8" s="16" t="s">
        <v>701</v>
      </c>
      <c r="EA8" s="17">
        <v>1.1040000000000001</v>
      </c>
      <c r="EB8" s="17">
        <v>1.1352</v>
      </c>
      <c r="EC8" s="17">
        <v>1.1322000000000001</v>
      </c>
      <c r="ED8" s="17">
        <v>1.1357999999999999</v>
      </c>
      <c r="EE8" s="17">
        <v>1.1187</v>
      </c>
      <c r="EF8" s="17">
        <v>1.1277999999999999</v>
      </c>
      <c r="EG8" s="17">
        <v>1.0996999999999999</v>
      </c>
      <c r="EH8" s="17">
        <v>1.0918000000000001</v>
      </c>
      <c r="EI8" s="17">
        <v>1.0466</v>
      </c>
      <c r="EJ8" s="17">
        <v>1.0368999999999999</v>
      </c>
      <c r="EK8" s="17">
        <v>1.0378000000000001</v>
      </c>
      <c r="EL8" s="17">
        <v>1.0064</v>
      </c>
      <c r="EM8" s="20"/>
      <c r="EN8" s="16" t="s">
        <v>701</v>
      </c>
      <c r="EO8" s="17">
        <v>1.09842</v>
      </c>
      <c r="EP8" s="17">
        <v>1.0716000000000001</v>
      </c>
      <c r="EQ8" s="17">
        <v>1.0487</v>
      </c>
      <c r="ER8" s="17">
        <v>1.0763</v>
      </c>
      <c r="ES8" s="17">
        <v>1.042</v>
      </c>
      <c r="ET8" s="17">
        <v>1.0569999999999999</v>
      </c>
      <c r="EU8" s="17">
        <v>1.0762</v>
      </c>
      <c r="EV8" s="17">
        <v>1.0724</v>
      </c>
      <c r="EW8" s="17">
        <v>1.1060000000000001</v>
      </c>
      <c r="EX8" s="17">
        <v>1.1049</v>
      </c>
      <c r="EY8" s="17">
        <v>1.1067</v>
      </c>
      <c r="EZ8" s="17">
        <v>1.1246</v>
      </c>
      <c r="FA8" s="20"/>
      <c r="FB8" s="16" t="s">
        <v>701</v>
      </c>
      <c r="FC8" s="17">
        <v>1.0907500000000001</v>
      </c>
      <c r="FD8" s="17">
        <v>1.11632</v>
      </c>
      <c r="FE8" s="17">
        <v>1.1082799999999999</v>
      </c>
      <c r="FF8" s="17">
        <v>1.1012</v>
      </c>
      <c r="FG8" s="17">
        <v>1.03125</v>
      </c>
      <c r="FH8" s="17">
        <v>1.05385</v>
      </c>
      <c r="FI8" s="17">
        <v>1.02302</v>
      </c>
      <c r="FJ8" s="17">
        <v>1.04921</v>
      </c>
      <c r="FK8" s="17">
        <v>1.0661</v>
      </c>
      <c r="FL8" s="17">
        <v>1.07619</v>
      </c>
      <c r="FM8" s="17">
        <v>1.0782799999999999</v>
      </c>
      <c r="FN8" s="17">
        <v>1.09493</v>
      </c>
      <c r="FO8" s="20"/>
      <c r="FP8" s="16" t="s">
        <v>701</v>
      </c>
      <c r="FQ8" s="17">
        <v>1.0651900000000001</v>
      </c>
      <c r="FR8" s="17">
        <v>1.0768899999999999</v>
      </c>
      <c r="FS8" s="17">
        <v>1.0939700000000001</v>
      </c>
      <c r="FT8" s="17">
        <v>1.1541999999999999</v>
      </c>
      <c r="FU8" s="17">
        <v>1.17137</v>
      </c>
      <c r="FV8" s="17">
        <v>1.1868000000000001</v>
      </c>
      <c r="FW8" s="17">
        <v>1.27162</v>
      </c>
      <c r="FX8" s="17">
        <v>1.24116</v>
      </c>
      <c r="FY8" s="17">
        <v>1.1052200000000001</v>
      </c>
      <c r="FZ8" s="17">
        <v>1.1489</v>
      </c>
      <c r="GA8" s="17">
        <v>1.09842</v>
      </c>
      <c r="GB8" s="17">
        <v>1.0664400000000001</v>
      </c>
      <c r="GC8" s="20"/>
      <c r="GD8" s="16" t="s">
        <v>701</v>
      </c>
      <c r="GE8" s="17">
        <v>0.94867999999999997</v>
      </c>
      <c r="GF8" s="17">
        <v>0.93223</v>
      </c>
      <c r="GG8" s="17">
        <v>0.95011999999999996</v>
      </c>
      <c r="GH8" s="17">
        <v>0.92781999999999998</v>
      </c>
      <c r="GI8" s="17">
        <v>0.86587999999999998</v>
      </c>
      <c r="GJ8" s="17">
        <v>0.92739000000000005</v>
      </c>
      <c r="GK8" s="17">
        <v>0.95694000000000001</v>
      </c>
      <c r="GL8" s="17">
        <v>0.98668</v>
      </c>
      <c r="GM8" s="17">
        <v>1.0235399999999999</v>
      </c>
      <c r="GN8" s="17">
        <v>1.01698</v>
      </c>
      <c r="GO8" s="17">
        <v>1.0034099999999999</v>
      </c>
      <c r="GP8" s="17">
        <v>1.0743400000000001</v>
      </c>
      <c r="GQ8" s="20"/>
      <c r="GR8" s="16" t="s">
        <v>701</v>
      </c>
      <c r="GS8" s="17">
        <v>0.86185</v>
      </c>
      <c r="GT8" s="17">
        <v>0.85895999999999995</v>
      </c>
      <c r="GU8" s="17">
        <v>0.87788999999999995</v>
      </c>
      <c r="GV8" s="17">
        <v>0.87849999999999995</v>
      </c>
      <c r="GW8" s="17">
        <v>0.93606999999999996</v>
      </c>
      <c r="GX8" s="17">
        <v>0.91971000000000003</v>
      </c>
      <c r="GY8" s="17">
        <v>0.92927999999999999</v>
      </c>
      <c r="GZ8" s="17">
        <v>0.94616</v>
      </c>
      <c r="HA8" s="17">
        <v>0.96386000000000005</v>
      </c>
      <c r="HB8" s="17">
        <v>0.97618000000000005</v>
      </c>
      <c r="HC8" s="17">
        <v>0.99422999999999995</v>
      </c>
      <c r="HD8" s="17">
        <v>0.96777000000000002</v>
      </c>
      <c r="HE8" s="20"/>
      <c r="HF8" s="16" t="s">
        <v>701</v>
      </c>
      <c r="HG8" s="17">
        <v>0.92293000000000003</v>
      </c>
      <c r="HH8" s="17">
        <v>0.95794999999999997</v>
      </c>
      <c r="HI8" s="17">
        <v>1.00786</v>
      </c>
      <c r="HJ8" s="17">
        <v>0.96006000000000002</v>
      </c>
      <c r="HK8" s="17">
        <v>0.95740000000000003</v>
      </c>
      <c r="HL8" s="17">
        <v>0.98212999999999995</v>
      </c>
      <c r="HM8" s="17">
        <v>0.95428999999999997</v>
      </c>
      <c r="HN8" s="17">
        <v>0.90991999999999995</v>
      </c>
      <c r="HO8" s="17">
        <v>0.89237999999999995</v>
      </c>
      <c r="HP8" s="17">
        <v>0.85992000000000002</v>
      </c>
      <c r="HQ8" s="17">
        <v>0.82284000000000002</v>
      </c>
      <c r="HR8" s="17">
        <v>0.95011999999999996</v>
      </c>
      <c r="HS8" s="20"/>
      <c r="HT8" s="16" t="s">
        <v>701</v>
      </c>
      <c r="HU8" s="17">
        <v>0.80225000000000002</v>
      </c>
      <c r="HV8" s="17">
        <v>0.81879999999999997</v>
      </c>
      <c r="HW8" s="17">
        <v>0.82494999999999996</v>
      </c>
      <c r="HX8" s="17">
        <v>0.82891000000000004</v>
      </c>
      <c r="HY8" s="17">
        <v>0.81579000000000002</v>
      </c>
      <c r="HZ8" s="17">
        <v>0.81638999999999995</v>
      </c>
      <c r="IA8" s="17">
        <v>0.83111999999999997</v>
      </c>
      <c r="IB8" s="17">
        <v>0.82781000000000005</v>
      </c>
      <c r="IC8" s="17">
        <v>0.85660000000000003</v>
      </c>
      <c r="ID8" s="17">
        <v>0.86273999999999995</v>
      </c>
      <c r="IE8" s="17">
        <v>0.88605</v>
      </c>
      <c r="IF8" s="17">
        <v>0.88307999999999998</v>
      </c>
      <c r="IG8" s="20"/>
      <c r="IH8" s="16" t="s">
        <v>701</v>
      </c>
      <c r="II8" s="17">
        <v>0.78039999999999998</v>
      </c>
      <c r="IJ8" s="17">
        <v>0.76185000000000003</v>
      </c>
      <c r="IK8" s="17">
        <v>0.76675000000000004</v>
      </c>
      <c r="IL8" s="17">
        <v>0.80391999999999997</v>
      </c>
      <c r="IM8" s="17">
        <v>0.82257000000000002</v>
      </c>
      <c r="IN8" s="17">
        <v>0.81613000000000002</v>
      </c>
      <c r="IO8" s="17">
        <v>0.81235000000000002</v>
      </c>
      <c r="IP8" s="17">
        <v>0.81128999999999996</v>
      </c>
      <c r="IQ8" s="17">
        <v>0.79757999999999996</v>
      </c>
      <c r="IR8" s="17">
        <v>0.80444000000000004</v>
      </c>
      <c r="IS8" s="17">
        <v>0.83459000000000005</v>
      </c>
      <c r="IT8" s="17">
        <v>0.81852999999999998</v>
      </c>
      <c r="IU8" s="20"/>
      <c r="IV8" s="16" t="s">
        <v>701</v>
      </c>
      <c r="IW8" s="17">
        <v>0.84111000000000002</v>
      </c>
      <c r="IX8" s="17">
        <v>0.86319000000000001</v>
      </c>
      <c r="IY8" s="17">
        <v>0.83696000000000004</v>
      </c>
      <c r="IZ8" s="17">
        <v>0.84075999999999995</v>
      </c>
      <c r="JA8" s="17">
        <v>0.80354000000000003</v>
      </c>
      <c r="JB8" s="17">
        <v>0.77973000000000003</v>
      </c>
      <c r="JC8" s="17">
        <v>0.77747999999999995</v>
      </c>
      <c r="JD8" s="17">
        <v>0.79422000000000004</v>
      </c>
      <c r="JE8" s="17">
        <v>0.77729999999999999</v>
      </c>
      <c r="JF8" s="17">
        <v>0.77441000000000004</v>
      </c>
      <c r="JG8" s="17">
        <v>0.76097999999999999</v>
      </c>
      <c r="JH8" s="17">
        <v>0.75878000000000001</v>
      </c>
    </row>
    <row r="9" spans="1:268" s="19" customFormat="1" ht="19.8" thickBot="1">
      <c r="A9" s="8" t="s">
        <v>702</v>
      </c>
      <c r="B9" s="16" t="s">
        <v>702</v>
      </c>
      <c r="C9" s="17">
        <v>0.14598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8"/>
      <c r="P9" s="16" t="s">
        <v>702</v>
      </c>
      <c r="Q9" s="17">
        <v>0.15065999999999999</v>
      </c>
      <c r="R9" s="17">
        <v>0.15095</v>
      </c>
      <c r="S9" s="17">
        <v>0.14951999999999999</v>
      </c>
      <c r="T9" s="17">
        <v>0.14180000000000001</v>
      </c>
      <c r="U9" s="17">
        <v>0.14398</v>
      </c>
      <c r="V9" s="17">
        <v>0.14055999999999999</v>
      </c>
      <c r="W9" s="17">
        <v>0.13689999999999999</v>
      </c>
      <c r="X9" s="17">
        <v>0.13519999999999999</v>
      </c>
      <c r="Y9" s="17">
        <v>0.13177</v>
      </c>
      <c r="Z9" s="17">
        <v>0.13288</v>
      </c>
      <c r="AA9" s="17">
        <v>0.13847999999999999</v>
      </c>
      <c r="AB9" s="17">
        <v>0.14343</v>
      </c>
      <c r="AC9" s="8"/>
      <c r="AD9" s="16" t="s">
        <v>702</v>
      </c>
      <c r="AE9" s="17">
        <v>0.16331000000000001</v>
      </c>
      <c r="AF9" s="17">
        <v>0.16322</v>
      </c>
      <c r="AG9" s="17">
        <v>0.15805</v>
      </c>
      <c r="AH9" s="17">
        <v>0.16191</v>
      </c>
      <c r="AI9" s="17">
        <v>0.16436999999999999</v>
      </c>
      <c r="AJ9" s="17">
        <v>0.15944</v>
      </c>
      <c r="AK9" s="17">
        <v>0.15939999999999999</v>
      </c>
      <c r="AL9" s="17">
        <v>0.15873000000000001</v>
      </c>
      <c r="AM9" s="17">
        <v>0.15584999999999999</v>
      </c>
      <c r="AN9" s="17">
        <v>0.15556</v>
      </c>
      <c r="AO9" s="17">
        <v>0.15143999999999999</v>
      </c>
      <c r="AP9" s="17">
        <v>0.15290999999999999</v>
      </c>
      <c r="AQ9" s="8"/>
      <c r="AR9" s="16" t="s">
        <v>702</v>
      </c>
      <c r="AS9" s="17">
        <v>0.1484</v>
      </c>
      <c r="AT9" s="17">
        <v>0.14760000000000001</v>
      </c>
      <c r="AU9" s="17">
        <v>0.14702999999999999</v>
      </c>
      <c r="AV9" s="17">
        <v>0.14674999999999999</v>
      </c>
      <c r="AW9" s="17">
        <v>0.14927000000000001</v>
      </c>
      <c r="AX9" s="17">
        <v>0.15065999999999999</v>
      </c>
      <c r="AY9" s="17">
        <v>0.15883</v>
      </c>
      <c r="AZ9" s="17">
        <v>0.16067999999999999</v>
      </c>
      <c r="BA9" s="17">
        <v>0.15754000000000001</v>
      </c>
      <c r="BB9" s="17">
        <v>0.15687000000000001</v>
      </c>
      <c r="BC9" s="17">
        <v>0.16070999999999999</v>
      </c>
      <c r="BD9" s="17">
        <v>0.16436999999999999</v>
      </c>
      <c r="BE9" s="8"/>
      <c r="BF9" s="16" t="s">
        <v>702</v>
      </c>
      <c r="BG9" s="17">
        <v>0.15329999999999999</v>
      </c>
      <c r="BH9" s="17">
        <v>0.1525</v>
      </c>
      <c r="BI9" s="17">
        <v>0.15029999999999999</v>
      </c>
      <c r="BJ9" s="17">
        <v>0.15029999999999999</v>
      </c>
      <c r="BK9" s="17">
        <v>0.14949999999999999</v>
      </c>
      <c r="BL9" s="17">
        <v>0.15229999999999999</v>
      </c>
      <c r="BM9" s="17">
        <v>0.14910000000000001</v>
      </c>
      <c r="BN9" s="17">
        <v>0.1472</v>
      </c>
      <c r="BO9" s="17">
        <v>0.14599999999999999</v>
      </c>
      <c r="BP9" s="17">
        <v>0.1492</v>
      </c>
      <c r="BQ9" s="17">
        <v>0.1474</v>
      </c>
      <c r="BR9" s="17">
        <v>0.1502</v>
      </c>
      <c r="BS9" s="8"/>
      <c r="BT9" s="16" t="s">
        <v>702</v>
      </c>
      <c r="BU9" s="17">
        <v>0.1668</v>
      </c>
      <c r="BV9" s="17">
        <v>0.16389999999999999</v>
      </c>
      <c r="BW9" s="17">
        <v>0.1651</v>
      </c>
      <c r="BX9" s="17">
        <v>0.1623</v>
      </c>
      <c r="BY9" s="17">
        <v>0.15690000000000001</v>
      </c>
      <c r="BZ9" s="17">
        <v>0.15659999999999999</v>
      </c>
      <c r="CA9" s="17">
        <v>0.157</v>
      </c>
      <c r="CB9" s="17">
        <v>0.15559999999999999</v>
      </c>
      <c r="CC9" s="17">
        <v>0.15579999999999999</v>
      </c>
      <c r="CD9" s="17">
        <v>0.15160000000000001</v>
      </c>
      <c r="CE9" s="17">
        <v>0.15160000000000001</v>
      </c>
      <c r="CF9" s="17">
        <v>0.15329999999999999</v>
      </c>
      <c r="CG9" s="8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8"/>
      <c r="CV9" s="18"/>
      <c r="CW9" s="16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K9" s="18"/>
      <c r="DL9" s="16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20"/>
      <c r="DZ9" s="16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20"/>
      <c r="EN9" s="16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20"/>
      <c r="FB9" s="16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20"/>
      <c r="FP9" s="16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20"/>
      <c r="GD9" s="16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20"/>
      <c r="GR9" s="16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20"/>
      <c r="HF9" s="16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20"/>
      <c r="HT9" s="16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20"/>
      <c r="IH9" s="16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20"/>
      <c r="IV9" s="16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</row>
    <row r="10" spans="1:268" s="19" customFormat="1" ht="19.8" thickBot="1">
      <c r="A10" s="8" t="s">
        <v>703</v>
      </c>
      <c r="B10" s="16" t="s">
        <v>703</v>
      </c>
      <c r="C10" s="17">
        <v>1.08595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8"/>
      <c r="P10" s="16" t="s">
        <v>703</v>
      </c>
      <c r="Q10" s="17">
        <v>1.1209499999999999</v>
      </c>
      <c r="R10" s="17">
        <v>1.1228499999999999</v>
      </c>
      <c r="S10" s="17">
        <v>1.11215</v>
      </c>
      <c r="T10" s="17">
        <v>1.0548999999999999</v>
      </c>
      <c r="U10" s="17">
        <v>1.07115</v>
      </c>
      <c r="V10" s="17">
        <v>1.0454000000000001</v>
      </c>
      <c r="W10" s="17">
        <v>1.0192000000000001</v>
      </c>
      <c r="X10" s="17">
        <v>1.0056</v>
      </c>
      <c r="Y10" s="17">
        <v>0.9798</v>
      </c>
      <c r="Z10" s="17">
        <v>0.98885000000000001</v>
      </c>
      <c r="AA10" s="17">
        <v>1.0299499999999999</v>
      </c>
      <c r="AB10" s="17">
        <v>1.0666500000000001</v>
      </c>
      <c r="AC10" s="8"/>
      <c r="AD10" s="16" t="s">
        <v>703</v>
      </c>
      <c r="AE10" s="17">
        <v>1.2145999999999999</v>
      </c>
      <c r="AF10" s="17">
        <v>1.2136499999999999</v>
      </c>
      <c r="AG10" s="17">
        <v>1.1754500000000001</v>
      </c>
      <c r="AH10" s="17">
        <v>1.2040500000000001</v>
      </c>
      <c r="AI10" s="17">
        <v>1.22245</v>
      </c>
      <c r="AJ10" s="17">
        <v>1.1856</v>
      </c>
      <c r="AK10" s="17">
        <v>1.1856500000000001</v>
      </c>
      <c r="AL10" s="17">
        <v>1.18045</v>
      </c>
      <c r="AM10" s="17">
        <v>1.1588499999999999</v>
      </c>
      <c r="AN10" s="17">
        <v>1.1572499999999999</v>
      </c>
      <c r="AO10" s="17">
        <v>1.1262000000000001</v>
      </c>
      <c r="AP10" s="17">
        <v>1.1372500000000001</v>
      </c>
      <c r="AQ10" s="8"/>
      <c r="AR10" s="16" t="s">
        <v>703</v>
      </c>
      <c r="AS10" s="17">
        <v>1.1077999999999999</v>
      </c>
      <c r="AT10" s="17">
        <v>1.0983499999999999</v>
      </c>
      <c r="AU10" s="17">
        <v>1.0972</v>
      </c>
      <c r="AV10" s="17">
        <v>1.0948</v>
      </c>
      <c r="AW10" s="17">
        <v>1.1126</v>
      </c>
      <c r="AX10" s="17">
        <v>1.1228499999999999</v>
      </c>
      <c r="AY10" s="17">
        <v>1.18285</v>
      </c>
      <c r="AZ10" s="17">
        <v>1.1960500000000001</v>
      </c>
      <c r="BA10" s="17">
        <v>1.17275</v>
      </c>
      <c r="BB10" s="17">
        <v>1.1678500000000001</v>
      </c>
      <c r="BC10" s="17">
        <v>1.19635</v>
      </c>
      <c r="BD10" s="17">
        <v>1.2234</v>
      </c>
      <c r="BE10" s="8"/>
      <c r="BF10" s="16" t="s">
        <v>703</v>
      </c>
      <c r="BG10" s="17">
        <v>1.1476</v>
      </c>
      <c r="BH10" s="17">
        <v>1.13855</v>
      </c>
      <c r="BI10" s="17">
        <v>1.1226499999999999</v>
      </c>
      <c r="BJ10" s="17">
        <v>1.1208499999999999</v>
      </c>
      <c r="BK10" s="17">
        <v>1.1146</v>
      </c>
      <c r="BL10" s="17">
        <v>1.1386499999999999</v>
      </c>
      <c r="BM10" s="17">
        <v>1.1134999999999999</v>
      </c>
      <c r="BN10" s="17">
        <v>1.10155</v>
      </c>
      <c r="BO10" s="17">
        <v>1.0902499999999999</v>
      </c>
      <c r="BP10" s="17">
        <v>1.11405</v>
      </c>
      <c r="BQ10" s="17">
        <v>1.1025499999999999</v>
      </c>
      <c r="BR10" s="17">
        <v>1.1225000000000001</v>
      </c>
      <c r="BS10" s="8"/>
      <c r="BT10" s="16" t="s">
        <v>703</v>
      </c>
      <c r="BU10" s="17">
        <v>1.2459</v>
      </c>
      <c r="BV10" s="17">
        <v>1.2198500000000001</v>
      </c>
      <c r="BW10" s="17">
        <v>1.2350000000000001</v>
      </c>
      <c r="BX10" s="17">
        <v>1.2080500000000001</v>
      </c>
      <c r="BY10" s="17">
        <v>1.1673500000000001</v>
      </c>
      <c r="BZ10" s="17">
        <v>1.1674500000000001</v>
      </c>
      <c r="CA10" s="17">
        <v>1.17015</v>
      </c>
      <c r="CB10" s="17">
        <v>1.1636500000000001</v>
      </c>
      <c r="CC10" s="17">
        <v>1.1613</v>
      </c>
      <c r="CD10" s="17">
        <v>1.1318999999999999</v>
      </c>
      <c r="CE10" s="17">
        <v>1.13235</v>
      </c>
      <c r="CF10" s="17">
        <v>1.1434</v>
      </c>
      <c r="CG10" s="8"/>
      <c r="CH10" s="16" t="s">
        <v>703</v>
      </c>
      <c r="CI10" s="17">
        <v>1.0804499999999999</v>
      </c>
      <c r="CJ10" s="17">
        <v>1.0624</v>
      </c>
      <c r="CK10" s="17">
        <v>1.06925</v>
      </c>
      <c r="CL10" s="17">
        <v>1.0889500000000001</v>
      </c>
      <c r="CM10" s="17">
        <v>1.12425</v>
      </c>
      <c r="CN10" s="17">
        <v>1.1403000000000001</v>
      </c>
      <c r="CO10" s="17">
        <v>1.1787000000000001</v>
      </c>
      <c r="CP10" s="17">
        <v>1.18855</v>
      </c>
      <c r="CQ10" s="17">
        <v>1.18215</v>
      </c>
      <c r="CR10" s="17">
        <v>1.1638999999999999</v>
      </c>
      <c r="CS10" s="17">
        <v>1.1920500000000001</v>
      </c>
      <c r="CT10" s="17">
        <v>1.20055</v>
      </c>
      <c r="CU10" s="18"/>
      <c r="CV10" s="18" t="s">
        <v>703</v>
      </c>
      <c r="CW10" s="16" t="s">
        <v>703</v>
      </c>
      <c r="CX10" s="17">
        <v>1.0825</v>
      </c>
      <c r="CY10" s="17">
        <v>1.0867</v>
      </c>
      <c r="CZ10" s="17">
        <v>1.1395</v>
      </c>
      <c r="DA10" s="17">
        <v>1.1451</v>
      </c>
      <c r="DB10" s="17">
        <v>1.1136999999999999</v>
      </c>
      <c r="DC10" s="17">
        <v>1.1114999999999999</v>
      </c>
      <c r="DD10" s="17">
        <v>1.1176999999999999</v>
      </c>
      <c r="DE10" s="17">
        <v>1.1134999999999999</v>
      </c>
      <c r="DF10" s="17">
        <v>1.1234</v>
      </c>
      <c r="DG10" s="17">
        <v>1.0943000000000001</v>
      </c>
      <c r="DH10" s="17">
        <v>1.0608</v>
      </c>
      <c r="DI10" s="17">
        <v>1.0549999999999999</v>
      </c>
      <c r="DK10" s="18" t="s">
        <v>703</v>
      </c>
      <c r="DL10" s="16" t="s">
        <v>703</v>
      </c>
      <c r="DM10" s="17">
        <v>1.1284000000000001</v>
      </c>
      <c r="DN10" s="17">
        <v>1.1215999999999999</v>
      </c>
      <c r="DO10" s="17">
        <v>1.0742</v>
      </c>
      <c r="DP10" s="17">
        <v>1.1201000000000001</v>
      </c>
      <c r="DQ10" s="17">
        <v>1.0962000000000001</v>
      </c>
      <c r="DR10" s="17">
        <v>1.1141000000000001</v>
      </c>
      <c r="DS10" s="17">
        <v>1.1047</v>
      </c>
      <c r="DT10" s="17">
        <v>1.1207</v>
      </c>
      <c r="DU10" s="17">
        <v>1.1165</v>
      </c>
      <c r="DV10" s="17">
        <v>1.1052</v>
      </c>
      <c r="DW10" s="17">
        <v>1.0564</v>
      </c>
      <c r="DX10" s="17">
        <v>1.087</v>
      </c>
      <c r="DY10" s="20"/>
      <c r="DZ10" s="16" t="s">
        <v>703</v>
      </c>
      <c r="EA10" s="17">
        <v>1.3484</v>
      </c>
      <c r="EB10" s="17">
        <v>1.3811</v>
      </c>
      <c r="EC10" s="17">
        <v>1.3783000000000001</v>
      </c>
      <c r="ED10" s="17">
        <v>1.3864000000000001</v>
      </c>
      <c r="EE10" s="17">
        <v>1.3646</v>
      </c>
      <c r="EF10" s="17">
        <v>1.3691</v>
      </c>
      <c r="EG10" s="17">
        <v>1.3381000000000001</v>
      </c>
      <c r="EH10" s="17">
        <v>1.3171999999999999</v>
      </c>
      <c r="EI10" s="17">
        <v>1.2633000000000001</v>
      </c>
      <c r="EJ10" s="17">
        <v>1.2506999999999999</v>
      </c>
      <c r="EK10" s="17">
        <v>1.2465999999999999</v>
      </c>
      <c r="EL10" s="17">
        <v>1.2101</v>
      </c>
      <c r="EM10" s="20"/>
      <c r="EN10" s="16" t="s">
        <v>703</v>
      </c>
      <c r="EO10" s="17">
        <v>1.3573999999999999</v>
      </c>
      <c r="EP10" s="17">
        <v>1.3072999999999999</v>
      </c>
      <c r="EQ10" s="17">
        <v>1.2769999999999999</v>
      </c>
      <c r="ER10" s="17">
        <v>1.3185</v>
      </c>
      <c r="ES10" s="17">
        <v>1.296</v>
      </c>
      <c r="ET10" s="17">
        <v>1.3</v>
      </c>
      <c r="EU10" s="17">
        <v>1.3279000000000001</v>
      </c>
      <c r="EV10" s="17">
        <v>1.3185</v>
      </c>
      <c r="EW10" s="17">
        <v>1.3534999999999999</v>
      </c>
      <c r="EX10" s="17">
        <v>1.3617999999999999</v>
      </c>
      <c r="EY10" s="17">
        <v>1.3614999999999999</v>
      </c>
      <c r="EZ10" s="17">
        <v>1.3779999999999999</v>
      </c>
      <c r="FA10" s="20"/>
      <c r="FB10" s="16" t="s">
        <v>703</v>
      </c>
      <c r="FC10" s="17">
        <v>1.3141</v>
      </c>
      <c r="FD10" s="17">
        <v>1.3454999999999999</v>
      </c>
      <c r="FE10" s="17">
        <v>1.3344</v>
      </c>
      <c r="FF10" s="17">
        <v>1.3229</v>
      </c>
      <c r="FG10" s="17">
        <v>1.2383999999999999</v>
      </c>
      <c r="FH10" s="17">
        <v>1.2669999999999999</v>
      </c>
      <c r="FI10" s="17">
        <v>1.2293000000000001</v>
      </c>
      <c r="FJ10" s="17">
        <v>1.2599</v>
      </c>
      <c r="FK10" s="17">
        <v>1.2895000000000001</v>
      </c>
      <c r="FL10" s="17">
        <v>1.2989999999999999</v>
      </c>
      <c r="FM10" s="17">
        <v>1.2996000000000001</v>
      </c>
      <c r="FN10" s="17">
        <v>1.3218000000000001</v>
      </c>
      <c r="FO10" s="20"/>
      <c r="FP10" s="16" t="s">
        <v>703</v>
      </c>
      <c r="FQ10" s="17">
        <v>1.3716999999999999</v>
      </c>
      <c r="FR10" s="17">
        <v>1.3813</v>
      </c>
      <c r="FS10" s="17">
        <v>1.4181999999999999</v>
      </c>
      <c r="FT10" s="17">
        <v>1.4838</v>
      </c>
      <c r="FU10" s="17">
        <v>1.4408000000000001</v>
      </c>
      <c r="FV10" s="17">
        <v>1.4468000000000001</v>
      </c>
      <c r="FW10" s="17">
        <v>1.4387000000000001</v>
      </c>
      <c r="FX10" s="17">
        <v>1.4440999999999999</v>
      </c>
      <c r="FY10" s="17">
        <v>1.3431999999999999</v>
      </c>
      <c r="FZ10" s="17">
        <v>1.3991</v>
      </c>
      <c r="GA10" s="17">
        <v>1.3480000000000001</v>
      </c>
      <c r="GB10" s="17">
        <v>1.298</v>
      </c>
      <c r="GC10" s="20"/>
      <c r="GD10" s="16" t="s">
        <v>703</v>
      </c>
      <c r="GE10" s="17">
        <v>1.39</v>
      </c>
      <c r="GF10" s="17">
        <v>1.3646</v>
      </c>
      <c r="GG10" s="17">
        <v>1.3524</v>
      </c>
      <c r="GH10" s="17">
        <v>1.3294999999999999</v>
      </c>
      <c r="GI10" s="17">
        <v>1.2264999999999999</v>
      </c>
      <c r="GJ10" s="17">
        <v>1.2244999999999999</v>
      </c>
      <c r="GK10" s="17">
        <v>1.3032999999999999</v>
      </c>
      <c r="GL10" s="17">
        <v>1.2712000000000001</v>
      </c>
      <c r="GM10" s="17">
        <v>1.3646</v>
      </c>
      <c r="GN10" s="17">
        <v>1.39</v>
      </c>
      <c r="GO10" s="17">
        <v>1.3017000000000001</v>
      </c>
      <c r="GP10" s="17">
        <v>1.3411999999999999</v>
      </c>
      <c r="GQ10" s="20"/>
      <c r="GR10" s="16" t="s">
        <v>703</v>
      </c>
      <c r="GS10" s="17">
        <v>1.2815000000000001</v>
      </c>
      <c r="GT10" s="17">
        <v>1.2704</v>
      </c>
      <c r="GU10" s="17">
        <v>1.3261000000000001</v>
      </c>
      <c r="GV10" s="17">
        <v>1.3260000000000001</v>
      </c>
      <c r="GW10" s="17">
        <v>1.4131</v>
      </c>
      <c r="GX10" s="17">
        <v>1.4028</v>
      </c>
      <c r="GY10" s="17">
        <v>1.4175</v>
      </c>
      <c r="GZ10" s="17">
        <v>1.4349000000000001</v>
      </c>
      <c r="HA10" s="17">
        <v>1.4619</v>
      </c>
      <c r="HB10" s="17">
        <v>1.4751000000000001</v>
      </c>
      <c r="HC10" s="17">
        <v>1.4993000000000001</v>
      </c>
      <c r="HD10" s="17">
        <v>1.4347000000000001</v>
      </c>
      <c r="HE10" s="20"/>
      <c r="HF10" s="16" t="s">
        <v>703</v>
      </c>
      <c r="HG10" s="17">
        <v>1.4815</v>
      </c>
      <c r="HH10" s="17">
        <v>1.5178</v>
      </c>
      <c r="HI10" s="17">
        <v>1.58</v>
      </c>
      <c r="HJ10" s="17">
        <v>1.5568</v>
      </c>
      <c r="HK10" s="17">
        <v>1.5537000000000001</v>
      </c>
      <c r="HL10" s="17">
        <v>1.5762</v>
      </c>
      <c r="HM10" s="17">
        <v>1.5598000000000001</v>
      </c>
      <c r="HN10" s="17">
        <v>1.4705999999999999</v>
      </c>
      <c r="HO10" s="17">
        <v>1.4048</v>
      </c>
      <c r="HP10" s="17">
        <v>1.2714000000000001</v>
      </c>
      <c r="HQ10" s="17">
        <v>1.2682</v>
      </c>
      <c r="HR10" s="17">
        <v>1.4139999999999999</v>
      </c>
      <c r="HS10" s="20"/>
      <c r="HT10" s="16" t="s">
        <v>703</v>
      </c>
      <c r="HU10" s="17">
        <v>1.2998000000000001</v>
      </c>
      <c r="HV10" s="17">
        <v>1.3207</v>
      </c>
      <c r="HW10" s="17">
        <v>1.3373999999999999</v>
      </c>
      <c r="HX10" s="17">
        <v>1.3648</v>
      </c>
      <c r="HY10" s="17">
        <v>1.3452</v>
      </c>
      <c r="HZ10" s="17">
        <v>1.351</v>
      </c>
      <c r="IA10" s="17">
        <v>1.3693</v>
      </c>
      <c r="IB10" s="17">
        <v>1.3632</v>
      </c>
      <c r="IC10" s="17">
        <v>1.423</v>
      </c>
      <c r="ID10" s="17">
        <v>1.4463999999999999</v>
      </c>
      <c r="IE10" s="17">
        <v>1.4681</v>
      </c>
      <c r="IF10" s="17">
        <v>1.4611000000000001</v>
      </c>
      <c r="IG10" s="20"/>
      <c r="IH10" s="16" t="s">
        <v>703</v>
      </c>
      <c r="II10" s="17">
        <v>1.2138</v>
      </c>
      <c r="IJ10" s="17">
        <v>1.1913</v>
      </c>
      <c r="IK10" s="17">
        <v>1.2115</v>
      </c>
      <c r="IL10" s="17">
        <v>1.2595000000000001</v>
      </c>
      <c r="IM10" s="17">
        <v>1.2836000000000001</v>
      </c>
      <c r="IN10" s="17">
        <v>1.2773000000000001</v>
      </c>
      <c r="IO10" s="17">
        <v>1.276</v>
      </c>
      <c r="IP10" s="17">
        <v>1.2801</v>
      </c>
      <c r="IQ10" s="17">
        <v>1.2664</v>
      </c>
      <c r="IR10" s="17">
        <v>1.2766999999999999</v>
      </c>
      <c r="IS10" s="17">
        <v>1.3251999999999999</v>
      </c>
      <c r="IT10" s="17">
        <v>1.3165</v>
      </c>
      <c r="IU10" s="20"/>
      <c r="IV10" s="16" t="s">
        <v>703</v>
      </c>
      <c r="IW10" s="17">
        <v>1.3028999999999999</v>
      </c>
      <c r="IX10" s="17">
        <v>1.3267</v>
      </c>
      <c r="IY10" s="17">
        <v>1.2967</v>
      </c>
      <c r="IZ10" s="17">
        <v>1.2924</v>
      </c>
      <c r="JA10" s="17">
        <v>1.2350000000000001</v>
      </c>
      <c r="JB10" s="17">
        <v>1.2085999999999999</v>
      </c>
      <c r="JC10" s="17">
        <v>1.2134</v>
      </c>
      <c r="JD10" s="17">
        <v>1.2287999999999999</v>
      </c>
      <c r="JE10" s="17">
        <v>1.2075</v>
      </c>
      <c r="JF10" s="17">
        <v>1.1976</v>
      </c>
      <c r="JG10" s="17">
        <v>1.1786000000000001</v>
      </c>
      <c r="JH10" s="17">
        <v>1.1791</v>
      </c>
    </row>
    <row r="11" spans="1:268" s="19" customFormat="1" ht="19.8" thickBot="1">
      <c r="A11" s="8" t="s">
        <v>704</v>
      </c>
      <c r="B11" s="16" t="s">
        <v>704</v>
      </c>
      <c r="C11" s="17">
        <v>1.2306999999999999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8"/>
      <c r="P11" s="16" t="s">
        <v>704</v>
      </c>
      <c r="Q11" s="17">
        <v>1.34175</v>
      </c>
      <c r="R11" s="17">
        <v>1.34165</v>
      </c>
      <c r="S11" s="17">
        <v>1.3162499999999999</v>
      </c>
      <c r="T11" s="17">
        <v>1.2557499999999999</v>
      </c>
      <c r="U11" s="17">
        <v>1.2598</v>
      </c>
      <c r="V11" s="17">
        <v>1.21475</v>
      </c>
      <c r="W11" s="17">
        <v>1.2162500000000001</v>
      </c>
      <c r="X11" s="17">
        <v>1.1639999999999999</v>
      </c>
      <c r="Y11" s="17">
        <v>1.1164499999999999</v>
      </c>
      <c r="Z11" s="17">
        <v>1.1499999999999999</v>
      </c>
      <c r="AA11" s="17">
        <v>1.1911499999999999</v>
      </c>
      <c r="AB11" s="17">
        <v>1.2027000000000001</v>
      </c>
      <c r="AC11" s="8"/>
      <c r="AD11" s="16" t="s">
        <v>704</v>
      </c>
      <c r="AE11" s="17">
        <v>1.3728499999999999</v>
      </c>
      <c r="AF11" s="17">
        <v>1.3982000000000001</v>
      </c>
      <c r="AG11" s="17">
        <v>1.38</v>
      </c>
      <c r="AH11" s="17">
        <v>1.3849499999999999</v>
      </c>
      <c r="AI11" s="17">
        <v>1.4209499999999999</v>
      </c>
      <c r="AJ11" s="17">
        <v>1.3815500000000001</v>
      </c>
      <c r="AK11" s="17">
        <v>1.39045</v>
      </c>
      <c r="AL11" s="17">
        <v>1.3764000000000001</v>
      </c>
      <c r="AM11" s="17">
        <v>1.3482000000000001</v>
      </c>
      <c r="AN11" s="17">
        <v>1.3708</v>
      </c>
      <c r="AO11" s="17">
        <v>1.3238000000000001</v>
      </c>
      <c r="AP11" s="17">
        <v>1.3546499999999999</v>
      </c>
      <c r="AQ11" s="8"/>
      <c r="AR11" s="16" t="s">
        <v>704</v>
      </c>
      <c r="AS11" s="17">
        <v>1.3179000000000001</v>
      </c>
      <c r="AT11" s="17">
        <v>1.2774000000000001</v>
      </c>
      <c r="AU11" s="17">
        <v>1.2403999999999999</v>
      </c>
      <c r="AV11" s="17">
        <v>1.26075</v>
      </c>
      <c r="AW11" s="17">
        <v>1.2372000000000001</v>
      </c>
      <c r="AX11" s="17">
        <v>1.2358499999999999</v>
      </c>
      <c r="AY11" s="17">
        <v>1.3126</v>
      </c>
      <c r="AZ11" s="17">
        <v>1.3388500000000001</v>
      </c>
      <c r="BA11" s="17">
        <v>1.29295</v>
      </c>
      <c r="BB11" s="17">
        <v>1.29355</v>
      </c>
      <c r="BC11" s="17">
        <v>1.3347500000000001</v>
      </c>
      <c r="BD11" s="17">
        <v>1.3664000000000001</v>
      </c>
      <c r="BE11" s="8"/>
      <c r="BF11" s="16" t="s">
        <v>704</v>
      </c>
      <c r="BG11" s="17">
        <v>1.31545</v>
      </c>
      <c r="BH11" s="17">
        <v>1.3292999999999999</v>
      </c>
      <c r="BI11" s="17">
        <v>1.3</v>
      </c>
      <c r="BJ11" s="17">
        <v>1.304</v>
      </c>
      <c r="BK11" s="17">
        <v>1.26065</v>
      </c>
      <c r="BL11" s="17">
        <v>1.27275</v>
      </c>
      <c r="BM11" s="17">
        <v>1.2241500000000001</v>
      </c>
      <c r="BN11" s="17">
        <v>1.2181999999999999</v>
      </c>
      <c r="BO11" s="17">
        <v>1.23255</v>
      </c>
      <c r="BP11" s="17">
        <v>1.2932999999999999</v>
      </c>
      <c r="BQ11" s="17">
        <v>1.29325</v>
      </c>
      <c r="BR11" s="17">
        <v>1.3244</v>
      </c>
      <c r="BS11" s="8"/>
      <c r="BT11" s="16" t="s">
        <v>704</v>
      </c>
      <c r="BU11" s="17">
        <v>1.4212</v>
      </c>
      <c r="BV11" s="17">
        <v>1.37805</v>
      </c>
      <c r="BW11" s="17">
        <v>1.4100999999999999</v>
      </c>
      <c r="BX11" s="17">
        <v>1.3773</v>
      </c>
      <c r="BY11" s="17">
        <v>1.3311999999999999</v>
      </c>
      <c r="BZ11" s="17">
        <v>1.3202499999999999</v>
      </c>
      <c r="CA11" s="17">
        <v>1.31155</v>
      </c>
      <c r="CB11" s="17">
        <v>1.2998000000000001</v>
      </c>
      <c r="CC11" s="17">
        <v>1.3038000000000001</v>
      </c>
      <c r="CD11" s="17">
        <v>1.27685</v>
      </c>
      <c r="CE11" s="17">
        <v>1.27545</v>
      </c>
      <c r="CF11" s="17">
        <v>1.2746</v>
      </c>
      <c r="CG11" s="8"/>
      <c r="CH11" s="16" t="s">
        <v>704</v>
      </c>
      <c r="CI11" s="17">
        <v>1.2580499999999999</v>
      </c>
      <c r="CJ11" s="17">
        <v>1.244</v>
      </c>
      <c r="CK11" s="17">
        <v>1.2498</v>
      </c>
      <c r="CL11" s="17">
        <v>1.2934000000000001</v>
      </c>
      <c r="CM11" s="17">
        <v>1.2904</v>
      </c>
      <c r="CN11" s="17">
        <v>1.2982</v>
      </c>
      <c r="CO11" s="17">
        <v>1.31765</v>
      </c>
      <c r="CP11" s="17">
        <v>1.2884</v>
      </c>
      <c r="CQ11" s="17">
        <v>1.3412999999999999</v>
      </c>
      <c r="CR11" s="17">
        <v>1.3244</v>
      </c>
      <c r="CS11" s="17">
        <v>1.35365</v>
      </c>
      <c r="CT11" s="17">
        <v>1.3530500000000001</v>
      </c>
      <c r="CU11" s="18"/>
      <c r="CV11" s="18" t="s">
        <v>704</v>
      </c>
      <c r="CW11" s="16" t="s">
        <v>704</v>
      </c>
      <c r="CX11" s="17">
        <v>1.4194</v>
      </c>
      <c r="CY11" s="17">
        <v>1.3935999999999999</v>
      </c>
      <c r="CZ11" s="17">
        <v>1.4375</v>
      </c>
      <c r="DA11" s="17">
        <v>1.4642999999999999</v>
      </c>
      <c r="DB11" s="17">
        <v>1.4554</v>
      </c>
      <c r="DC11" s="17">
        <v>1.3421000000000001</v>
      </c>
      <c r="DD11" s="17">
        <v>1.3269</v>
      </c>
      <c r="DE11" s="17">
        <v>1.31</v>
      </c>
      <c r="DF11" s="17">
        <v>1.2983</v>
      </c>
      <c r="DG11" s="17">
        <v>1.2155</v>
      </c>
      <c r="DH11" s="17">
        <v>1.2483</v>
      </c>
      <c r="DI11" s="17">
        <v>1.2358</v>
      </c>
      <c r="DK11" s="18" t="s">
        <v>704</v>
      </c>
      <c r="DL11" s="16" t="s">
        <v>704</v>
      </c>
      <c r="DM11" s="17">
        <v>1.5018</v>
      </c>
      <c r="DN11" s="17">
        <v>1.5450999999999999</v>
      </c>
      <c r="DO11" s="17">
        <v>1.4846999999999999</v>
      </c>
      <c r="DP11" s="17">
        <v>1.5367</v>
      </c>
      <c r="DQ11" s="17">
        <v>1.5261</v>
      </c>
      <c r="DR11" s="17">
        <v>1.5729</v>
      </c>
      <c r="DS11" s="17">
        <v>1.5607</v>
      </c>
      <c r="DT11" s="17">
        <v>1.5378000000000001</v>
      </c>
      <c r="DU11" s="17">
        <v>1.5147999999999999</v>
      </c>
      <c r="DV11" s="17">
        <v>1.5390999999999999</v>
      </c>
      <c r="DW11" s="17">
        <v>1.5049999999999999</v>
      </c>
      <c r="DX11" s="17">
        <v>1.4746999999999999</v>
      </c>
      <c r="DY11" s="20"/>
      <c r="DZ11" s="16" t="s">
        <v>704</v>
      </c>
      <c r="EA11" s="17">
        <v>1.6434</v>
      </c>
      <c r="EB11" s="17">
        <v>1.6758</v>
      </c>
      <c r="EC11" s="17">
        <v>1.6673</v>
      </c>
      <c r="ED11" s="17">
        <v>1.6884999999999999</v>
      </c>
      <c r="EE11" s="17">
        <v>1.6774</v>
      </c>
      <c r="EF11" s="17">
        <v>1.7097</v>
      </c>
      <c r="EG11" s="17">
        <v>1.6881999999999999</v>
      </c>
      <c r="EH11" s="17">
        <v>1.6607000000000001</v>
      </c>
      <c r="EI11" s="17">
        <v>1.6212</v>
      </c>
      <c r="EJ11" s="17">
        <v>1.5974999999999999</v>
      </c>
      <c r="EK11" s="17">
        <v>1.5663</v>
      </c>
      <c r="EL11" s="17">
        <v>1.5591999999999999</v>
      </c>
      <c r="EM11" s="20"/>
      <c r="EN11" s="16" t="s">
        <v>704</v>
      </c>
      <c r="EO11" s="17">
        <v>1.5854999999999999</v>
      </c>
      <c r="EP11" s="17">
        <v>1.5179</v>
      </c>
      <c r="EQ11" s="17">
        <v>1.5108999999999999</v>
      </c>
      <c r="ER11" s="17">
        <v>1.5564</v>
      </c>
      <c r="ES11" s="17">
        <v>1.516</v>
      </c>
      <c r="ET11" s="17">
        <v>1.5295000000000001</v>
      </c>
      <c r="EU11" s="17">
        <v>1.5163</v>
      </c>
      <c r="EV11" s="17">
        <v>1.5470999999999999</v>
      </c>
      <c r="EW11" s="17">
        <v>1.6194</v>
      </c>
      <c r="EX11" s="17">
        <v>1.6052999999999999</v>
      </c>
      <c r="EY11" s="17">
        <v>1.6382000000000001</v>
      </c>
      <c r="EZ11" s="17">
        <v>1.6560999999999999</v>
      </c>
      <c r="FA11" s="20"/>
      <c r="FB11" s="16" t="s">
        <v>704</v>
      </c>
      <c r="FC11" s="17">
        <v>1.5782</v>
      </c>
      <c r="FD11" s="17">
        <v>1.5973999999999999</v>
      </c>
      <c r="FE11" s="17">
        <v>1.5983000000000001</v>
      </c>
      <c r="FF11" s="17">
        <v>1.6248</v>
      </c>
      <c r="FG11" s="17">
        <v>1.5447</v>
      </c>
      <c r="FH11" s="17">
        <v>1.5685</v>
      </c>
      <c r="FI11" s="17">
        <v>1.5639000000000001</v>
      </c>
      <c r="FJ11" s="17">
        <v>1.5863</v>
      </c>
      <c r="FK11" s="17">
        <v>1.6145</v>
      </c>
      <c r="FL11" s="17">
        <v>1.6112</v>
      </c>
      <c r="FM11" s="17">
        <v>1.5998000000000001</v>
      </c>
      <c r="FN11" s="17">
        <v>1.6249</v>
      </c>
      <c r="FO11" s="20"/>
      <c r="FP11" s="16" t="s">
        <v>704</v>
      </c>
      <c r="FQ11" s="17">
        <v>1.6021000000000001</v>
      </c>
      <c r="FR11" s="17">
        <v>1.6267</v>
      </c>
      <c r="FS11" s="17">
        <v>1.6045</v>
      </c>
      <c r="FT11" s="17">
        <v>1.6631</v>
      </c>
      <c r="FU11" s="17">
        <v>1.6478999999999999</v>
      </c>
      <c r="FV11" s="17">
        <v>1.6004</v>
      </c>
      <c r="FW11" s="17">
        <v>1.6417999999999999</v>
      </c>
      <c r="FX11" s="17">
        <v>1.6316999999999999</v>
      </c>
      <c r="FY11" s="17">
        <v>1.5562</v>
      </c>
      <c r="FZ11" s="17">
        <v>1.6043000000000001</v>
      </c>
      <c r="GA11" s="17">
        <v>1.5741000000000001</v>
      </c>
      <c r="GB11" s="17">
        <v>1.5541</v>
      </c>
      <c r="GC11" s="20"/>
      <c r="GD11" s="16" t="s">
        <v>704</v>
      </c>
      <c r="GE11" s="17">
        <v>1.6025</v>
      </c>
      <c r="GF11" s="17">
        <v>1.5218</v>
      </c>
      <c r="GG11" s="17">
        <v>1.518</v>
      </c>
      <c r="GH11" s="17">
        <v>1.5315000000000001</v>
      </c>
      <c r="GI11" s="17">
        <v>1.4530000000000001</v>
      </c>
      <c r="GJ11" s="17">
        <v>1.4961</v>
      </c>
      <c r="GK11" s="17">
        <v>1.5667</v>
      </c>
      <c r="GL11" s="17">
        <v>1.5367999999999999</v>
      </c>
      <c r="GM11" s="17">
        <v>1.5751999999999999</v>
      </c>
      <c r="GN11" s="17">
        <v>1.5985</v>
      </c>
      <c r="GO11" s="17">
        <v>1.5570999999999999</v>
      </c>
      <c r="GP11" s="17">
        <v>1.5656000000000001</v>
      </c>
      <c r="GQ11" s="20"/>
      <c r="GR11" s="16" t="s">
        <v>704</v>
      </c>
      <c r="GS11" s="17">
        <v>1.4407000000000001</v>
      </c>
      <c r="GT11" s="17">
        <v>1.4244000000000001</v>
      </c>
      <c r="GU11" s="17">
        <v>1.4306000000000001</v>
      </c>
      <c r="GV11" s="17">
        <v>1.4826999999999999</v>
      </c>
      <c r="GW11" s="17">
        <v>1.6116999999999999</v>
      </c>
      <c r="GX11" s="17">
        <v>1.6466000000000001</v>
      </c>
      <c r="GY11" s="17">
        <v>1.6573</v>
      </c>
      <c r="GZ11" s="17">
        <v>1.6287</v>
      </c>
      <c r="HA11" s="17">
        <v>1.5998000000000001</v>
      </c>
      <c r="HB11" s="17">
        <v>1.6483000000000001</v>
      </c>
      <c r="HC11" s="17">
        <v>1.6411</v>
      </c>
      <c r="HD11" s="17">
        <v>1.6147</v>
      </c>
      <c r="HE11" s="20"/>
      <c r="HF11" s="16" t="s">
        <v>704</v>
      </c>
      <c r="HG11" s="17">
        <v>1.9879</v>
      </c>
      <c r="HH11" s="17">
        <v>1.9883999999999999</v>
      </c>
      <c r="HI11" s="17">
        <v>1.9851000000000001</v>
      </c>
      <c r="HJ11" s="17">
        <v>1.9799</v>
      </c>
      <c r="HK11" s="17">
        <v>1.976</v>
      </c>
      <c r="HL11" s="17">
        <v>1.9908999999999999</v>
      </c>
      <c r="HM11" s="17">
        <v>1.9806999999999999</v>
      </c>
      <c r="HN11" s="17">
        <v>1.8248</v>
      </c>
      <c r="HO11" s="17">
        <v>1.7818000000000001</v>
      </c>
      <c r="HP11" s="17">
        <v>1.6183000000000001</v>
      </c>
      <c r="HQ11" s="17">
        <v>1.5317000000000001</v>
      </c>
      <c r="HR11" s="17">
        <v>1.4426000000000001</v>
      </c>
      <c r="HS11" s="20"/>
      <c r="HT11" s="16" t="s">
        <v>704</v>
      </c>
      <c r="HU11" s="17">
        <v>1.9578</v>
      </c>
      <c r="HV11" s="17">
        <v>1.9593</v>
      </c>
      <c r="HW11" s="17">
        <v>1.9689000000000001</v>
      </c>
      <c r="HX11" s="17">
        <v>1.9998</v>
      </c>
      <c r="HY11" s="17">
        <v>1.9774</v>
      </c>
      <c r="HZ11" s="17">
        <v>2.0057</v>
      </c>
      <c r="IA11" s="17">
        <v>2.0320999999999998</v>
      </c>
      <c r="IB11" s="17">
        <v>2.0165000000000002</v>
      </c>
      <c r="IC11" s="17">
        <v>2.0375999999999999</v>
      </c>
      <c r="ID11" s="17">
        <v>2.077</v>
      </c>
      <c r="IE11" s="17">
        <v>2.0546000000000002</v>
      </c>
      <c r="IF11" s="17">
        <v>1.9884999999999999</v>
      </c>
      <c r="IG11" s="20"/>
      <c r="IH11" s="16" t="s">
        <v>704</v>
      </c>
      <c r="II11" s="17">
        <v>1.7773000000000001</v>
      </c>
      <c r="IJ11" s="17">
        <v>1.7514000000000001</v>
      </c>
      <c r="IK11" s="17">
        <v>1.7373000000000001</v>
      </c>
      <c r="IL11" s="17">
        <v>1.8173999999999999</v>
      </c>
      <c r="IM11" s="17">
        <v>1.8714</v>
      </c>
      <c r="IN11" s="17">
        <v>1.8486</v>
      </c>
      <c r="IO11" s="17">
        <v>1.8664000000000001</v>
      </c>
      <c r="IP11" s="17">
        <v>1.9025000000000001</v>
      </c>
      <c r="IQ11" s="17">
        <v>1.8666</v>
      </c>
      <c r="IR11" s="17">
        <v>1.9081999999999999</v>
      </c>
      <c r="IS11" s="17">
        <v>1.9664999999999999</v>
      </c>
      <c r="IT11" s="17">
        <v>1.9581</v>
      </c>
      <c r="IU11" s="20"/>
      <c r="IV11" s="16" t="s">
        <v>704</v>
      </c>
      <c r="IW11" s="17">
        <v>1.8861000000000001</v>
      </c>
      <c r="IX11" s="17">
        <v>1.9255</v>
      </c>
      <c r="IY11" s="17">
        <v>1.8886000000000001</v>
      </c>
      <c r="IZ11" s="17">
        <v>1.9109</v>
      </c>
      <c r="JA11" s="17">
        <v>1.8228</v>
      </c>
      <c r="JB11" s="17">
        <v>1.7921</v>
      </c>
      <c r="JC11" s="17">
        <v>1.7579</v>
      </c>
      <c r="JD11" s="17">
        <v>1.7965</v>
      </c>
      <c r="JE11" s="17">
        <v>1.7726</v>
      </c>
      <c r="JF11" s="17">
        <v>1.7695000000000001</v>
      </c>
      <c r="JG11" s="17">
        <v>1.7323</v>
      </c>
      <c r="JH11" s="17">
        <v>1.7188000000000001</v>
      </c>
    </row>
    <row r="12" spans="1:268" s="19" customFormat="1" ht="19.8" thickBot="1">
      <c r="A12" s="8"/>
      <c r="B12" s="16" t="s">
        <v>812</v>
      </c>
      <c r="C12" s="17">
        <v>0.12758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8"/>
      <c r="AD12" s="16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8"/>
      <c r="AR12" s="16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8"/>
      <c r="BF12" s="16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8"/>
      <c r="BT12" s="16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8"/>
      <c r="CH12" s="16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8"/>
      <c r="CV12" s="18"/>
      <c r="CW12" s="16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K12" s="18"/>
      <c r="DL12" s="16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20"/>
      <c r="DZ12" s="16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20"/>
      <c r="EN12" s="16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20"/>
      <c r="FB12" s="16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20"/>
      <c r="FP12" s="16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20"/>
      <c r="GD12" s="16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20"/>
      <c r="GR12" s="16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20"/>
      <c r="HF12" s="16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20"/>
      <c r="HT12" s="16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20"/>
      <c r="IH12" s="16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20"/>
      <c r="IV12" s="16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</row>
    <row r="13" spans="1:268" s="19" customFormat="1" ht="19.8" thickBot="1">
      <c r="A13" s="8" t="s">
        <v>705</v>
      </c>
      <c r="B13" s="16" t="s">
        <v>705</v>
      </c>
      <c r="C13" s="17">
        <v>7.6899999999999998E-3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16" t="s">
        <v>705</v>
      </c>
      <c r="Q13" s="17">
        <v>8.6800000000000002E-3</v>
      </c>
      <c r="R13" s="17">
        <v>8.6800000000000002E-3</v>
      </c>
      <c r="S13" s="17">
        <v>8.2400000000000008E-3</v>
      </c>
      <c r="T13" s="17">
        <v>7.7200000000000003E-3</v>
      </c>
      <c r="U13" s="17">
        <v>7.77E-3</v>
      </c>
      <c r="V13" s="17">
        <v>7.3600000000000002E-3</v>
      </c>
      <c r="W13" s="17">
        <v>7.4799999999999997E-3</v>
      </c>
      <c r="X13" s="17">
        <v>7.2199999999999999E-3</v>
      </c>
      <c r="Y13" s="17">
        <v>6.9100000000000003E-3</v>
      </c>
      <c r="Z13" s="17">
        <v>6.7200000000000003E-3</v>
      </c>
      <c r="AA13" s="17">
        <v>7.1700000000000002E-3</v>
      </c>
      <c r="AB13" s="17">
        <v>7.5700000000000003E-3</v>
      </c>
      <c r="AC13" s="8"/>
      <c r="AD13" s="16" t="s">
        <v>705</v>
      </c>
      <c r="AE13" s="17">
        <v>9.5499999999999995E-3</v>
      </c>
      <c r="AF13" s="17">
        <v>9.3799999999999994E-3</v>
      </c>
      <c r="AG13" s="17">
        <v>9.0500000000000008E-3</v>
      </c>
      <c r="AH13" s="17">
        <v>9.1500000000000001E-3</v>
      </c>
      <c r="AI13" s="17">
        <v>9.1400000000000006E-3</v>
      </c>
      <c r="AJ13" s="17">
        <v>9.0100000000000006E-3</v>
      </c>
      <c r="AK13" s="17">
        <v>9.11E-3</v>
      </c>
      <c r="AL13" s="17">
        <v>9.11E-3</v>
      </c>
      <c r="AM13" s="17">
        <v>8.9599999999999992E-3</v>
      </c>
      <c r="AN13" s="17">
        <v>8.77E-3</v>
      </c>
      <c r="AO13" s="17">
        <v>8.8100000000000001E-3</v>
      </c>
      <c r="AP13" s="17">
        <v>8.6899999999999998E-3</v>
      </c>
      <c r="AQ13" s="8"/>
      <c r="AR13" s="16" t="s">
        <v>705</v>
      </c>
      <c r="AS13" s="17">
        <v>9.2200000000000008E-3</v>
      </c>
      <c r="AT13" s="17">
        <v>9.2700000000000005E-3</v>
      </c>
      <c r="AU13" s="17">
        <v>7.4000000000000003E-3</v>
      </c>
      <c r="AV13" s="17">
        <v>9.3500000000000007E-3</v>
      </c>
      <c r="AW13" s="17">
        <v>9.2899999999999996E-3</v>
      </c>
      <c r="AX13" s="17">
        <v>9.2700000000000005E-3</v>
      </c>
      <c r="AY13" s="17">
        <v>9.4599999999999997E-3</v>
      </c>
      <c r="AZ13" s="17">
        <v>9.4299999999999991E-3</v>
      </c>
      <c r="BA13" s="17">
        <v>9.4800000000000006E-3</v>
      </c>
      <c r="BB13" s="17">
        <v>9.5499999999999995E-3</v>
      </c>
      <c r="BC13" s="17">
        <v>9.5899999999999996E-3</v>
      </c>
      <c r="BD13" s="17">
        <v>9.6900000000000007E-3</v>
      </c>
      <c r="BE13" s="8"/>
      <c r="BF13" s="16" t="s">
        <v>705</v>
      </c>
      <c r="BG13" s="17">
        <v>9.1900000000000003E-3</v>
      </c>
      <c r="BH13" s="17">
        <v>8.9800000000000001E-3</v>
      </c>
      <c r="BI13" s="17">
        <v>9.0200000000000002E-3</v>
      </c>
      <c r="BJ13" s="17">
        <v>8.9800000000000001E-3</v>
      </c>
      <c r="BK13" s="17">
        <v>9.2099999999999994E-3</v>
      </c>
      <c r="BL13" s="17">
        <v>9.2899999999999996E-3</v>
      </c>
      <c r="BM13" s="17">
        <v>9.2099999999999994E-3</v>
      </c>
      <c r="BN13" s="17">
        <v>9.4199999999999996E-3</v>
      </c>
      <c r="BO13" s="17">
        <v>9.2499999999999995E-3</v>
      </c>
      <c r="BP13" s="17">
        <v>9.2399999999999999E-3</v>
      </c>
      <c r="BQ13" s="17">
        <v>9.1299999999999992E-3</v>
      </c>
      <c r="BR13" s="17">
        <v>9.1999999999999998E-3</v>
      </c>
      <c r="BS13" s="8"/>
      <c r="BT13" s="16" t="s">
        <v>705</v>
      </c>
      <c r="BU13" s="17">
        <v>9.1599999999999997E-3</v>
      </c>
      <c r="BV13" s="17">
        <v>9.3699999999999999E-3</v>
      </c>
      <c r="BW13" s="17">
        <v>9.4199999999999996E-3</v>
      </c>
      <c r="BX13" s="17">
        <v>9.1400000000000006E-3</v>
      </c>
      <c r="BY13" s="17">
        <v>9.2099999999999994E-3</v>
      </c>
      <c r="BZ13" s="17">
        <v>9.0299999999999998E-3</v>
      </c>
      <c r="CA13" s="17">
        <v>8.94E-3</v>
      </c>
      <c r="CB13" s="17">
        <v>9.0200000000000002E-3</v>
      </c>
      <c r="CC13" s="17">
        <v>8.8000000000000005E-3</v>
      </c>
      <c r="CD13" s="17">
        <v>8.8400000000000006E-3</v>
      </c>
      <c r="CE13" s="17">
        <v>7.9000000000000008E-3</v>
      </c>
      <c r="CF13" s="17">
        <v>9.11E-3</v>
      </c>
      <c r="CG13" s="8"/>
      <c r="CH13" s="16" t="s">
        <v>705</v>
      </c>
      <c r="CI13" s="17">
        <v>8.8900000000000003E-3</v>
      </c>
      <c r="CJ13" s="17">
        <v>8.94E-3</v>
      </c>
      <c r="CK13" s="17">
        <v>8.9700000000000005E-3</v>
      </c>
      <c r="CL13" s="17">
        <v>8.9700000000000005E-3</v>
      </c>
      <c r="CM13" s="17">
        <v>9.0399999999999994E-3</v>
      </c>
      <c r="CN13" s="17">
        <v>8.8999999999999999E-3</v>
      </c>
      <c r="CO13" s="17">
        <v>9.0500000000000008E-3</v>
      </c>
      <c r="CP13" s="17">
        <v>9.0900000000000009E-3</v>
      </c>
      <c r="CQ13" s="17">
        <v>8.8900000000000003E-3</v>
      </c>
      <c r="CR13" s="17">
        <v>8.8199999999999997E-3</v>
      </c>
      <c r="CS13" s="17">
        <v>8.94E-3</v>
      </c>
      <c r="CT13" s="17">
        <v>8.8800000000000007E-3</v>
      </c>
      <c r="CU13" s="18"/>
      <c r="CV13" s="18" t="s">
        <v>705</v>
      </c>
      <c r="CW13" s="16" t="s">
        <v>705</v>
      </c>
      <c r="CX13" s="17">
        <v>8.26E-3</v>
      </c>
      <c r="CY13" s="17">
        <v>8.8599999999999998E-3</v>
      </c>
      <c r="CZ13" s="17">
        <v>8.8999999999999999E-3</v>
      </c>
      <c r="DA13" s="17">
        <v>9.3399999999999993E-3</v>
      </c>
      <c r="DB13" s="17">
        <v>9.0200000000000002E-3</v>
      </c>
      <c r="DC13" s="17">
        <v>9.7400000000000004E-3</v>
      </c>
      <c r="DD13" s="17">
        <v>9.75E-3</v>
      </c>
      <c r="DE13" s="17">
        <v>9.6699999999999998E-3</v>
      </c>
      <c r="DF13" s="17">
        <v>9.8700000000000003E-3</v>
      </c>
      <c r="DG13" s="17">
        <v>9.5200000000000007E-3</v>
      </c>
      <c r="DH13" s="17">
        <v>8.7799999999999996E-3</v>
      </c>
      <c r="DI13" s="17">
        <v>8.5800000000000008E-3</v>
      </c>
      <c r="DK13" s="18" t="s">
        <v>705</v>
      </c>
      <c r="DL13" s="16" t="s">
        <v>705</v>
      </c>
      <c r="DM13" s="17">
        <v>8.5100000000000002E-3</v>
      </c>
      <c r="DN13" s="17">
        <v>8.3700000000000007E-3</v>
      </c>
      <c r="DO13" s="17">
        <v>8.3400000000000002E-3</v>
      </c>
      <c r="DP13" s="17">
        <v>8.3599999999999994E-3</v>
      </c>
      <c r="DQ13" s="17">
        <v>8.0599999999999995E-3</v>
      </c>
      <c r="DR13" s="17">
        <v>8.1700000000000002E-3</v>
      </c>
      <c r="DS13" s="17">
        <v>8.0700000000000008E-3</v>
      </c>
      <c r="DT13" s="17">
        <v>8.2500000000000004E-3</v>
      </c>
      <c r="DU13" s="17">
        <v>8.3499999999999998E-3</v>
      </c>
      <c r="DV13" s="17">
        <v>8.3000000000000001E-3</v>
      </c>
      <c r="DW13" s="17">
        <v>8.1099999999999992E-3</v>
      </c>
      <c r="DX13" s="17">
        <v>8.3199999999999993E-3</v>
      </c>
      <c r="DY13" s="20"/>
      <c r="DZ13" s="16" t="s">
        <v>705</v>
      </c>
      <c r="EA13" s="17">
        <v>9.8099999999999993E-3</v>
      </c>
      <c r="EB13" s="17">
        <v>9.7999999999999997E-3</v>
      </c>
      <c r="EC13" s="17">
        <v>9.7099999999999999E-3</v>
      </c>
      <c r="ED13" s="17">
        <v>9.7900000000000001E-3</v>
      </c>
      <c r="EE13" s="17">
        <v>9.8300000000000002E-3</v>
      </c>
      <c r="EF13" s="17">
        <v>9.8700000000000003E-3</v>
      </c>
      <c r="EG13" s="17">
        <v>9.7300000000000008E-3</v>
      </c>
      <c r="EH13" s="17">
        <v>9.6299999999999997E-3</v>
      </c>
      <c r="EI13" s="17">
        <v>9.1199999999999996E-3</v>
      </c>
      <c r="EJ13" s="17">
        <v>8.9099999999999995E-3</v>
      </c>
      <c r="EK13" s="17">
        <v>8.43E-3</v>
      </c>
      <c r="EL13" s="17">
        <v>8.3400000000000002E-3</v>
      </c>
      <c r="EM13" s="20"/>
      <c r="EN13" s="16" t="s">
        <v>705</v>
      </c>
      <c r="EO13" s="17">
        <v>1.0959999999999999E-2</v>
      </c>
      <c r="EP13" s="17">
        <v>1.0840000000000001E-2</v>
      </c>
      <c r="EQ13" s="17">
        <v>1.061E-2</v>
      </c>
      <c r="ER13" s="17">
        <v>1.027E-2</v>
      </c>
      <c r="ES13" s="17">
        <v>9.9100000000000004E-3</v>
      </c>
      <c r="ET13" s="17">
        <v>1.0070000000000001E-2</v>
      </c>
      <c r="EU13" s="17">
        <v>1.017E-2</v>
      </c>
      <c r="EV13" s="17">
        <v>1.0189999999999999E-2</v>
      </c>
      <c r="EW13" s="17">
        <v>1.0189999999999999E-2</v>
      </c>
      <c r="EX13" s="17">
        <v>1.017E-2</v>
      </c>
      <c r="EY13" s="17">
        <v>9.7699999999999992E-3</v>
      </c>
      <c r="EZ13" s="17">
        <v>9.5200000000000007E-3</v>
      </c>
      <c r="FA13" s="20"/>
      <c r="FB13" s="16" t="s">
        <v>705</v>
      </c>
      <c r="FC13" s="17">
        <v>1.312E-2</v>
      </c>
      <c r="FD13" s="17">
        <v>1.243E-2</v>
      </c>
      <c r="FE13" s="17">
        <v>1.2160000000000001E-2</v>
      </c>
      <c r="FF13" s="17">
        <v>1.251E-2</v>
      </c>
      <c r="FG13" s="17">
        <v>1.274E-2</v>
      </c>
      <c r="FH13" s="17">
        <v>1.257E-2</v>
      </c>
      <c r="FI13" s="17">
        <v>1.278E-2</v>
      </c>
      <c r="FJ13" s="17">
        <v>1.2760000000000001E-2</v>
      </c>
      <c r="FK13" s="17">
        <v>1.286E-2</v>
      </c>
      <c r="FL13" s="17">
        <v>1.252E-2</v>
      </c>
      <c r="FM13" s="17">
        <v>1.2120000000000001E-2</v>
      </c>
      <c r="FN13" s="17">
        <v>1.158E-2</v>
      </c>
      <c r="FO13" s="20"/>
      <c r="FP13" s="16" t="s">
        <v>705</v>
      </c>
      <c r="FQ13" s="17">
        <v>1.2200000000000001E-2</v>
      </c>
      <c r="FR13" s="17">
        <v>1.221E-2</v>
      </c>
      <c r="FS13" s="17">
        <v>1.2070000000000001E-2</v>
      </c>
      <c r="FT13" s="17">
        <v>1.2279999999999999E-2</v>
      </c>
      <c r="FU13" s="17">
        <v>1.2279999999999999E-2</v>
      </c>
      <c r="FV13" s="17">
        <v>1.2409999999999999E-2</v>
      </c>
      <c r="FW13" s="17">
        <v>1.298E-2</v>
      </c>
      <c r="FX13" s="17">
        <v>1.304E-2</v>
      </c>
      <c r="FY13" s="17">
        <v>1.302E-2</v>
      </c>
      <c r="FZ13" s="17">
        <v>1.282E-2</v>
      </c>
      <c r="GA13" s="17">
        <v>1.29E-2</v>
      </c>
      <c r="GB13" s="17">
        <v>1.2959999999999999E-2</v>
      </c>
      <c r="GC13" s="20"/>
      <c r="GD13" s="16" t="s">
        <v>705</v>
      </c>
      <c r="GE13" s="17">
        <v>1.103E-2</v>
      </c>
      <c r="GF13" s="17">
        <v>1.125E-2</v>
      </c>
      <c r="GG13" s="17">
        <v>1.0710000000000001E-2</v>
      </c>
      <c r="GH13" s="17">
        <v>1.064E-2</v>
      </c>
      <c r="GI13" s="17">
        <v>1.098E-2</v>
      </c>
      <c r="GJ13" s="17">
        <v>1.1299999999999999E-2</v>
      </c>
      <c r="GK13" s="17">
        <v>1.154E-2</v>
      </c>
      <c r="GL13" s="17">
        <v>1.191E-2</v>
      </c>
      <c r="GM13" s="17">
        <v>1.1979999999999999E-2</v>
      </c>
      <c r="GN13" s="17">
        <v>1.2409999999999999E-2</v>
      </c>
      <c r="GO13" s="17">
        <v>1.1939999999999999E-2</v>
      </c>
      <c r="GP13" s="17">
        <v>1.235E-2</v>
      </c>
      <c r="GQ13" s="20"/>
      <c r="GR13" s="16" t="s">
        <v>705</v>
      </c>
      <c r="GS13" s="17">
        <v>1.1140000000000001E-2</v>
      </c>
      <c r="GT13" s="17">
        <v>1.023E-2</v>
      </c>
      <c r="GU13" s="17">
        <v>1.009E-2</v>
      </c>
      <c r="GV13" s="17">
        <v>1.0160000000000001E-2</v>
      </c>
      <c r="GW13" s="17">
        <v>1.0460000000000001E-2</v>
      </c>
      <c r="GX13" s="17">
        <v>1.0370000000000001E-2</v>
      </c>
      <c r="GY13" s="17">
        <v>1.0500000000000001E-2</v>
      </c>
      <c r="GZ13" s="17">
        <v>1.0789999999999999E-2</v>
      </c>
      <c r="HA13" s="17">
        <v>1.116E-2</v>
      </c>
      <c r="HB13" s="17">
        <v>1.1050000000000001E-2</v>
      </c>
      <c r="HC13" s="17">
        <v>1.1599999999999999E-2</v>
      </c>
      <c r="HD13" s="17">
        <v>1.0749999999999999E-2</v>
      </c>
      <c r="HE13" s="20"/>
      <c r="HF13" s="16" t="s">
        <v>705</v>
      </c>
      <c r="HG13" s="17">
        <v>9.41E-3</v>
      </c>
      <c r="HH13" s="17">
        <v>9.6100000000000005E-3</v>
      </c>
      <c r="HI13" s="17">
        <v>1.001E-2</v>
      </c>
      <c r="HJ13" s="17">
        <v>9.5700000000000004E-3</v>
      </c>
      <c r="HK13" s="17">
        <v>9.4699999999999993E-3</v>
      </c>
      <c r="HL13" s="17">
        <v>9.4400000000000005E-3</v>
      </c>
      <c r="HM13" s="17">
        <v>9.2499999999999995E-3</v>
      </c>
      <c r="HN13" s="17">
        <v>9.2099999999999994E-3</v>
      </c>
      <c r="HO13" s="17">
        <v>9.4199999999999996E-3</v>
      </c>
      <c r="HP13" s="17">
        <v>1.017E-2</v>
      </c>
      <c r="HQ13" s="17">
        <v>1.0500000000000001E-2</v>
      </c>
      <c r="HR13" s="17">
        <v>1.1089999999999999E-2</v>
      </c>
      <c r="HS13" s="20"/>
      <c r="HT13" s="16" t="s">
        <v>705</v>
      </c>
      <c r="HU13" s="17">
        <v>8.2699999999999996E-3</v>
      </c>
      <c r="HV13" s="17">
        <v>8.4399999999999996E-3</v>
      </c>
      <c r="HW13" s="17">
        <v>8.5100000000000002E-3</v>
      </c>
      <c r="HX13" s="17">
        <v>8.3700000000000007E-3</v>
      </c>
      <c r="HY13" s="17">
        <v>8.2100000000000003E-3</v>
      </c>
      <c r="HZ13" s="17">
        <v>8.0999999999999996E-3</v>
      </c>
      <c r="IA13" s="17">
        <v>8.3999999999999995E-3</v>
      </c>
      <c r="IB13" s="17">
        <v>8.6300000000000005E-3</v>
      </c>
      <c r="IC13" s="17">
        <v>8.6999999999999994E-3</v>
      </c>
      <c r="ID13" s="17">
        <v>8.6700000000000006E-3</v>
      </c>
      <c r="IE13" s="17">
        <v>8.9999999999999993E-3</v>
      </c>
      <c r="IF13" s="17">
        <v>8.9499999999999996E-3</v>
      </c>
      <c r="IG13" s="20"/>
      <c r="IH13" s="16" t="s">
        <v>705</v>
      </c>
      <c r="II13" s="17">
        <v>8.5400000000000007E-3</v>
      </c>
      <c r="IJ13" s="17">
        <v>8.6300000000000005E-3</v>
      </c>
      <c r="IK13" s="17">
        <v>8.5000000000000006E-3</v>
      </c>
      <c r="IL13" s="17">
        <v>8.7600000000000004E-3</v>
      </c>
      <c r="IM13" s="17">
        <v>8.8999999999999999E-3</v>
      </c>
      <c r="IN13" s="17">
        <v>8.7500000000000008E-3</v>
      </c>
      <c r="IO13" s="17">
        <v>8.7399999999999995E-3</v>
      </c>
      <c r="IP13" s="17">
        <v>8.5299999999999994E-3</v>
      </c>
      <c r="IQ13" s="17">
        <v>8.4700000000000001E-3</v>
      </c>
      <c r="IR13" s="17">
        <v>8.5400000000000007E-3</v>
      </c>
      <c r="IS13" s="17">
        <v>8.6499999999999997E-3</v>
      </c>
      <c r="IT13" s="17">
        <v>8.3899999999999999E-3</v>
      </c>
      <c r="IU13" s="20"/>
      <c r="IV13" s="16" t="s">
        <v>705</v>
      </c>
      <c r="IW13" s="17">
        <v>9.6600000000000002E-3</v>
      </c>
      <c r="IX13" s="17">
        <v>9.5999999999999992E-3</v>
      </c>
      <c r="IY13" s="17">
        <v>9.3299999999999998E-3</v>
      </c>
      <c r="IZ13" s="17">
        <v>9.5399999999999999E-3</v>
      </c>
      <c r="JA13" s="17">
        <v>9.2800000000000001E-3</v>
      </c>
      <c r="JB13" s="17">
        <v>9.0200000000000002E-3</v>
      </c>
      <c r="JC13" s="17">
        <v>8.9099999999999995E-3</v>
      </c>
      <c r="JD13" s="17">
        <v>8.9999999999999993E-3</v>
      </c>
      <c r="JE13" s="17">
        <v>8.8500000000000002E-3</v>
      </c>
      <c r="JF13" s="17">
        <v>8.5900000000000004E-3</v>
      </c>
      <c r="JG13" s="17">
        <v>8.3700000000000007E-3</v>
      </c>
      <c r="JH13" s="17">
        <v>8.4799999999999997E-3</v>
      </c>
    </row>
    <row r="14" spans="1:268" s="19" customFormat="1" ht="19.8" thickBot="1">
      <c r="A14" s="8" t="s">
        <v>706</v>
      </c>
      <c r="B14" s="16" t="s">
        <v>706</v>
      </c>
      <c r="C14" s="17">
        <v>0.10009999999999999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8"/>
      <c r="P14" s="16" t="s">
        <v>706</v>
      </c>
      <c r="Q14" s="17">
        <v>0.11210000000000001</v>
      </c>
      <c r="R14" s="17">
        <v>0.1137</v>
      </c>
      <c r="S14" s="17">
        <v>0.1143</v>
      </c>
      <c r="T14" s="17">
        <v>0.1074</v>
      </c>
      <c r="U14" s="17">
        <v>0.10639999999999999</v>
      </c>
      <c r="V14" s="17">
        <v>0.1012</v>
      </c>
      <c r="W14" s="17">
        <v>0.10340000000000001</v>
      </c>
      <c r="X14" s="17">
        <v>0.1008</v>
      </c>
      <c r="Y14" s="17">
        <v>9.1800000000000007E-2</v>
      </c>
      <c r="Z14" s="17">
        <v>9.6100000000000005E-2</v>
      </c>
      <c r="AA14" s="17">
        <v>0.1004</v>
      </c>
      <c r="AB14" s="17">
        <v>0.1014</v>
      </c>
      <c r="AC14" s="8"/>
      <c r="AD14" s="16" t="s">
        <v>706</v>
      </c>
      <c r="AE14" s="17">
        <v>0.1169</v>
      </c>
      <c r="AF14" s="17">
        <v>0.1162</v>
      </c>
      <c r="AG14" s="17">
        <v>0.1172</v>
      </c>
      <c r="AH14" s="17">
        <v>0.12039999999999999</v>
      </c>
      <c r="AI14" s="17">
        <v>0.1202</v>
      </c>
      <c r="AJ14" s="17">
        <v>0.1162</v>
      </c>
      <c r="AK14" s="17">
        <v>0.1132</v>
      </c>
      <c r="AL14" s="17">
        <v>0.1149</v>
      </c>
      <c r="AM14" s="17">
        <v>0.1145</v>
      </c>
      <c r="AN14" s="17">
        <v>0.1182</v>
      </c>
      <c r="AO14" s="17">
        <v>0.10979999999999999</v>
      </c>
      <c r="AP14" s="17">
        <v>0.1134</v>
      </c>
      <c r="AQ14" s="8"/>
      <c r="AR14" s="16" t="s">
        <v>706</v>
      </c>
      <c r="AS14" s="17">
        <v>0.10879999999999999</v>
      </c>
      <c r="AT14" s="17">
        <v>0.1061</v>
      </c>
      <c r="AU14" s="17">
        <v>9.5100000000000004E-2</v>
      </c>
      <c r="AV14" s="17">
        <v>9.7799999999999998E-2</v>
      </c>
      <c r="AW14" s="17">
        <v>0.10290000000000001</v>
      </c>
      <c r="AX14" s="17">
        <v>0.1036</v>
      </c>
      <c r="AY14" s="17">
        <v>0.1101</v>
      </c>
      <c r="AZ14" s="17">
        <v>0.1152</v>
      </c>
      <c r="BA14" s="17">
        <v>0.1069</v>
      </c>
      <c r="BB14" s="17">
        <v>0.105</v>
      </c>
      <c r="BC14" s="17">
        <v>0.1129</v>
      </c>
      <c r="BD14" s="17">
        <v>0.1168</v>
      </c>
      <c r="BE14" s="8"/>
      <c r="BF14" s="16" t="s">
        <v>706</v>
      </c>
      <c r="BG14" s="17">
        <v>0.11849999999999999</v>
      </c>
      <c r="BH14" s="17">
        <v>0.1169</v>
      </c>
      <c r="BI14" s="17">
        <v>0.11609999999999999</v>
      </c>
      <c r="BJ14" s="17">
        <v>0.11600000000000001</v>
      </c>
      <c r="BK14" s="17">
        <v>0.1142</v>
      </c>
      <c r="BL14" s="17">
        <v>0.1172</v>
      </c>
      <c r="BM14" s="17">
        <v>0.114</v>
      </c>
      <c r="BN14" s="17">
        <v>0.1096</v>
      </c>
      <c r="BO14" s="17">
        <v>0.1099</v>
      </c>
      <c r="BP14" s="17">
        <v>0.1087</v>
      </c>
      <c r="BQ14" s="17">
        <v>0.1085</v>
      </c>
      <c r="BR14" s="17">
        <v>0.1139</v>
      </c>
      <c r="BS14" s="8"/>
      <c r="BT14" s="16" t="s">
        <v>706</v>
      </c>
      <c r="BU14" s="17">
        <v>0.12970000000000001</v>
      </c>
      <c r="BV14" s="17">
        <v>0.12670000000000001</v>
      </c>
      <c r="BW14" s="17">
        <v>0.12690000000000001</v>
      </c>
      <c r="BX14" s="17">
        <v>0.1249</v>
      </c>
      <c r="BY14" s="17">
        <v>0.1222</v>
      </c>
      <c r="BZ14" s="17">
        <v>0.1225</v>
      </c>
      <c r="CA14" s="17">
        <v>0.1227</v>
      </c>
      <c r="CB14" s="17">
        <v>0.1192</v>
      </c>
      <c r="CC14" s="17">
        <v>0.1229</v>
      </c>
      <c r="CD14" s="17">
        <v>0.11849999999999999</v>
      </c>
      <c r="CE14" s="17">
        <v>0.1163</v>
      </c>
      <c r="CF14" s="17">
        <v>0.11550000000000001</v>
      </c>
      <c r="CG14" s="8"/>
      <c r="CH14" s="16" t="s">
        <v>706</v>
      </c>
      <c r="CI14" s="17">
        <v>0.1212</v>
      </c>
      <c r="CJ14" s="17">
        <v>0.11940000000000001</v>
      </c>
      <c r="CK14" s="17">
        <v>0.11650000000000001</v>
      </c>
      <c r="CL14" s="17">
        <v>0.1167</v>
      </c>
      <c r="CM14" s="17">
        <v>0.11840000000000001</v>
      </c>
      <c r="CN14" s="17">
        <v>0.11940000000000001</v>
      </c>
      <c r="CO14" s="17">
        <v>0.1265</v>
      </c>
      <c r="CP14" s="17">
        <v>0.12859999999999999</v>
      </c>
      <c r="CQ14" s="17">
        <v>0.1255</v>
      </c>
      <c r="CR14" s="17">
        <v>0.12230000000000001</v>
      </c>
      <c r="CS14" s="17">
        <v>0.1205</v>
      </c>
      <c r="CT14" s="17">
        <v>0.1221</v>
      </c>
      <c r="CU14" s="18"/>
      <c r="CV14" s="18" t="s">
        <v>706</v>
      </c>
      <c r="CW14" s="16" t="s">
        <v>706</v>
      </c>
      <c r="CX14" s="17">
        <v>0.1149</v>
      </c>
      <c r="CY14" s="17">
        <v>0.115</v>
      </c>
      <c r="CZ14" s="17">
        <v>0.12089999999999999</v>
      </c>
      <c r="DA14" s="17">
        <v>0.12379999999999999</v>
      </c>
      <c r="DB14" s="17">
        <v>0.1196</v>
      </c>
      <c r="DC14" s="17">
        <v>0.11890000000000001</v>
      </c>
      <c r="DD14" s="17">
        <v>0.11849999999999999</v>
      </c>
      <c r="DE14" s="17">
        <v>0.12</v>
      </c>
      <c r="DF14" s="17">
        <v>0.12520000000000001</v>
      </c>
      <c r="DG14" s="17">
        <v>0.121</v>
      </c>
      <c r="DH14" s="17">
        <v>0.1174</v>
      </c>
      <c r="DI14" s="17">
        <v>0.1158</v>
      </c>
      <c r="DK14" s="18" t="s">
        <v>706</v>
      </c>
      <c r="DL14" s="16" t="s">
        <v>706</v>
      </c>
      <c r="DM14" s="17">
        <v>0.12920000000000001</v>
      </c>
      <c r="DN14" s="17">
        <v>0.13059999999999999</v>
      </c>
      <c r="DO14" s="17">
        <v>0.1242</v>
      </c>
      <c r="DP14" s="17">
        <v>0.13220000000000001</v>
      </c>
      <c r="DQ14" s="17">
        <v>0.12870000000000001</v>
      </c>
      <c r="DR14" s="17">
        <v>0.1275</v>
      </c>
      <c r="DS14" s="17">
        <v>0.1226</v>
      </c>
      <c r="DT14" s="17">
        <v>0.1205</v>
      </c>
      <c r="DU14" s="17">
        <v>0.1173</v>
      </c>
      <c r="DV14" s="17">
        <v>0.1177</v>
      </c>
      <c r="DW14" s="17">
        <v>0.11509999999999999</v>
      </c>
      <c r="DX14" s="17">
        <v>0.1128</v>
      </c>
      <c r="DY14" s="20"/>
      <c r="DZ14" s="16" t="s">
        <v>706</v>
      </c>
      <c r="EA14" s="17">
        <v>0.1593</v>
      </c>
      <c r="EB14" s="17">
        <v>0.1668</v>
      </c>
      <c r="EC14" s="17">
        <v>0.16700000000000001</v>
      </c>
      <c r="ED14" s="17">
        <v>0.16819999999999999</v>
      </c>
      <c r="EE14" s="17">
        <v>0.1673</v>
      </c>
      <c r="EF14" s="17">
        <v>0.16300000000000001</v>
      </c>
      <c r="EG14" s="17">
        <v>0.159</v>
      </c>
      <c r="EH14" s="17">
        <v>0.16159999999999999</v>
      </c>
      <c r="EI14" s="17">
        <v>0.15559999999999999</v>
      </c>
      <c r="EJ14" s="17">
        <v>0.14810000000000001</v>
      </c>
      <c r="EK14" s="17">
        <v>0.14249999999999999</v>
      </c>
      <c r="EL14" s="17">
        <v>0.13339999999999999</v>
      </c>
      <c r="EM14" s="20"/>
      <c r="EN14" s="16" t="s">
        <v>706</v>
      </c>
      <c r="EO14" s="17">
        <v>0.18257000000000001</v>
      </c>
      <c r="EP14" s="17">
        <v>0.17449999999999999</v>
      </c>
      <c r="EQ14" s="17">
        <v>0.17069999999999999</v>
      </c>
      <c r="ER14" s="17">
        <v>0.17319999999999999</v>
      </c>
      <c r="ES14" s="17">
        <v>0.17</v>
      </c>
      <c r="ET14" s="17">
        <v>0.16450000000000001</v>
      </c>
      <c r="EU14" s="17">
        <v>0.1691</v>
      </c>
      <c r="EV14" s="17">
        <v>0.16309999999999999</v>
      </c>
      <c r="EW14" s="17">
        <v>0.16619999999999999</v>
      </c>
      <c r="EX14" s="17">
        <v>0.16800000000000001</v>
      </c>
      <c r="EY14" s="17">
        <v>0.16309999999999999</v>
      </c>
      <c r="EZ14" s="17">
        <v>0.1648</v>
      </c>
      <c r="FA14" s="20"/>
      <c r="FB14" s="16" t="s">
        <v>706</v>
      </c>
      <c r="FC14" s="17">
        <v>0.17155999999999999</v>
      </c>
      <c r="FD14" s="17">
        <v>0.18054999999999999</v>
      </c>
      <c r="FE14" s="17">
        <v>0.17569000000000001</v>
      </c>
      <c r="FF14" s="17">
        <v>0.17441999999999999</v>
      </c>
      <c r="FG14" s="17">
        <v>0.16364000000000001</v>
      </c>
      <c r="FH14" s="17">
        <v>0.16788</v>
      </c>
      <c r="FI14" s="17">
        <v>0.16563</v>
      </c>
      <c r="FJ14" s="17">
        <v>0.17249999999999999</v>
      </c>
      <c r="FK14" s="17">
        <v>0.17438999999999999</v>
      </c>
      <c r="FL14" s="17">
        <v>0.17527000000000001</v>
      </c>
      <c r="FM14" s="17">
        <v>0.17641999999999999</v>
      </c>
      <c r="FN14" s="17">
        <v>0.17988999999999999</v>
      </c>
      <c r="FO14" s="20"/>
      <c r="FP14" s="16" t="s">
        <v>706</v>
      </c>
      <c r="FQ14" s="17">
        <v>0.17354</v>
      </c>
      <c r="FR14" s="17">
        <v>0.17938000000000001</v>
      </c>
      <c r="FS14" s="17">
        <v>0.18093999999999999</v>
      </c>
      <c r="FT14" s="17">
        <v>0.19072</v>
      </c>
      <c r="FU14" s="17">
        <v>0.18562999999999999</v>
      </c>
      <c r="FV14" s="17">
        <v>0.18622</v>
      </c>
      <c r="FW14" s="17">
        <v>0.18468999999999999</v>
      </c>
      <c r="FX14" s="17">
        <v>0.18673000000000001</v>
      </c>
      <c r="FY14" s="17">
        <v>0.17083999999999999</v>
      </c>
      <c r="FZ14" s="17">
        <v>0.18207999999999999</v>
      </c>
      <c r="GA14" s="17">
        <v>0.17357</v>
      </c>
      <c r="GB14" s="17">
        <v>0.16724</v>
      </c>
      <c r="GC14" s="20"/>
      <c r="GD14" s="16" t="s">
        <v>706</v>
      </c>
      <c r="GE14" s="17">
        <v>0.16986000000000001</v>
      </c>
      <c r="GF14" s="17">
        <v>0.16846</v>
      </c>
      <c r="GG14" s="17">
        <v>0.16841999999999999</v>
      </c>
      <c r="GH14" s="17">
        <v>0.16927</v>
      </c>
      <c r="GI14" s="17">
        <v>0.15517</v>
      </c>
      <c r="GJ14" s="17">
        <v>0.15390999999999999</v>
      </c>
      <c r="GK14" s="17">
        <v>0.16350000000000001</v>
      </c>
      <c r="GL14" s="17">
        <v>0.15876000000000001</v>
      </c>
      <c r="GM14" s="17">
        <v>0.17088</v>
      </c>
      <c r="GN14" s="17">
        <v>0.17008000000000001</v>
      </c>
      <c r="GO14" s="17">
        <v>0.16109000000000001</v>
      </c>
      <c r="GP14" s="17">
        <v>0.17122000000000001</v>
      </c>
      <c r="GQ14" s="20"/>
      <c r="GR14" s="16" t="s">
        <v>706</v>
      </c>
      <c r="GS14" s="17">
        <v>0.14584</v>
      </c>
      <c r="GT14" s="17">
        <v>0.14427999999999999</v>
      </c>
      <c r="GU14" s="17">
        <v>0.14599000000000001</v>
      </c>
      <c r="GV14" s="17">
        <v>0.15153</v>
      </c>
      <c r="GW14" s="17">
        <v>0.15876999999999999</v>
      </c>
      <c r="GX14" s="17">
        <v>0.15557000000000001</v>
      </c>
      <c r="GY14" s="17">
        <v>0.16217999999999999</v>
      </c>
      <c r="GZ14" s="17">
        <v>0.16572999999999999</v>
      </c>
      <c r="HA14" s="17">
        <v>0.17255000000000001</v>
      </c>
      <c r="HB14" s="17">
        <v>0.17604</v>
      </c>
      <c r="HC14" s="17">
        <v>0.17593</v>
      </c>
      <c r="HD14" s="17">
        <v>0.17357</v>
      </c>
      <c r="HE14" s="20"/>
      <c r="HF14" s="16" t="s">
        <v>706</v>
      </c>
      <c r="HG14" s="17">
        <v>0.18357999999999999</v>
      </c>
      <c r="HH14" s="17">
        <v>0.19338</v>
      </c>
      <c r="HI14" s="17">
        <v>0.19663</v>
      </c>
      <c r="HJ14" s="17">
        <v>0.19464999999999999</v>
      </c>
      <c r="HK14" s="17">
        <v>0.19650000000000001</v>
      </c>
      <c r="HL14" s="17">
        <v>0.19727</v>
      </c>
      <c r="HM14" s="17">
        <v>0.19420000000000001</v>
      </c>
      <c r="HN14" s="17">
        <v>0.18557000000000001</v>
      </c>
      <c r="HO14" s="17">
        <v>0.17263999999999999</v>
      </c>
      <c r="HP14" s="17">
        <v>0.15110999999999999</v>
      </c>
      <c r="HQ14" s="17">
        <v>0.14388000000000001</v>
      </c>
      <c r="HR14" s="17">
        <v>0.14288999999999999</v>
      </c>
      <c r="HS14" s="20"/>
      <c r="HT14" s="16" t="s">
        <v>706</v>
      </c>
      <c r="HU14" s="17">
        <v>0.15917000000000001</v>
      </c>
      <c r="HV14" s="17">
        <v>0.16359000000000001</v>
      </c>
      <c r="HW14" s="17">
        <v>0.16424</v>
      </c>
      <c r="HX14" s="17">
        <v>0.16767000000000001</v>
      </c>
      <c r="HY14" s="17">
        <v>0.16470000000000001</v>
      </c>
      <c r="HZ14" s="17">
        <v>0.16936000000000001</v>
      </c>
      <c r="IA14" s="17">
        <v>0.17086999999999999</v>
      </c>
      <c r="IB14" s="17">
        <v>0.17172000000000001</v>
      </c>
      <c r="IC14" s="17">
        <v>0.18318999999999999</v>
      </c>
      <c r="ID14" s="17">
        <v>0.18704999999999999</v>
      </c>
      <c r="IE14" s="17">
        <v>0.18171000000000001</v>
      </c>
      <c r="IF14" s="17">
        <v>0.18475</v>
      </c>
      <c r="IG14" s="20"/>
      <c r="IH14" s="16" t="s">
        <v>706</v>
      </c>
      <c r="II14" s="17">
        <v>0.15001999999999999</v>
      </c>
      <c r="IJ14" s="17">
        <v>0.14751</v>
      </c>
      <c r="IK14" s="17">
        <v>0.15223</v>
      </c>
      <c r="IL14" s="17">
        <v>0.16098999999999999</v>
      </c>
      <c r="IM14" s="17">
        <v>0.16456999999999999</v>
      </c>
      <c r="IN14" s="17">
        <v>0.15848000000000001</v>
      </c>
      <c r="IO14" s="17">
        <v>0.16144</v>
      </c>
      <c r="IP14" s="17">
        <v>0.15820000000000001</v>
      </c>
      <c r="IQ14" s="17">
        <v>0.15465999999999999</v>
      </c>
      <c r="IR14" s="17">
        <v>0.15232999999999999</v>
      </c>
      <c r="IS14" s="17">
        <v>0.15981000000000001</v>
      </c>
      <c r="IT14" s="17">
        <v>0.15939999999999999</v>
      </c>
      <c r="IU14" s="20"/>
      <c r="IV14" s="16" t="s">
        <v>706</v>
      </c>
      <c r="IW14" s="17">
        <v>0.15790000000000001</v>
      </c>
      <c r="IX14" s="17">
        <v>0.15998000000000001</v>
      </c>
      <c r="IY14" s="17">
        <v>0.15819</v>
      </c>
      <c r="IZ14" s="17">
        <v>0.15842999999999999</v>
      </c>
      <c r="JA14" s="17">
        <v>0.15626000000000001</v>
      </c>
      <c r="JB14" s="17">
        <v>0.15281</v>
      </c>
      <c r="JC14" s="17">
        <v>0.15325</v>
      </c>
      <c r="JD14" s="17">
        <v>0.15390000000000001</v>
      </c>
      <c r="JE14" s="17">
        <v>0.15322</v>
      </c>
      <c r="JF14" s="17">
        <v>0.15401999999999999</v>
      </c>
      <c r="JG14" s="17">
        <v>0.14859</v>
      </c>
      <c r="JH14" s="17">
        <v>0.14768999999999999</v>
      </c>
    </row>
    <row r="15" spans="1:268" s="19" customFormat="1" ht="19.8" thickBot="1">
      <c r="A15" s="8" t="s">
        <v>707</v>
      </c>
      <c r="B15" s="16" t="s">
        <v>707</v>
      </c>
      <c r="C15" s="17">
        <v>0.64605000000000001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8"/>
      <c r="P15" s="16" t="s">
        <v>707</v>
      </c>
      <c r="Q15" s="17">
        <v>0.65685000000000004</v>
      </c>
      <c r="R15" s="17">
        <v>0.67664999999999997</v>
      </c>
      <c r="S15" s="17">
        <v>0.69535000000000002</v>
      </c>
      <c r="T15" s="17">
        <v>0.64915</v>
      </c>
      <c r="U15" s="17">
        <v>0.65080000000000005</v>
      </c>
      <c r="V15" s="17">
        <v>0.62195</v>
      </c>
      <c r="W15" s="17">
        <v>0.62670000000000003</v>
      </c>
      <c r="X15" s="17">
        <v>0.61309999999999998</v>
      </c>
      <c r="Y15" s="17">
        <v>0.56574999999999998</v>
      </c>
      <c r="Z15" s="17">
        <v>0.57830000000000004</v>
      </c>
      <c r="AA15" s="17">
        <v>0.62109999999999999</v>
      </c>
      <c r="AB15" s="17">
        <v>0.63229999999999997</v>
      </c>
      <c r="AC15" s="8"/>
      <c r="AD15" s="16" t="s">
        <v>707</v>
      </c>
      <c r="AE15" s="17">
        <v>0.72055000000000002</v>
      </c>
      <c r="AF15" s="17">
        <v>0.72735000000000005</v>
      </c>
      <c r="AG15" s="17">
        <v>0.70055000000000001</v>
      </c>
      <c r="AH15" s="17">
        <v>0.71765000000000001</v>
      </c>
      <c r="AI15" s="17">
        <v>0.72785</v>
      </c>
      <c r="AJ15" s="17">
        <v>0.69874999999999998</v>
      </c>
      <c r="AK15" s="17">
        <v>0.69779999999999998</v>
      </c>
      <c r="AL15" s="17">
        <v>0.70384999999999998</v>
      </c>
      <c r="AM15" s="17">
        <v>0.68984999999999996</v>
      </c>
      <c r="AN15" s="17">
        <v>0.71560000000000001</v>
      </c>
      <c r="AO15" s="17">
        <v>0.67889999999999995</v>
      </c>
      <c r="AP15" s="17">
        <v>0.68454999999999999</v>
      </c>
      <c r="AQ15" s="8"/>
      <c r="AR15" s="16" t="s">
        <v>707</v>
      </c>
      <c r="AS15" s="17">
        <v>0.64705000000000001</v>
      </c>
      <c r="AT15" s="17">
        <v>0.62029999999999996</v>
      </c>
      <c r="AU15" s="17">
        <v>0.59275</v>
      </c>
      <c r="AV15" s="17">
        <v>0.61665000000000003</v>
      </c>
      <c r="AW15" s="17">
        <v>0.61944999999999995</v>
      </c>
      <c r="AX15" s="17">
        <v>0.64385000000000003</v>
      </c>
      <c r="AY15" s="17">
        <v>0.66615000000000002</v>
      </c>
      <c r="AZ15" s="17">
        <v>0.67600000000000005</v>
      </c>
      <c r="BA15" s="17">
        <v>0.66110000000000002</v>
      </c>
      <c r="BB15" s="17">
        <v>0.66295000000000004</v>
      </c>
      <c r="BC15" s="17">
        <v>0.70284999999999997</v>
      </c>
      <c r="BD15" s="17">
        <v>0.72014999999999996</v>
      </c>
      <c r="BE15" s="8"/>
      <c r="BF15" s="16" t="s">
        <v>707</v>
      </c>
      <c r="BG15" s="17">
        <v>0.69355</v>
      </c>
      <c r="BH15" s="17">
        <v>0.68140000000000001</v>
      </c>
      <c r="BI15" s="17">
        <v>0.68110000000000004</v>
      </c>
      <c r="BJ15" s="17">
        <v>0.66685000000000005</v>
      </c>
      <c r="BK15" s="17">
        <v>0.65195000000000003</v>
      </c>
      <c r="BL15" s="17">
        <v>0.67164999999999997</v>
      </c>
      <c r="BM15" s="17">
        <v>0.65985000000000005</v>
      </c>
      <c r="BN15" s="17">
        <v>0.63090000000000002</v>
      </c>
      <c r="BO15" s="17">
        <v>0.62705</v>
      </c>
      <c r="BP15" s="17">
        <v>0.64134999999999998</v>
      </c>
      <c r="BQ15" s="17">
        <v>0.64195000000000002</v>
      </c>
      <c r="BR15" s="17">
        <v>0.67464999999999997</v>
      </c>
      <c r="BS15" s="8"/>
      <c r="BT15" s="16" t="s">
        <v>707</v>
      </c>
      <c r="BU15" s="17">
        <v>0.74050000000000005</v>
      </c>
      <c r="BV15" s="17">
        <v>0.72219999999999995</v>
      </c>
      <c r="BW15" s="17">
        <v>0.72219999999999995</v>
      </c>
      <c r="BX15" s="17">
        <v>0.70440000000000003</v>
      </c>
      <c r="BY15" s="17">
        <v>0.70179999999999998</v>
      </c>
      <c r="BZ15" s="17">
        <v>0.67710000000000004</v>
      </c>
      <c r="CA15" s="17">
        <v>0.68105000000000004</v>
      </c>
      <c r="CB15" s="17">
        <v>0.66344999999999998</v>
      </c>
      <c r="CC15" s="17">
        <v>0.66274999999999995</v>
      </c>
      <c r="CD15" s="17">
        <v>0.65329999999999999</v>
      </c>
      <c r="CE15" s="17">
        <v>0.68679999999999997</v>
      </c>
      <c r="CF15" s="17">
        <v>0.67059999999999997</v>
      </c>
      <c r="CG15" s="8"/>
      <c r="CH15" s="16" t="s">
        <v>707</v>
      </c>
      <c r="CI15" s="17">
        <v>0.73340000000000005</v>
      </c>
      <c r="CJ15" s="17">
        <v>0.72309999999999997</v>
      </c>
      <c r="CK15" s="17">
        <v>0.69879999999999998</v>
      </c>
      <c r="CL15" s="17">
        <v>0.68630000000000002</v>
      </c>
      <c r="CM15" s="17">
        <v>0.70979999999999999</v>
      </c>
      <c r="CN15" s="17">
        <v>0.7319</v>
      </c>
      <c r="CO15" s="17">
        <v>0.74965000000000004</v>
      </c>
      <c r="CP15" s="17">
        <v>0.71609999999999996</v>
      </c>
      <c r="CQ15" s="17">
        <v>0.72319999999999995</v>
      </c>
      <c r="CR15" s="17">
        <v>0.68379999999999996</v>
      </c>
      <c r="CS15" s="17">
        <v>0.68630000000000002</v>
      </c>
      <c r="CT15" s="17">
        <v>0.71125000000000005</v>
      </c>
      <c r="CU15" s="18"/>
      <c r="CV15" s="18" t="s">
        <v>707</v>
      </c>
      <c r="CW15" s="16" t="s">
        <v>707</v>
      </c>
      <c r="CX15" s="17">
        <v>0.6472</v>
      </c>
      <c r="CY15" s="17">
        <v>0.65910000000000002</v>
      </c>
      <c r="CZ15" s="17">
        <v>0.69399999999999995</v>
      </c>
      <c r="DA15" s="17">
        <v>0.69899999999999995</v>
      </c>
      <c r="DB15" s="17">
        <v>0.67649999999999999</v>
      </c>
      <c r="DC15" s="17">
        <v>0.71209999999999996</v>
      </c>
      <c r="DD15" s="17">
        <v>0.72070000000000001</v>
      </c>
      <c r="DE15" s="17">
        <v>0.72519999999999996</v>
      </c>
      <c r="DF15" s="17">
        <v>0.72699999999999998</v>
      </c>
      <c r="DG15" s="17">
        <v>0.71450000000000002</v>
      </c>
      <c r="DH15" s="17">
        <v>0.70909999999999995</v>
      </c>
      <c r="DI15" s="17">
        <v>0.69715000000000005</v>
      </c>
      <c r="DK15" s="18" t="s">
        <v>707</v>
      </c>
      <c r="DL15" s="16" t="s">
        <v>707</v>
      </c>
      <c r="DM15" s="17">
        <v>0.7258</v>
      </c>
      <c r="DN15" s="17">
        <v>0.75680000000000003</v>
      </c>
      <c r="DO15" s="17">
        <v>0.74990000000000001</v>
      </c>
      <c r="DP15" s="17">
        <v>0.76129999999999998</v>
      </c>
      <c r="DQ15" s="17">
        <v>0.71150000000000002</v>
      </c>
      <c r="DR15" s="17">
        <v>0.67620000000000002</v>
      </c>
      <c r="DS15" s="17">
        <v>0.66439999999999999</v>
      </c>
      <c r="DT15" s="17">
        <v>0.63300000000000001</v>
      </c>
      <c r="DU15" s="17">
        <v>0.63970000000000005</v>
      </c>
      <c r="DV15" s="17">
        <v>0.67459999999999998</v>
      </c>
      <c r="DW15" s="17">
        <v>0.65880000000000005</v>
      </c>
      <c r="DX15" s="17">
        <v>0.68479999999999996</v>
      </c>
      <c r="DY15" s="20"/>
      <c r="DZ15" s="16" t="s">
        <v>707</v>
      </c>
      <c r="EA15" s="17">
        <v>0.80859999999999999</v>
      </c>
      <c r="EB15" s="17">
        <v>0.84019999999999995</v>
      </c>
      <c r="EC15" s="17">
        <v>0.86770000000000003</v>
      </c>
      <c r="ED15" s="17">
        <v>0.85909999999999997</v>
      </c>
      <c r="EE15" s="17">
        <v>0.84919999999999995</v>
      </c>
      <c r="EF15" s="17">
        <v>0.87549999999999994</v>
      </c>
      <c r="EG15" s="17">
        <v>0.8488</v>
      </c>
      <c r="EH15" s="17">
        <v>0.83709999999999996</v>
      </c>
      <c r="EI15" s="17">
        <v>0.77949999999999997</v>
      </c>
      <c r="EJ15" s="17">
        <v>0.77839999999999998</v>
      </c>
      <c r="EK15" s="17">
        <v>0.78510000000000002</v>
      </c>
      <c r="EL15" s="17">
        <v>0.78129999999999999</v>
      </c>
      <c r="EM15" s="20"/>
      <c r="EN15" s="16" t="s">
        <v>707</v>
      </c>
      <c r="EO15" s="17">
        <v>0.84040000000000004</v>
      </c>
      <c r="EP15" s="17">
        <v>0.82909999999999995</v>
      </c>
      <c r="EQ15" s="17">
        <v>0.83540000000000003</v>
      </c>
      <c r="ER15" s="17">
        <v>0.85780000000000001</v>
      </c>
      <c r="ES15" s="17">
        <v>0.79769999999999996</v>
      </c>
      <c r="ET15" s="17">
        <v>0.77229999999999999</v>
      </c>
      <c r="EU15" s="17">
        <v>0.79590000000000005</v>
      </c>
      <c r="EV15" s="17">
        <v>0.77329999999999999</v>
      </c>
      <c r="EW15" s="17">
        <v>0.83289999999999997</v>
      </c>
      <c r="EX15" s="17">
        <v>0.82779999999999998</v>
      </c>
      <c r="EY15" s="17">
        <v>0.81630000000000003</v>
      </c>
      <c r="EZ15" s="17">
        <v>0.82279999999999998</v>
      </c>
      <c r="FA15" s="20"/>
      <c r="FB15" s="16" t="s">
        <v>707</v>
      </c>
      <c r="FC15" s="17">
        <v>0.82740000000000002</v>
      </c>
      <c r="FD15" s="17">
        <v>0.84650000000000003</v>
      </c>
      <c r="FE15" s="17">
        <v>0.8206</v>
      </c>
      <c r="FF15" s="17">
        <v>0.81910000000000005</v>
      </c>
      <c r="FG15" s="17">
        <v>0.75339999999999996</v>
      </c>
      <c r="FH15" s="17">
        <v>0.80220000000000002</v>
      </c>
      <c r="FI15" s="17">
        <v>0.80920000000000003</v>
      </c>
      <c r="FJ15" s="17">
        <v>0.80230000000000001</v>
      </c>
      <c r="FK15" s="17">
        <v>0.82920000000000005</v>
      </c>
      <c r="FL15" s="17">
        <v>0.82140000000000002</v>
      </c>
      <c r="FM15" s="17">
        <v>0.8196</v>
      </c>
      <c r="FN15" s="17">
        <v>0.82320000000000004</v>
      </c>
      <c r="FO15" s="20"/>
      <c r="FP15" s="16" t="s">
        <v>707</v>
      </c>
      <c r="FQ15" s="17">
        <v>0.77329999999999999</v>
      </c>
      <c r="FR15" s="17">
        <v>0.75190000000000001</v>
      </c>
      <c r="FS15" s="17">
        <v>0.76270000000000004</v>
      </c>
      <c r="FT15" s="17">
        <v>0.80569999999999997</v>
      </c>
      <c r="FU15" s="17">
        <v>0.82379999999999998</v>
      </c>
      <c r="FV15" s="17">
        <v>0.8286</v>
      </c>
      <c r="FW15" s="17">
        <v>0.86950000000000005</v>
      </c>
      <c r="FX15" s="17">
        <v>0.85499999999999998</v>
      </c>
      <c r="FY15" s="17">
        <v>0.76519999999999999</v>
      </c>
      <c r="FZ15" s="17">
        <v>0.81200000000000006</v>
      </c>
      <c r="GA15" s="17">
        <v>0.78049999999999997</v>
      </c>
      <c r="GB15" s="17">
        <v>0.77539999999999998</v>
      </c>
      <c r="GC15" s="20"/>
      <c r="GD15" s="16" t="s">
        <v>707</v>
      </c>
      <c r="GE15" s="17">
        <v>0.7056</v>
      </c>
      <c r="GF15" s="17">
        <v>0.69479999999999997</v>
      </c>
      <c r="GG15" s="17">
        <v>0.7077</v>
      </c>
      <c r="GH15" s="17">
        <v>0.73160000000000003</v>
      </c>
      <c r="GI15" s="17">
        <v>0.68140000000000001</v>
      </c>
      <c r="GJ15" s="17">
        <v>0.68710000000000004</v>
      </c>
      <c r="GK15" s="17">
        <v>0.72230000000000005</v>
      </c>
      <c r="GL15" s="17">
        <v>0.69879999999999998</v>
      </c>
      <c r="GM15" s="17">
        <v>0.73770000000000002</v>
      </c>
      <c r="GN15" s="17">
        <v>0.7631</v>
      </c>
      <c r="GO15" s="17">
        <v>0.74460000000000004</v>
      </c>
      <c r="GP15" s="17">
        <v>0.7752</v>
      </c>
      <c r="GQ15" s="20"/>
      <c r="GR15" s="16" t="s">
        <v>707</v>
      </c>
      <c r="GS15" s="17">
        <v>0.51454999999999995</v>
      </c>
      <c r="GT15" s="17">
        <v>0.51027</v>
      </c>
      <c r="GU15" s="17">
        <v>0.56023999999999996</v>
      </c>
      <c r="GV15" s="17">
        <v>0.56574999999999998</v>
      </c>
      <c r="GW15" s="17">
        <v>0.63839999999999997</v>
      </c>
      <c r="GX15" s="17">
        <v>0.65090000000000003</v>
      </c>
      <c r="GY15" s="17">
        <v>0.65827999999999998</v>
      </c>
      <c r="GZ15" s="17">
        <v>0.68028</v>
      </c>
      <c r="HA15" s="17">
        <v>0.72233999999999998</v>
      </c>
      <c r="HB15" s="17">
        <v>0.72682999999999998</v>
      </c>
      <c r="HC15" s="17">
        <v>0.71360000000000001</v>
      </c>
      <c r="HD15" s="17">
        <v>0.72690999999999995</v>
      </c>
      <c r="HE15" s="20"/>
      <c r="HF15" s="16" t="s">
        <v>707</v>
      </c>
      <c r="HG15" s="17">
        <v>0.78129999999999999</v>
      </c>
      <c r="HH15" s="17">
        <v>0.81688000000000005</v>
      </c>
      <c r="HI15" s="17">
        <v>0.78620000000000001</v>
      </c>
      <c r="HJ15" s="17">
        <v>0.77559999999999996</v>
      </c>
      <c r="HK15" s="17">
        <v>0.77769999999999995</v>
      </c>
      <c r="HL15" s="17">
        <v>0.76219999999999999</v>
      </c>
      <c r="HM15" s="17">
        <v>0.73399999999999999</v>
      </c>
      <c r="HN15" s="17">
        <v>0.70130000000000003</v>
      </c>
      <c r="HO15" s="17">
        <v>0.6774</v>
      </c>
      <c r="HP15" s="17">
        <v>0.58779999999999999</v>
      </c>
      <c r="HQ15" s="17">
        <v>0.55389999999999995</v>
      </c>
      <c r="HR15" s="17">
        <v>0.57709999999999995</v>
      </c>
      <c r="HS15" s="20"/>
      <c r="HT15" s="16" t="s">
        <v>707</v>
      </c>
      <c r="HU15" s="17">
        <v>0.68910000000000005</v>
      </c>
      <c r="HV15" s="17">
        <v>0.70440000000000003</v>
      </c>
      <c r="HW15" s="17">
        <v>0.7147</v>
      </c>
      <c r="HX15" s="17">
        <v>0.74070000000000003</v>
      </c>
      <c r="HY15" s="17">
        <v>0.73</v>
      </c>
      <c r="HZ15" s="17">
        <v>0.76978000000000002</v>
      </c>
      <c r="IA15" s="17">
        <v>0.76405000000000001</v>
      </c>
      <c r="IB15" s="17">
        <v>0.70425000000000004</v>
      </c>
      <c r="IC15" s="17">
        <v>0.74924999999999997</v>
      </c>
      <c r="ID15" s="17">
        <v>0.76519999999999999</v>
      </c>
      <c r="IE15" s="17">
        <v>0.76975000000000005</v>
      </c>
      <c r="IF15" s="17">
        <v>0.77258000000000004</v>
      </c>
      <c r="IG15" s="20"/>
      <c r="IH15" s="16" t="s">
        <v>707</v>
      </c>
      <c r="II15" s="17">
        <v>0.68484999999999996</v>
      </c>
      <c r="IJ15" s="17">
        <v>0.66039999999999999</v>
      </c>
      <c r="IK15" s="17">
        <v>0.61085</v>
      </c>
      <c r="IL15" s="17">
        <v>0.63475000000000004</v>
      </c>
      <c r="IM15" s="17">
        <v>0.63965000000000005</v>
      </c>
      <c r="IN15" s="17">
        <v>0.59665000000000001</v>
      </c>
      <c r="IO15" s="17">
        <v>0.61704999999999999</v>
      </c>
      <c r="IP15" s="17">
        <v>0.6502</v>
      </c>
      <c r="IQ15" s="17">
        <v>0.65605000000000002</v>
      </c>
      <c r="IR15" s="17">
        <v>0.66639999999999999</v>
      </c>
      <c r="IS15" s="17">
        <v>0.67854999999999999</v>
      </c>
      <c r="IT15" s="17">
        <v>0.70569999999999999</v>
      </c>
      <c r="IU15" s="20"/>
      <c r="IV15" s="16" t="s">
        <v>707</v>
      </c>
      <c r="IW15" s="17">
        <v>0.71104999999999996</v>
      </c>
      <c r="IX15" s="17">
        <v>0.72224999999999995</v>
      </c>
      <c r="IY15" s="17">
        <v>0.70884999999999998</v>
      </c>
      <c r="IZ15" s="17">
        <v>0.72835000000000005</v>
      </c>
      <c r="JA15" s="17">
        <v>0.71155000000000002</v>
      </c>
      <c r="JB15" s="17">
        <v>0.69850000000000001</v>
      </c>
      <c r="JC15" s="17">
        <v>0.68330000000000002</v>
      </c>
      <c r="JD15" s="17">
        <v>0.68815000000000004</v>
      </c>
      <c r="JE15" s="17">
        <v>0.69094999999999995</v>
      </c>
      <c r="JF15" s="17">
        <v>0.69940000000000002</v>
      </c>
      <c r="JG15" s="17">
        <v>0.70135000000000003</v>
      </c>
      <c r="JH15" s="17">
        <v>0.68230000000000002</v>
      </c>
    </row>
    <row r="16" spans="1:268" s="19" customFormat="1" ht="19.8" thickBot="1">
      <c r="A16" s="8" t="s">
        <v>708</v>
      </c>
      <c r="B16" s="16" t="s">
        <v>708</v>
      </c>
      <c r="C16" s="17">
        <v>0.14799999999999999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6" t="s">
        <v>708</v>
      </c>
      <c r="Q16" s="17">
        <v>0.15720000000000001</v>
      </c>
      <c r="R16" s="17">
        <v>0.1585</v>
      </c>
      <c r="S16" s="17">
        <v>0.1575</v>
      </c>
      <c r="T16" s="17">
        <v>0.15049999999999999</v>
      </c>
      <c r="U16" s="17">
        <v>0.1497</v>
      </c>
      <c r="V16" s="17">
        <v>0.1492</v>
      </c>
      <c r="W16" s="17">
        <v>0.14810000000000001</v>
      </c>
      <c r="X16" s="17">
        <v>0.14510000000000001</v>
      </c>
      <c r="Y16" s="17">
        <v>0.14030000000000001</v>
      </c>
      <c r="Z16" s="17">
        <v>0.13650000000000001</v>
      </c>
      <c r="AA16" s="17">
        <v>0.14119999999999999</v>
      </c>
      <c r="AB16" s="17">
        <v>0.14449999999999999</v>
      </c>
      <c r="AC16" s="8"/>
      <c r="AD16" s="16" t="s">
        <v>708</v>
      </c>
      <c r="AE16" s="17">
        <v>0.1552</v>
      </c>
      <c r="AF16" s="17">
        <v>0.15429999999999999</v>
      </c>
      <c r="AG16" s="17">
        <v>0.15240000000000001</v>
      </c>
      <c r="AH16" s="17">
        <v>0.15459999999999999</v>
      </c>
      <c r="AI16" s="17">
        <v>0.15690000000000001</v>
      </c>
      <c r="AJ16" s="17">
        <v>0.15479999999999999</v>
      </c>
      <c r="AK16" s="17">
        <v>0.1547</v>
      </c>
      <c r="AL16" s="17">
        <v>0.155</v>
      </c>
      <c r="AM16" s="17">
        <v>0.15490000000000001</v>
      </c>
      <c r="AN16" s="17">
        <v>0.15620000000000001</v>
      </c>
      <c r="AO16" s="17">
        <v>0.15679999999999999</v>
      </c>
      <c r="AP16" s="17">
        <v>0.15720000000000001</v>
      </c>
      <c r="AQ16" s="8"/>
      <c r="AR16" s="16" t="s">
        <v>708</v>
      </c>
      <c r="AS16" s="17">
        <v>0.1429</v>
      </c>
      <c r="AT16" s="17">
        <v>0.14319999999999999</v>
      </c>
      <c r="AU16" s="17">
        <v>0.1411</v>
      </c>
      <c r="AV16" s="17">
        <v>0.14169999999999999</v>
      </c>
      <c r="AW16" s="17">
        <v>0.1396</v>
      </c>
      <c r="AX16" s="17">
        <v>0.14149999999999999</v>
      </c>
      <c r="AY16" s="17">
        <v>0.14330000000000001</v>
      </c>
      <c r="AZ16" s="17">
        <v>0.14599999999999999</v>
      </c>
      <c r="BA16" s="17">
        <v>0.1474</v>
      </c>
      <c r="BB16" s="17">
        <v>0.14949999999999999</v>
      </c>
      <c r="BC16" s="17">
        <v>0.152</v>
      </c>
      <c r="BD16" s="17">
        <v>0.15390000000000001</v>
      </c>
      <c r="BE16" s="8"/>
      <c r="BF16" s="16" t="s">
        <v>708</v>
      </c>
      <c r="BG16" s="17">
        <v>0.14899999999999999</v>
      </c>
      <c r="BH16" s="17">
        <v>0.14929999999999999</v>
      </c>
      <c r="BI16" s="17">
        <v>0.1487</v>
      </c>
      <c r="BJ16" s="17">
        <v>0.1484</v>
      </c>
      <c r="BK16" s="17">
        <v>0.14419999999999999</v>
      </c>
      <c r="BL16" s="17">
        <v>0.14549999999999999</v>
      </c>
      <c r="BM16" s="17">
        <v>0.1452</v>
      </c>
      <c r="BN16" s="17">
        <v>0.13950000000000001</v>
      </c>
      <c r="BO16" s="17">
        <v>0.14000000000000001</v>
      </c>
      <c r="BP16" s="17">
        <v>0.1419</v>
      </c>
      <c r="BQ16" s="17">
        <v>0.14219999999999999</v>
      </c>
      <c r="BR16" s="17">
        <v>0.14360000000000001</v>
      </c>
      <c r="BS16" s="8"/>
      <c r="BT16" s="16" t="s">
        <v>708</v>
      </c>
      <c r="BU16" s="17">
        <v>0.1588</v>
      </c>
      <c r="BV16" s="17">
        <v>0.158</v>
      </c>
      <c r="BW16" s="17">
        <v>0.159</v>
      </c>
      <c r="BX16" s="17">
        <v>0.15840000000000001</v>
      </c>
      <c r="BY16" s="17">
        <v>0.156</v>
      </c>
      <c r="BZ16" s="17">
        <v>0.1507</v>
      </c>
      <c r="CA16" s="17">
        <v>0.1472</v>
      </c>
      <c r="CB16" s="17">
        <v>0.14610000000000001</v>
      </c>
      <c r="CC16" s="17">
        <v>0.1454</v>
      </c>
      <c r="CD16" s="17">
        <v>0.14330000000000001</v>
      </c>
      <c r="CE16" s="17">
        <v>0.1439</v>
      </c>
      <c r="CF16" s="17">
        <v>0.14560000000000001</v>
      </c>
      <c r="CG16" s="8"/>
      <c r="CH16" s="16" t="s">
        <v>708</v>
      </c>
      <c r="CI16" s="17">
        <v>0.14649999999999999</v>
      </c>
      <c r="CJ16" s="17">
        <v>0.1459</v>
      </c>
      <c r="CK16" s="17">
        <v>0.14549999999999999</v>
      </c>
      <c r="CL16" s="17">
        <v>0.14499999999999999</v>
      </c>
      <c r="CM16" s="17">
        <v>0.1482</v>
      </c>
      <c r="CN16" s="17">
        <v>0.14749999999999999</v>
      </c>
      <c r="CO16" s="17">
        <v>0.14860000000000001</v>
      </c>
      <c r="CP16" s="17">
        <v>0.15160000000000001</v>
      </c>
      <c r="CQ16" s="17">
        <v>0.15040000000000001</v>
      </c>
      <c r="CR16" s="17">
        <v>0.15079999999999999</v>
      </c>
      <c r="CS16" s="17">
        <v>0.15110000000000001</v>
      </c>
      <c r="CT16" s="17">
        <v>0.1535</v>
      </c>
      <c r="CU16" s="18"/>
      <c r="CV16" s="18" t="s">
        <v>708</v>
      </c>
      <c r="CW16" s="16" t="s">
        <v>708</v>
      </c>
      <c r="CX16" s="17">
        <v>0.15160000000000001</v>
      </c>
      <c r="CY16" s="17">
        <v>0.15260000000000001</v>
      </c>
      <c r="CZ16" s="17">
        <v>0.1547</v>
      </c>
      <c r="DA16" s="17">
        <v>0.15409999999999999</v>
      </c>
      <c r="DB16" s="17">
        <v>0.15179999999999999</v>
      </c>
      <c r="DC16" s="17">
        <v>0.1497</v>
      </c>
      <c r="DD16" s="17">
        <v>0.1507</v>
      </c>
      <c r="DE16" s="17">
        <v>0.14949999999999999</v>
      </c>
      <c r="DF16" s="17">
        <v>0.14990000000000001</v>
      </c>
      <c r="DG16" s="17">
        <v>0.14749999999999999</v>
      </c>
      <c r="DH16" s="17">
        <v>0.14460000000000001</v>
      </c>
      <c r="DI16" s="17">
        <v>0.14360000000000001</v>
      </c>
      <c r="DK16" s="18" t="s">
        <v>708</v>
      </c>
      <c r="DL16" s="16" t="s">
        <v>708</v>
      </c>
      <c r="DM16" s="17">
        <v>0.159</v>
      </c>
      <c r="DN16" s="17">
        <v>0.15909999999999999</v>
      </c>
      <c r="DO16" s="17">
        <v>0.16109999999999999</v>
      </c>
      <c r="DP16" s="17">
        <v>0.161</v>
      </c>
      <c r="DQ16" s="17">
        <v>0.16120000000000001</v>
      </c>
      <c r="DR16" s="17">
        <v>0.16120000000000001</v>
      </c>
      <c r="DS16" s="17">
        <v>0.1608</v>
      </c>
      <c r="DT16" s="17">
        <v>0.1552</v>
      </c>
      <c r="DU16" s="17">
        <v>0.15720000000000001</v>
      </c>
      <c r="DV16" s="17">
        <v>0.15820000000000001</v>
      </c>
      <c r="DW16" s="17">
        <v>0.15570000000000001</v>
      </c>
      <c r="DX16" s="17">
        <v>0.1522</v>
      </c>
      <c r="DY16" s="20"/>
      <c r="DZ16" s="16" t="s">
        <v>708</v>
      </c>
      <c r="EA16" s="17">
        <v>0.16569999999999999</v>
      </c>
      <c r="EB16" s="17">
        <v>0.16339999999999999</v>
      </c>
      <c r="EC16" s="17">
        <v>0.16089999999999999</v>
      </c>
      <c r="ED16" s="17">
        <v>0.15989999999999999</v>
      </c>
      <c r="EE16" s="17">
        <v>0.16009999999999999</v>
      </c>
      <c r="EF16" s="17">
        <v>0.16109999999999999</v>
      </c>
      <c r="EG16" s="17">
        <v>0.16189999999999999</v>
      </c>
      <c r="EH16" s="17">
        <v>0.16259999999999999</v>
      </c>
      <c r="EI16" s="17">
        <v>0.1618</v>
      </c>
      <c r="EJ16" s="17">
        <v>0.16320000000000001</v>
      </c>
      <c r="EK16" s="17">
        <v>0.1623</v>
      </c>
      <c r="EL16" s="17">
        <v>0.1608</v>
      </c>
      <c r="EM16" s="20"/>
      <c r="EN16" s="16" t="s">
        <v>708</v>
      </c>
      <c r="EO16" s="17">
        <v>0.1608</v>
      </c>
      <c r="EP16" s="17">
        <v>0.16061</v>
      </c>
      <c r="EQ16" s="17">
        <v>0.16105</v>
      </c>
      <c r="ER16" s="17">
        <v>0.16220999999999999</v>
      </c>
      <c r="ES16" s="17">
        <v>0.16300999999999999</v>
      </c>
      <c r="ET16" s="17">
        <v>0.16292999999999999</v>
      </c>
      <c r="EU16" s="17">
        <v>0.16309999999999999</v>
      </c>
      <c r="EV16" s="17">
        <v>0.16350000000000001</v>
      </c>
      <c r="EW16" s="17">
        <v>0.16350000000000001</v>
      </c>
      <c r="EX16" s="17">
        <v>0.16420000000000001</v>
      </c>
      <c r="EY16" s="17">
        <v>0.1643</v>
      </c>
      <c r="EZ16" s="17">
        <v>0.16500000000000001</v>
      </c>
      <c r="FA16" s="20"/>
      <c r="FB16" s="16" t="s">
        <v>708</v>
      </c>
      <c r="FC16" s="17">
        <v>0.15851999999999999</v>
      </c>
      <c r="FD16" s="17">
        <v>0.15889</v>
      </c>
      <c r="FE16" s="17">
        <v>0.15876999999999999</v>
      </c>
      <c r="FF16" s="17">
        <v>0.15925</v>
      </c>
      <c r="FG16" s="17">
        <v>0.15701999999999999</v>
      </c>
      <c r="FH16" s="17">
        <v>0.15737999999999999</v>
      </c>
      <c r="FI16" s="17">
        <v>0.15719</v>
      </c>
      <c r="FJ16" s="17">
        <v>0.15751999999999999</v>
      </c>
      <c r="FK16" s="17">
        <v>0.15912000000000001</v>
      </c>
      <c r="FL16" s="17">
        <v>0.16033</v>
      </c>
      <c r="FM16" s="17">
        <v>0.16059999999999999</v>
      </c>
      <c r="FN16" s="17">
        <v>0.1605</v>
      </c>
      <c r="FO16" s="20"/>
      <c r="FP16" s="16" t="s">
        <v>708</v>
      </c>
      <c r="FQ16" s="17">
        <v>0.15162999999999999</v>
      </c>
      <c r="FR16" s="17">
        <v>0.15215999999999999</v>
      </c>
      <c r="FS16" s="17">
        <v>0.15271000000000001</v>
      </c>
      <c r="FT16" s="17">
        <v>0.15403</v>
      </c>
      <c r="FU16" s="17">
        <v>0.15434999999999999</v>
      </c>
      <c r="FV16" s="17">
        <v>0.15470999999999999</v>
      </c>
      <c r="FW16" s="17">
        <v>0.15534999999999999</v>
      </c>
      <c r="FX16" s="17">
        <v>0.15679000000000001</v>
      </c>
      <c r="FY16" s="17">
        <v>0.15670999999999999</v>
      </c>
      <c r="FZ16" s="17">
        <v>0.15736</v>
      </c>
      <c r="GA16" s="17">
        <v>0.15676000000000001</v>
      </c>
      <c r="GB16" s="17">
        <v>0.15886</v>
      </c>
      <c r="GC16" s="20"/>
      <c r="GD16" s="16" t="s">
        <v>708</v>
      </c>
      <c r="GE16" s="17">
        <v>0.14648</v>
      </c>
      <c r="GF16" s="17">
        <v>0.14649999999999999</v>
      </c>
      <c r="GG16" s="17">
        <v>0.14649999999999999</v>
      </c>
      <c r="GH16" s="17">
        <v>0.14651</v>
      </c>
      <c r="GI16" s="17">
        <v>0.14646000000000001</v>
      </c>
      <c r="GJ16" s="17">
        <v>0.14745</v>
      </c>
      <c r="GK16" s="17">
        <v>0.14760999999999999</v>
      </c>
      <c r="GL16" s="17">
        <v>0.14688999999999999</v>
      </c>
      <c r="GM16" s="17">
        <v>0.14943000000000001</v>
      </c>
      <c r="GN16" s="17">
        <v>0.14990999999999999</v>
      </c>
      <c r="GO16" s="17">
        <v>0.14999000000000001</v>
      </c>
      <c r="GP16" s="17">
        <v>0.15135000000000001</v>
      </c>
      <c r="GQ16" s="20"/>
      <c r="GR16" s="16" t="s">
        <v>708</v>
      </c>
      <c r="GS16" s="17">
        <v>0.14624000000000001</v>
      </c>
      <c r="GT16" s="17">
        <v>0.14621999999999999</v>
      </c>
      <c r="GU16" s="17">
        <v>0.14627000000000001</v>
      </c>
      <c r="GV16" s="17">
        <v>0.14660999999999999</v>
      </c>
      <c r="GW16" s="17">
        <v>0.14643</v>
      </c>
      <c r="GX16" s="17">
        <v>0.1464</v>
      </c>
      <c r="GY16" s="17">
        <v>0.14637</v>
      </c>
      <c r="GZ16" s="17">
        <v>0.1464</v>
      </c>
      <c r="HA16" s="17">
        <v>0.14649000000000001</v>
      </c>
      <c r="HB16" s="17">
        <v>0.14646999999999999</v>
      </c>
      <c r="HC16" s="17">
        <v>0.14646999999999999</v>
      </c>
      <c r="HD16" s="17">
        <v>0.14648</v>
      </c>
      <c r="HE16" s="20"/>
      <c r="HF16" s="16" t="s">
        <v>708</v>
      </c>
      <c r="HG16" s="17">
        <v>0.13905000000000001</v>
      </c>
      <c r="HH16" s="17">
        <v>0.14058000000000001</v>
      </c>
      <c r="HI16" s="17">
        <v>0.14260999999999999</v>
      </c>
      <c r="HJ16" s="17">
        <v>0.14316999999999999</v>
      </c>
      <c r="HK16" s="17">
        <v>0.14413999999999999</v>
      </c>
      <c r="HL16" s="17">
        <v>0.14573</v>
      </c>
      <c r="HM16" s="17">
        <v>0.14649000000000001</v>
      </c>
      <c r="HN16" s="17">
        <v>0.14643999999999999</v>
      </c>
      <c r="HO16" s="17">
        <v>0.14609</v>
      </c>
      <c r="HP16" s="17">
        <v>0.14618</v>
      </c>
      <c r="HQ16" s="17">
        <v>0.14645</v>
      </c>
      <c r="HR16" s="17">
        <v>0.14638999999999999</v>
      </c>
      <c r="HS16" s="20"/>
      <c r="HT16" s="16" t="s">
        <v>708</v>
      </c>
      <c r="HU16" s="17">
        <v>0.12862000000000001</v>
      </c>
      <c r="HV16" s="17">
        <v>0.12917000000000001</v>
      </c>
      <c r="HW16" s="17">
        <v>0.12942000000000001</v>
      </c>
      <c r="HX16" s="17">
        <v>0.12963</v>
      </c>
      <c r="HY16" s="17">
        <v>0.13077</v>
      </c>
      <c r="HZ16" s="17">
        <v>0.13131999999999999</v>
      </c>
      <c r="IA16" s="17">
        <v>0.13211999999999999</v>
      </c>
      <c r="IB16" s="17">
        <v>0.13261000000000001</v>
      </c>
      <c r="IC16" s="17">
        <v>0.13305</v>
      </c>
      <c r="ID16" s="17">
        <v>0.13383999999999999</v>
      </c>
      <c r="IE16" s="17">
        <v>0.13539000000000001</v>
      </c>
      <c r="IF16" s="17">
        <v>0.13691</v>
      </c>
      <c r="IG16" s="20"/>
      <c r="IH16" s="16" t="s">
        <v>708</v>
      </c>
      <c r="II16" s="17">
        <v>0.12404</v>
      </c>
      <c r="IJ16" s="17">
        <v>0.12436999999999999</v>
      </c>
      <c r="IK16" s="17">
        <v>0.12458</v>
      </c>
      <c r="IL16" s="17">
        <v>0.12475</v>
      </c>
      <c r="IM16" s="17">
        <v>0.1246</v>
      </c>
      <c r="IN16" s="17">
        <v>0.12506999999999999</v>
      </c>
      <c r="IO16" s="17">
        <v>0.12545999999999999</v>
      </c>
      <c r="IP16" s="17">
        <v>0.12565000000000001</v>
      </c>
      <c r="IQ16" s="17">
        <v>0.12664</v>
      </c>
      <c r="IR16" s="17">
        <v>0.127</v>
      </c>
      <c r="IS16" s="17">
        <v>0.12769</v>
      </c>
      <c r="IT16" s="17">
        <v>0.12797</v>
      </c>
      <c r="IU16" s="20"/>
      <c r="IV16" s="16" t="s">
        <v>708</v>
      </c>
      <c r="IW16" s="17">
        <v>0.12082</v>
      </c>
      <c r="IX16" s="17">
        <v>0.12082</v>
      </c>
      <c r="IY16" s="17">
        <v>0.12082</v>
      </c>
      <c r="IZ16" s="17">
        <v>0.12082</v>
      </c>
      <c r="JA16" s="17">
        <v>0.12083000000000001</v>
      </c>
      <c r="JB16" s="17">
        <v>0.12082</v>
      </c>
      <c r="JC16" s="17">
        <v>0.12333</v>
      </c>
      <c r="JD16" s="17">
        <v>0.1235</v>
      </c>
      <c r="JE16" s="17">
        <v>0.12356</v>
      </c>
      <c r="JF16" s="17">
        <v>0.12368999999999999</v>
      </c>
      <c r="JG16" s="17">
        <v>0.12371</v>
      </c>
      <c r="JH16" s="17">
        <v>0.1239</v>
      </c>
    </row>
    <row r="17" spans="1:268" s="19" customFormat="1" ht="19.8" thickBot="1">
      <c r="A17" s="8" t="s">
        <v>709</v>
      </c>
      <c r="B17" s="16" t="s">
        <v>709</v>
      </c>
      <c r="C17" s="17">
        <v>1.423E-2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8"/>
      <c r="P17" s="16" t="s">
        <v>709</v>
      </c>
      <c r="Q17" s="17">
        <v>1.291E-2</v>
      </c>
      <c r="R17" s="17">
        <v>9.3900000000000008E-3</v>
      </c>
      <c r="S17" s="17">
        <v>1.208E-2</v>
      </c>
      <c r="T17" s="17">
        <v>1.4109999999999999E-2</v>
      </c>
      <c r="U17" s="17">
        <v>1.5879999999999998E-2</v>
      </c>
      <c r="V17" s="17">
        <v>1.8290000000000001E-2</v>
      </c>
      <c r="W17" s="17">
        <v>1.5740000000000001E-2</v>
      </c>
      <c r="X17" s="17">
        <v>1.653E-2</v>
      </c>
      <c r="Y17" s="17">
        <v>1.6369999999999999E-2</v>
      </c>
      <c r="Z17" s="17">
        <v>1.6230000000000001E-2</v>
      </c>
      <c r="AA17" s="17">
        <v>1.643E-2</v>
      </c>
      <c r="AB17" s="17">
        <v>1.3809999999999999E-2</v>
      </c>
      <c r="AC17" s="8"/>
      <c r="AD17" s="16" t="s">
        <v>709</v>
      </c>
      <c r="AE17" s="17">
        <v>1.3259999999999999E-2</v>
      </c>
      <c r="AF17" s="17">
        <v>1.342E-2</v>
      </c>
      <c r="AG17" s="17">
        <v>1.325E-2</v>
      </c>
      <c r="AH17" s="17">
        <v>1.332E-2</v>
      </c>
      <c r="AI17" s="17">
        <v>1.363E-2</v>
      </c>
      <c r="AJ17" s="17">
        <v>1.3690000000000001E-2</v>
      </c>
      <c r="AK17" s="17">
        <v>1.367E-2</v>
      </c>
      <c r="AL17" s="17">
        <v>1.3650000000000001E-2</v>
      </c>
      <c r="AM17" s="17">
        <v>1.374E-2</v>
      </c>
      <c r="AN17" s="17">
        <v>1.409E-2</v>
      </c>
      <c r="AO17" s="17">
        <v>1.3429999999999999E-2</v>
      </c>
      <c r="AP17" s="17">
        <v>1.3339999999999999E-2</v>
      </c>
      <c r="AQ17" s="8"/>
      <c r="AR17" s="16" t="s">
        <v>709</v>
      </c>
      <c r="AS17" s="17">
        <v>1.566E-2</v>
      </c>
      <c r="AT17" s="17">
        <v>1.4930000000000001E-2</v>
      </c>
      <c r="AU17" s="17">
        <v>1.2800000000000001E-2</v>
      </c>
      <c r="AV17" s="17">
        <v>1.353E-2</v>
      </c>
      <c r="AW17" s="17">
        <v>1.4149999999999999E-2</v>
      </c>
      <c r="AX17" s="17">
        <v>1.404E-2</v>
      </c>
      <c r="AY17" s="17">
        <v>1.3480000000000001E-2</v>
      </c>
      <c r="AZ17" s="17">
        <v>1.35E-2</v>
      </c>
      <c r="BA17" s="17">
        <v>1.289E-2</v>
      </c>
      <c r="BB17" s="17">
        <v>1.26E-2</v>
      </c>
      <c r="BC17" s="17">
        <v>1.308E-2</v>
      </c>
      <c r="BD17" s="17">
        <v>1.3520000000000001E-2</v>
      </c>
      <c r="BE17" s="8"/>
      <c r="BF17" s="16" t="s">
        <v>709</v>
      </c>
      <c r="BG17" s="17">
        <v>1.525E-2</v>
      </c>
      <c r="BH17" s="17">
        <v>1.5180000000000001E-2</v>
      </c>
      <c r="BI17" s="17">
        <v>1.5219999999999999E-2</v>
      </c>
      <c r="BJ17" s="17">
        <v>1.5480000000000001E-2</v>
      </c>
      <c r="BK17" s="17">
        <v>1.529E-2</v>
      </c>
      <c r="BL17" s="17">
        <v>1.584E-2</v>
      </c>
      <c r="BM17" s="17">
        <v>1.5789999999999998E-2</v>
      </c>
      <c r="BN17" s="17">
        <v>1.498E-2</v>
      </c>
      <c r="BO17" s="17">
        <v>1.541E-2</v>
      </c>
      <c r="BP17" s="17">
        <v>1.559E-2</v>
      </c>
      <c r="BQ17" s="17">
        <v>1.555E-2</v>
      </c>
      <c r="BR17" s="17">
        <v>1.6119999999999999E-2</v>
      </c>
      <c r="BS17" s="8"/>
      <c r="BT17" s="16" t="s">
        <v>709</v>
      </c>
      <c r="BU17" s="17">
        <v>1.7770000000000001E-2</v>
      </c>
      <c r="BV17" s="17">
        <v>1.7780000000000001E-2</v>
      </c>
      <c r="BW17" s="17">
        <v>1.729E-2</v>
      </c>
      <c r="BX17" s="17">
        <v>1.5869999999999999E-2</v>
      </c>
      <c r="BY17" s="17">
        <v>1.602E-2</v>
      </c>
      <c r="BZ17" s="17">
        <v>1.592E-2</v>
      </c>
      <c r="CA17" s="17">
        <v>1.602E-2</v>
      </c>
      <c r="CB17" s="17">
        <v>1.4829999999999999E-2</v>
      </c>
      <c r="CC17" s="17">
        <v>1.528E-2</v>
      </c>
      <c r="CD17" s="17">
        <v>1.5180000000000001E-2</v>
      </c>
      <c r="CE17" s="17">
        <v>1.491E-2</v>
      </c>
      <c r="CF17" s="17">
        <v>1.4420000000000001E-2</v>
      </c>
      <c r="CG17" s="8"/>
      <c r="CH17" s="16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8"/>
      <c r="CV17" s="18"/>
      <c r="CW17" s="16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K17" s="18"/>
      <c r="DL17" s="16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20"/>
      <c r="DZ17" s="16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20"/>
      <c r="EN17" s="16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20"/>
      <c r="FB17" s="16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20"/>
      <c r="FP17" s="16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20"/>
      <c r="GD17" s="16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20"/>
      <c r="GR17" s="16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20"/>
      <c r="HF17" s="16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20"/>
      <c r="HT17" s="16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20"/>
      <c r="IH17" s="16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20"/>
      <c r="IV17" s="16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</row>
    <row r="18" spans="1:268" s="19" customFormat="1" ht="19.8" thickBot="1">
      <c r="A18" s="8" t="s">
        <v>710</v>
      </c>
      <c r="B18" s="16" t="s">
        <v>710</v>
      </c>
      <c r="C18" s="17">
        <v>5.3159999999999999E-2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8"/>
      <c r="P18" s="16" t="s">
        <v>710</v>
      </c>
      <c r="Q18" s="17">
        <v>7.4560000000000001E-2</v>
      </c>
      <c r="R18" s="17">
        <v>7.2309999999999999E-2</v>
      </c>
      <c r="S18" s="17">
        <v>6.8169999999999994E-2</v>
      </c>
      <c r="T18" s="17">
        <v>6.7299999999999999E-2</v>
      </c>
      <c r="U18" s="17">
        <v>6.1030000000000001E-2</v>
      </c>
      <c r="V18" s="17">
        <v>5.9900000000000002E-2</v>
      </c>
      <c r="W18" s="17">
        <v>5.5820000000000002E-2</v>
      </c>
      <c r="X18" s="17">
        <v>5.4949999999999999E-2</v>
      </c>
      <c r="Y18" s="17">
        <v>5.3969999999999997E-2</v>
      </c>
      <c r="Z18" s="17">
        <v>5.3740000000000003E-2</v>
      </c>
      <c r="AA18" s="17">
        <v>5.3760000000000002E-2</v>
      </c>
      <c r="AB18" s="17">
        <v>5.3420000000000002E-2</v>
      </c>
      <c r="AC18" s="8"/>
      <c r="AD18" s="16" t="s">
        <v>710</v>
      </c>
      <c r="AE18" s="17">
        <v>0.13700999999999999</v>
      </c>
      <c r="AF18" s="17">
        <v>0.13466</v>
      </c>
      <c r="AG18" s="17">
        <v>0.12088</v>
      </c>
      <c r="AH18" s="17">
        <v>0.12044000000000001</v>
      </c>
      <c r="AI18" s="17">
        <v>0.11791</v>
      </c>
      <c r="AJ18" s="17">
        <v>0.11507000000000001</v>
      </c>
      <c r="AK18" s="17">
        <v>0.11864</v>
      </c>
      <c r="AL18" s="17">
        <v>0.12028</v>
      </c>
      <c r="AM18" s="17">
        <v>0.11255999999999999</v>
      </c>
      <c r="AN18" s="17">
        <v>0.10397000000000001</v>
      </c>
      <c r="AO18" s="17">
        <v>7.5439999999999993E-2</v>
      </c>
      <c r="AP18" s="17">
        <v>7.5190000000000007E-2</v>
      </c>
      <c r="AQ18" s="8"/>
      <c r="AR18" s="16" t="s">
        <v>710</v>
      </c>
      <c r="AS18" s="17">
        <v>0.16708000000000001</v>
      </c>
      <c r="AT18" s="17">
        <v>0.16005</v>
      </c>
      <c r="AU18" s="17">
        <v>0.15179999999999999</v>
      </c>
      <c r="AV18" s="17">
        <v>0.14307</v>
      </c>
      <c r="AW18" s="17">
        <v>0.14646999999999999</v>
      </c>
      <c r="AX18" s="17">
        <v>0.14588999999999999</v>
      </c>
      <c r="AY18" s="17">
        <v>0.14332</v>
      </c>
      <c r="AZ18" s="17">
        <v>0.1358</v>
      </c>
      <c r="BA18" s="17">
        <v>0.12975</v>
      </c>
      <c r="BB18" s="17">
        <v>0.11953</v>
      </c>
      <c r="BC18" s="17">
        <v>0.12781999999999999</v>
      </c>
      <c r="BD18" s="17">
        <v>0.13457</v>
      </c>
      <c r="BE18" s="8"/>
      <c r="BF18" s="16" t="s">
        <v>710</v>
      </c>
      <c r="BG18" s="17">
        <v>0.19284999999999999</v>
      </c>
      <c r="BH18" s="17">
        <v>0.18748999999999999</v>
      </c>
      <c r="BI18" s="17">
        <v>0.17874000000000001</v>
      </c>
      <c r="BJ18" s="17">
        <v>0.16761999999999999</v>
      </c>
      <c r="BK18" s="17">
        <v>0.17165</v>
      </c>
      <c r="BL18" s="17">
        <v>0.17272000000000001</v>
      </c>
      <c r="BM18" s="17">
        <v>0.18096000000000001</v>
      </c>
      <c r="BN18" s="17">
        <v>0.17152999999999999</v>
      </c>
      <c r="BO18" s="17">
        <v>0.17699000000000001</v>
      </c>
      <c r="BP18" s="17">
        <v>0.17479</v>
      </c>
      <c r="BQ18" s="17">
        <v>0.17394999999999999</v>
      </c>
      <c r="BR18" s="17">
        <v>0.16803000000000001</v>
      </c>
      <c r="BS18" s="8"/>
      <c r="BT18" s="16" t="s">
        <v>710</v>
      </c>
      <c r="BU18" s="17">
        <v>0.26618000000000003</v>
      </c>
      <c r="BV18" s="17">
        <v>0.26313999999999999</v>
      </c>
      <c r="BW18" s="17">
        <v>0.24951999999999999</v>
      </c>
      <c r="BX18" s="17">
        <v>0.24612000000000001</v>
      </c>
      <c r="BY18" s="17">
        <v>0.22051999999999999</v>
      </c>
      <c r="BZ18" s="17">
        <v>0.21768000000000001</v>
      </c>
      <c r="CA18" s="17">
        <v>0.20368</v>
      </c>
      <c r="CB18" s="17">
        <v>0.15198</v>
      </c>
      <c r="CC18" s="17">
        <v>0.16442000000000001</v>
      </c>
      <c r="CD18" s="17">
        <v>0.17856</v>
      </c>
      <c r="CE18" s="17">
        <v>0.19073999999999999</v>
      </c>
      <c r="CF18" s="17">
        <v>0.18892</v>
      </c>
      <c r="CG18" s="8"/>
      <c r="CH18" s="16" t="s">
        <v>710</v>
      </c>
      <c r="CI18" s="17">
        <v>0.26434999999999997</v>
      </c>
      <c r="CJ18" s="17">
        <v>0.27516000000000002</v>
      </c>
      <c r="CK18" s="17">
        <v>0.27543000000000001</v>
      </c>
      <c r="CL18" s="17">
        <v>0.28114</v>
      </c>
      <c r="CM18" s="17">
        <v>0.28341</v>
      </c>
      <c r="CN18" s="17">
        <v>0.28444999999999998</v>
      </c>
      <c r="CO18" s="17">
        <v>0.28364</v>
      </c>
      <c r="CP18" s="17">
        <v>0.2893</v>
      </c>
      <c r="CQ18" s="17">
        <v>0.28076000000000001</v>
      </c>
      <c r="CR18" s="17">
        <v>0.26369999999999999</v>
      </c>
      <c r="CS18" s="17">
        <v>0.25459999999999999</v>
      </c>
      <c r="CT18" s="17">
        <v>0.26407999999999998</v>
      </c>
      <c r="CU18" s="18"/>
      <c r="CV18" s="18" t="s">
        <v>710</v>
      </c>
      <c r="CW18" s="16" t="s">
        <v>710</v>
      </c>
      <c r="CX18" s="17">
        <v>0.33796999999999999</v>
      </c>
      <c r="CY18" s="17">
        <v>0.33717999999999998</v>
      </c>
      <c r="CZ18" s="17">
        <v>0.35444999999999999</v>
      </c>
      <c r="DA18" s="17">
        <v>0.35705999999999999</v>
      </c>
      <c r="DB18" s="17">
        <v>0.33907999999999999</v>
      </c>
      <c r="DC18" s="17">
        <v>0.34720000000000001</v>
      </c>
      <c r="DD18" s="17">
        <v>0.33461999999999997</v>
      </c>
      <c r="DE18" s="17">
        <v>0.33798</v>
      </c>
      <c r="DF18" s="17">
        <v>0.33334000000000003</v>
      </c>
      <c r="DG18" s="17">
        <v>0.32307999999999998</v>
      </c>
      <c r="DH18" s="17">
        <v>0.29104000000000002</v>
      </c>
      <c r="DI18" s="17">
        <v>0.28377999999999998</v>
      </c>
      <c r="DK18" s="18" t="s">
        <v>710</v>
      </c>
      <c r="DL18" s="16" t="s">
        <v>710</v>
      </c>
      <c r="DM18" s="17">
        <v>0.40895999999999999</v>
      </c>
      <c r="DN18" s="17">
        <v>0.39912999999999998</v>
      </c>
      <c r="DO18" s="17">
        <v>0.38479999999999998</v>
      </c>
      <c r="DP18" s="17">
        <v>0.37436000000000003</v>
      </c>
      <c r="DQ18" s="17">
        <v>0.37579000000000001</v>
      </c>
      <c r="DR18" s="17">
        <v>0.37254999999999999</v>
      </c>
      <c r="DS18" s="17">
        <v>0.36098000000000002</v>
      </c>
      <c r="DT18" s="17">
        <v>0.34376000000000001</v>
      </c>
      <c r="DU18" s="17">
        <v>0.33037</v>
      </c>
      <c r="DV18" s="17">
        <v>0.34316999999999998</v>
      </c>
      <c r="DW18" s="17">
        <v>0.34332000000000001</v>
      </c>
      <c r="DX18" s="17">
        <v>0.34322000000000003</v>
      </c>
      <c r="DY18" s="20"/>
      <c r="DZ18" s="16" t="s">
        <v>710</v>
      </c>
      <c r="EA18" s="17">
        <v>0.44285999999999998</v>
      </c>
      <c r="EB18" s="17">
        <v>0.45423999999999998</v>
      </c>
      <c r="EC18" s="17">
        <v>0.46706999999999999</v>
      </c>
      <c r="ED18" s="17">
        <v>0.47242000000000001</v>
      </c>
      <c r="EE18" s="17">
        <v>0.47722999999999999</v>
      </c>
      <c r="EF18" s="17">
        <v>0.47214</v>
      </c>
      <c r="EG18" s="17">
        <v>0.46627999999999997</v>
      </c>
      <c r="EH18" s="17">
        <v>0.46314</v>
      </c>
      <c r="EI18" s="17">
        <v>0.43897000000000003</v>
      </c>
      <c r="EJ18" s="17">
        <v>0.44988</v>
      </c>
      <c r="EK18" s="17">
        <v>0.45040000000000002</v>
      </c>
      <c r="EL18" s="17">
        <v>0.42766999999999999</v>
      </c>
      <c r="EM18" s="20"/>
      <c r="EN18" s="16" t="s">
        <v>710</v>
      </c>
      <c r="EO18" s="17">
        <v>0.56869999999999998</v>
      </c>
      <c r="EP18" s="17">
        <v>0.55656000000000005</v>
      </c>
      <c r="EQ18" s="17">
        <v>0.55137000000000003</v>
      </c>
      <c r="ER18" s="17">
        <v>0.55747000000000002</v>
      </c>
      <c r="ES18" s="17">
        <v>0.53425999999999996</v>
      </c>
      <c r="ET18" s="17">
        <v>0.51854</v>
      </c>
      <c r="EU18" s="17">
        <v>0.51568000000000003</v>
      </c>
      <c r="EV18" s="17">
        <v>0.49068000000000001</v>
      </c>
      <c r="EW18" s="17">
        <v>0.49481999999999998</v>
      </c>
      <c r="EX18" s="17">
        <v>0.50139999999999996</v>
      </c>
      <c r="EY18" s="17">
        <v>0.49434</v>
      </c>
      <c r="EZ18" s="17">
        <v>0.46493000000000001</v>
      </c>
      <c r="FA18" s="20"/>
      <c r="FB18" s="16" t="s">
        <v>710</v>
      </c>
      <c r="FC18" s="17">
        <v>0.56477999999999995</v>
      </c>
      <c r="FD18" s="17">
        <v>0.57382</v>
      </c>
      <c r="FE18" s="17">
        <v>0.56079000000000001</v>
      </c>
      <c r="FF18" s="17">
        <v>0.56872999999999996</v>
      </c>
      <c r="FG18" s="17">
        <v>0.53647999999999996</v>
      </c>
      <c r="FH18" s="17">
        <v>0.55313000000000001</v>
      </c>
      <c r="FI18" s="17">
        <v>0.55815999999999999</v>
      </c>
      <c r="FJ18" s="17">
        <v>0.55062999999999995</v>
      </c>
      <c r="FK18" s="17">
        <v>0.55630000000000002</v>
      </c>
      <c r="FL18" s="17">
        <v>0.55725999999999998</v>
      </c>
      <c r="FM18" s="17">
        <v>0.55952999999999997</v>
      </c>
      <c r="FN18" s="17">
        <v>0.56035000000000001</v>
      </c>
      <c r="FO18" s="20"/>
      <c r="FP18" s="16" t="s">
        <v>710</v>
      </c>
      <c r="FQ18" s="17">
        <v>0.62417999999999996</v>
      </c>
      <c r="FR18" s="17">
        <v>0.62526999999999999</v>
      </c>
      <c r="FS18" s="17">
        <v>0.64798</v>
      </c>
      <c r="FT18" s="17">
        <v>0.65898000000000001</v>
      </c>
      <c r="FU18" s="17">
        <v>0.62656999999999996</v>
      </c>
      <c r="FV18" s="17">
        <v>0.61660000000000004</v>
      </c>
      <c r="FW18" s="17">
        <v>0.59411000000000003</v>
      </c>
      <c r="FX18" s="17">
        <v>0.58167000000000002</v>
      </c>
      <c r="FY18" s="17">
        <v>0.53703000000000001</v>
      </c>
      <c r="FZ18" s="17">
        <v>0.56840999999999997</v>
      </c>
      <c r="GA18" s="17">
        <v>0.54666000000000003</v>
      </c>
      <c r="GB18" s="17">
        <v>0.53</v>
      </c>
      <c r="GC18" s="20"/>
      <c r="GD18" s="16" t="s">
        <v>710</v>
      </c>
      <c r="GE18" s="17">
        <v>0.67159000000000002</v>
      </c>
      <c r="GF18" s="17">
        <v>0.64675000000000005</v>
      </c>
      <c r="GG18" s="17">
        <v>0.65669</v>
      </c>
      <c r="GH18" s="17">
        <v>0.67335999999999996</v>
      </c>
      <c r="GI18" s="17">
        <v>0.63593</v>
      </c>
      <c r="GJ18" s="17">
        <v>0.63166999999999995</v>
      </c>
      <c r="GK18" s="17">
        <v>0.66110999999999998</v>
      </c>
      <c r="GL18" s="17">
        <v>0.66110000000000002</v>
      </c>
      <c r="GM18" s="17">
        <v>0.66110000000000002</v>
      </c>
      <c r="GN18" s="17">
        <v>0.66110000000000002</v>
      </c>
      <c r="GO18" s="17">
        <v>0.66110000000000002</v>
      </c>
      <c r="GP18" s="17">
        <v>0.66110000000000002</v>
      </c>
      <c r="GQ18" s="20"/>
      <c r="GR18" s="16" t="s">
        <v>710</v>
      </c>
      <c r="GS18" s="17">
        <v>0.61350000000000005</v>
      </c>
      <c r="GT18" s="17">
        <v>0.59258999999999995</v>
      </c>
      <c r="GU18" s="17">
        <v>0.58735000000000004</v>
      </c>
      <c r="GV18" s="17">
        <v>0.62488999999999995</v>
      </c>
      <c r="GW18" s="17">
        <v>0.64880000000000004</v>
      </c>
      <c r="GX18" s="17">
        <v>0.65178000000000003</v>
      </c>
      <c r="GY18" s="17">
        <v>0.67613000000000001</v>
      </c>
      <c r="GZ18" s="17">
        <v>0.66522999999999999</v>
      </c>
      <c r="HA18" s="17">
        <v>0.67439000000000004</v>
      </c>
      <c r="HB18" s="17">
        <v>0.66881000000000002</v>
      </c>
      <c r="HC18" s="17">
        <v>0.65339000000000003</v>
      </c>
      <c r="HD18" s="17">
        <v>0.66932000000000003</v>
      </c>
      <c r="HE18" s="20"/>
      <c r="HF18" s="16" t="s">
        <v>710</v>
      </c>
      <c r="HG18" s="17">
        <v>0.85121000000000002</v>
      </c>
      <c r="HH18" s="17">
        <v>0.84480999999999995</v>
      </c>
      <c r="HI18" s="17">
        <v>0.74811000000000005</v>
      </c>
      <c r="HJ18" s="17">
        <v>0.77507000000000004</v>
      </c>
      <c r="HK18" s="17">
        <v>0.82284000000000002</v>
      </c>
      <c r="HL18" s="17">
        <v>0.81499999999999995</v>
      </c>
      <c r="HM18" s="17">
        <v>0.85580000000000001</v>
      </c>
      <c r="HN18" s="17">
        <v>0.84302999999999995</v>
      </c>
      <c r="HO18" s="17">
        <v>0.79378000000000004</v>
      </c>
      <c r="HP18" s="17">
        <v>0.64990000000000003</v>
      </c>
      <c r="HQ18" s="17">
        <v>0.63593</v>
      </c>
      <c r="HR18" s="17">
        <v>0.65715999999999997</v>
      </c>
      <c r="HS18" s="20"/>
      <c r="HT18" s="16" t="s">
        <v>710</v>
      </c>
      <c r="HU18" s="17">
        <v>0.69967000000000001</v>
      </c>
      <c r="HV18" s="17">
        <v>0.70618999999999998</v>
      </c>
      <c r="HW18" s="17">
        <v>0.71748999999999996</v>
      </c>
      <c r="HX18" s="17">
        <v>0.74850000000000005</v>
      </c>
      <c r="HY18" s="17">
        <v>0.75160000000000005</v>
      </c>
      <c r="HZ18" s="17">
        <v>0.76092000000000004</v>
      </c>
      <c r="IA18" s="17">
        <v>0.76944000000000001</v>
      </c>
      <c r="IB18" s="17">
        <v>0.76393999999999995</v>
      </c>
      <c r="IC18" s="17">
        <v>0.82369000000000003</v>
      </c>
      <c r="ID18" s="17">
        <v>0.84167999999999998</v>
      </c>
      <c r="IE18" s="17">
        <v>0.84140000000000004</v>
      </c>
      <c r="IF18" s="17">
        <v>0.85360999999999998</v>
      </c>
      <c r="IG18" s="20"/>
      <c r="IH18" s="16" t="s">
        <v>710</v>
      </c>
      <c r="II18" s="17">
        <v>0.75568999999999997</v>
      </c>
      <c r="IJ18" s="17">
        <v>0.76075000000000004</v>
      </c>
      <c r="IK18" s="17">
        <v>0.73970000000000002</v>
      </c>
      <c r="IL18" s="17">
        <v>0.75651999999999997</v>
      </c>
      <c r="IM18" s="17">
        <v>0.64475000000000005</v>
      </c>
      <c r="IN18" s="17">
        <v>0.62444999999999995</v>
      </c>
      <c r="IO18" s="17">
        <v>0.67001999999999995</v>
      </c>
      <c r="IP18" s="17">
        <v>0.68247999999999998</v>
      </c>
      <c r="IQ18" s="17">
        <v>0.66346000000000005</v>
      </c>
      <c r="IR18" s="17">
        <v>0.68516999999999995</v>
      </c>
      <c r="IS18" s="17">
        <v>0.68293999999999999</v>
      </c>
      <c r="IT18" s="17">
        <v>0.70645999999999998</v>
      </c>
      <c r="IU18" s="20"/>
      <c r="IV18" s="16" t="s">
        <v>710</v>
      </c>
      <c r="IW18" s="17">
        <v>7.5000000000000002E-4</v>
      </c>
      <c r="IX18" s="17">
        <v>7.6999999999999996E-4</v>
      </c>
      <c r="IY18" s="17">
        <v>7.2999999999999996E-4</v>
      </c>
      <c r="IZ18" s="17">
        <v>7.1000000000000002E-4</v>
      </c>
      <c r="JA18" s="17">
        <v>7.2999999999999996E-4</v>
      </c>
      <c r="JB18" s="17">
        <v>7.5000000000000002E-4</v>
      </c>
      <c r="JC18" s="17">
        <v>7.5000000000000002E-4</v>
      </c>
      <c r="JD18" s="17">
        <v>7.3999999999999999E-4</v>
      </c>
      <c r="JE18" s="17">
        <v>7.3999999999999999E-4</v>
      </c>
      <c r="JF18" s="17">
        <v>7.3999999999999999E-4</v>
      </c>
      <c r="JG18" s="17">
        <v>7.3999999999999999E-4</v>
      </c>
      <c r="JH18" s="17">
        <v>7.3999999999999999E-4</v>
      </c>
    </row>
    <row r="19" spans="1:268" s="19" customFormat="1" ht="19.8" thickBot="1">
      <c r="A19" s="8"/>
      <c r="B19" s="16" t="s">
        <v>711</v>
      </c>
      <c r="C19" s="17">
        <v>2.7799999999999999E-3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16" t="s">
        <v>711</v>
      </c>
      <c r="Q19" s="17">
        <v>3.15E-3</v>
      </c>
      <c r="R19" s="17">
        <v>3.0300000000000001E-3</v>
      </c>
      <c r="S19" s="17">
        <v>3.0300000000000001E-3</v>
      </c>
      <c r="T19" s="17">
        <v>2.7899999999999999E-3</v>
      </c>
      <c r="U19" s="17">
        <v>2.7000000000000001E-3</v>
      </c>
      <c r="V19" s="17">
        <v>2.63E-3</v>
      </c>
      <c r="W19" s="17">
        <v>2.5200000000000001E-3</v>
      </c>
      <c r="X19" s="17">
        <v>2.5000000000000001E-3</v>
      </c>
      <c r="Y19" s="17">
        <v>2.32E-3</v>
      </c>
      <c r="Z19" s="17">
        <v>2.4099999999999998E-3</v>
      </c>
      <c r="AA19" s="17">
        <v>2.5100000000000001E-3</v>
      </c>
      <c r="AB19" s="17">
        <v>2.66E-3</v>
      </c>
      <c r="AC19" s="8"/>
      <c r="AD19" s="16" t="s">
        <v>711</v>
      </c>
      <c r="AE19" s="17">
        <v>3.3999999999999998E-3</v>
      </c>
      <c r="AF19" s="17">
        <v>3.3500000000000001E-3</v>
      </c>
      <c r="AG19" s="17">
        <v>3.2399999999999998E-3</v>
      </c>
      <c r="AH19" s="17">
        <v>3.3400000000000001E-3</v>
      </c>
      <c r="AI19" s="17">
        <v>3.5200000000000001E-3</v>
      </c>
      <c r="AJ19" s="17">
        <v>3.3800000000000002E-3</v>
      </c>
      <c r="AK19" s="17">
        <v>3.32E-3</v>
      </c>
      <c r="AL19" s="17">
        <v>3.3800000000000002E-3</v>
      </c>
      <c r="AM19" s="17">
        <v>3.2299999999999998E-3</v>
      </c>
      <c r="AN19" s="17">
        <v>3.2200000000000002E-3</v>
      </c>
      <c r="AO19" s="17">
        <v>3.0799999999999998E-3</v>
      </c>
      <c r="AP19" s="17">
        <v>3.0799999999999998E-3</v>
      </c>
      <c r="AQ19" s="8"/>
      <c r="AR19" s="16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8"/>
      <c r="BF19" s="16" t="s">
        <v>393</v>
      </c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8"/>
      <c r="BT19" s="16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8"/>
      <c r="CH19" s="16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8"/>
      <c r="CV19" s="18"/>
      <c r="CW19" s="16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K19" s="18"/>
      <c r="DL19" s="16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20"/>
      <c r="DZ19" s="16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20"/>
      <c r="EN19" s="16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20"/>
      <c r="FB19" s="16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20"/>
      <c r="FP19" s="16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20"/>
      <c r="GD19" s="16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20"/>
      <c r="GR19" s="16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20"/>
      <c r="HF19" s="16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20"/>
      <c r="HT19" s="16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20"/>
      <c r="IH19" s="16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20"/>
      <c r="IV19" s="16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</row>
    <row r="20" spans="1:268" s="19" customFormat="1" ht="19.8" thickBot="1">
      <c r="A20" s="8" t="s">
        <v>712</v>
      </c>
      <c r="B20" s="16" t="s">
        <v>712</v>
      </c>
      <c r="C20" s="17">
        <v>1.222E-2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16" t="s">
        <v>712</v>
      </c>
      <c r="Q20" s="17">
        <v>1.34E-2</v>
      </c>
      <c r="R20" s="17">
        <v>1.3270000000000001E-2</v>
      </c>
      <c r="S20" s="17">
        <v>1.321E-2</v>
      </c>
      <c r="T20" s="17">
        <v>1.308E-2</v>
      </c>
      <c r="U20" s="17">
        <v>1.2869999999999999E-2</v>
      </c>
      <c r="V20" s="17">
        <v>1.2659999999999999E-2</v>
      </c>
      <c r="W20" s="17">
        <v>1.261E-2</v>
      </c>
      <c r="X20" s="17">
        <v>1.259E-2</v>
      </c>
      <c r="Y20" s="17">
        <v>1.2279999999999999E-2</v>
      </c>
      <c r="Z20" s="17">
        <v>1.2070000000000001E-2</v>
      </c>
      <c r="AA20" s="17">
        <v>1.231E-2</v>
      </c>
      <c r="AB20" s="17">
        <v>1.21E-2</v>
      </c>
      <c r="AC20" s="8"/>
      <c r="AD20" s="16" t="s">
        <v>712</v>
      </c>
      <c r="AE20" s="17">
        <v>1.371E-2</v>
      </c>
      <c r="AF20" s="17">
        <v>1.3610000000000001E-2</v>
      </c>
      <c r="AG20" s="17">
        <v>1.3679999999999999E-2</v>
      </c>
      <c r="AH20" s="17">
        <v>1.35E-2</v>
      </c>
      <c r="AI20" s="17">
        <v>1.3769999999999999E-2</v>
      </c>
      <c r="AJ20" s="17">
        <v>1.345E-2</v>
      </c>
      <c r="AK20" s="17">
        <v>1.3440000000000001E-2</v>
      </c>
      <c r="AL20" s="17">
        <v>1.37E-2</v>
      </c>
      <c r="AM20" s="17">
        <v>1.346E-2</v>
      </c>
      <c r="AN20" s="17">
        <v>1.3350000000000001E-2</v>
      </c>
      <c r="AO20" s="17">
        <v>1.3299999999999999E-2</v>
      </c>
      <c r="AP20" s="17">
        <v>1.346E-2</v>
      </c>
      <c r="AQ20" s="8"/>
      <c r="AR20" s="16" t="s">
        <v>712</v>
      </c>
      <c r="AS20" s="17">
        <v>1.397E-2</v>
      </c>
      <c r="AT20" s="17">
        <v>1.384E-2</v>
      </c>
      <c r="AU20" s="17">
        <v>1.3259999999999999E-2</v>
      </c>
      <c r="AV20" s="17">
        <v>1.332E-2</v>
      </c>
      <c r="AW20" s="17">
        <v>1.3220000000000001E-2</v>
      </c>
      <c r="AX20" s="17">
        <v>1.324E-2</v>
      </c>
      <c r="AY20" s="17">
        <v>1.337E-2</v>
      </c>
      <c r="AZ20" s="17">
        <v>1.358E-2</v>
      </c>
      <c r="BA20" s="17">
        <v>1.355E-2</v>
      </c>
      <c r="BB20" s="17">
        <v>1.349E-2</v>
      </c>
      <c r="BC20" s="17">
        <v>1.35E-2</v>
      </c>
      <c r="BD20" s="17">
        <v>1.3679999999999999E-2</v>
      </c>
      <c r="BE20" s="8"/>
      <c r="BF20" s="16" t="s">
        <v>712</v>
      </c>
      <c r="BG20" s="17">
        <v>1.409E-2</v>
      </c>
      <c r="BH20" s="17">
        <v>1.4120000000000001E-2</v>
      </c>
      <c r="BI20" s="17">
        <v>1.443E-2</v>
      </c>
      <c r="BJ20" s="17">
        <v>1.4370000000000001E-2</v>
      </c>
      <c r="BK20" s="17">
        <v>1.4370000000000001E-2</v>
      </c>
      <c r="BL20" s="17">
        <v>1.4500000000000001E-2</v>
      </c>
      <c r="BM20" s="17">
        <v>1.453E-2</v>
      </c>
      <c r="BN20" s="17">
        <v>1.396E-2</v>
      </c>
      <c r="BO20" s="17">
        <v>1.4149999999999999E-2</v>
      </c>
      <c r="BP20" s="17">
        <v>1.406E-2</v>
      </c>
      <c r="BQ20" s="17">
        <v>1.3939999999999999E-2</v>
      </c>
      <c r="BR20" s="17">
        <v>1.404E-2</v>
      </c>
      <c r="BS20" s="8"/>
      <c r="BT20" s="16" t="s">
        <v>712</v>
      </c>
      <c r="BU20" s="17">
        <v>1.5709999999999998E-2</v>
      </c>
      <c r="BV20" s="17">
        <v>1.5339999999999999E-2</v>
      </c>
      <c r="BW20" s="17">
        <v>1.5350000000000001E-2</v>
      </c>
      <c r="BX20" s="17">
        <v>1.504E-2</v>
      </c>
      <c r="BY20" s="17">
        <v>1.4829999999999999E-2</v>
      </c>
      <c r="BZ20" s="17">
        <v>1.461E-2</v>
      </c>
      <c r="CA20" s="17">
        <v>1.46E-2</v>
      </c>
      <c r="CB20" s="17">
        <v>1.4120000000000001E-2</v>
      </c>
      <c r="CC20" s="17">
        <v>1.379E-2</v>
      </c>
      <c r="CD20" s="17">
        <v>1.35E-2</v>
      </c>
      <c r="CE20" s="17">
        <v>1.434E-2</v>
      </c>
      <c r="CF20" s="17">
        <v>1.438E-2</v>
      </c>
      <c r="CG20" s="8"/>
      <c r="CH20" s="16" t="s">
        <v>712</v>
      </c>
      <c r="CI20" s="17">
        <v>1.481E-2</v>
      </c>
      <c r="CJ20" s="17">
        <v>1.4999999999999999E-2</v>
      </c>
      <c r="CK20" s="17">
        <v>1.5429999999999999E-2</v>
      </c>
      <c r="CL20" s="17">
        <v>1.5570000000000001E-2</v>
      </c>
      <c r="CM20" s="17">
        <v>1.5509999999999999E-2</v>
      </c>
      <c r="CN20" s="17">
        <v>1.5480000000000001E-2</v>
      </c>
      <c r="CO20" s="17">
        <v>1.559E-2</v>
      </c>
      <c r="CP20" s="17">
        <v>1.5630000000000002E-2</v>
      </c>
      <c r="CQ20" s="17">
        <v>1.5299999999999999E-2</v>
      </c>
      <c r="CR20" s="17">
        <v>1.546E-2</v>
      </c>
      <c r="CS20" s="17">
        <v>1.549E-2</v>
      </c>
      <c r="CT20" s="17">
        <v>1.566E-2</v>
      </c>
      <c r="CU20" s="18"/>
      <c r="CV20" s="18" t="s">
        <v>712</v>
      </c>
      <c r="CW20" s="16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K20" s="18"/>
      <c r="DL20" s="16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20"/>
      <c r="DZ20" s="16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20"/>
      <c r="EN20" s="16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20"/>
      <c r="FB20" s="16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20"/>
      <c r="FP20" s="16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20"/>
      <c r="GD20" s="16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20"/>
      <c r="GR20" s="16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20"/>
      <c r="HF20" s="16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20"/>
      <c r="HT20" s="16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20"/>
      <c r="IH20" s="16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20"/>
      <c r="IV20" s="16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</row>
    <row r="21" spans="1:268" s="19" customFormat="1" ht="19.8" thickBot="1">
      <c r="A21" s="8" t="s">
        <v>713</v>
      </c>
      <c r="B21" s="16" t="s">
        <v>713</v>
      </c>
      <c r="C21" s="17">
        <f>0.06671/1000</f>
        <v>6.6710000000000003E-5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16" t="s">
        <v>713</v>
      </c>
      <c r="Q21" s="17">
        <f>0.06957/1000</f>
        <v>6.9570000000000013E-5</v>
      </c>
      <c r="R21" s="17">
        <f>0.06954/1000</f>
        <v>6.9540000000000002E-5</v>
      </c>
      <c r="S21" s="17">
        <f>0.06962/1000</f>
        <v>6.9620000000000001E-5</v>
      </c>
      <c r="T21" s="17">
        <f>0.06906/1000</f>
        <v>6.9059999999999993E-5</v>
      </c>
      <c r="U21" s="17">
        <f>0.06866/1000</f>
        <v>6.8659999999999997E-5</v>
      </c>
      <c r="V21" s="17">
        <f>0.06711/1000</f>
        <v>6.711E-5</v>
      </c>
      <c r="W21" s="17">
        <f>0.06741/1000</f>
        <v>6.7409999999999993E-5</v>
      </c>
      <c r="X21" s="17">
        <f>0.06736/1000</f>
        <v>6.7360000000000006E-5</v>
      </c>
      <c r="Y21" s="17">
        <f>0.06567/1000</f>
        <v>6.567E-5</v>
      </c>
      <c r="Z21" s="17">
        <f>0.06411/1000</f>
        <v>6.4109999999999994E-5</v>
      </c>
      <c r="AA21" s="17">
        <f>0.06356/1000</f>
        <v>6.3560000000000008E-5</v>
      </c>
      <c r="AB21" s="17">
        <f>0.06421/1000</f>
        <v>6.4209999999999997E-5</v>
      </c>
      <c r="AC21" s="8"/>
      <c r="AD21" s="16" t="s">
        <v>713</v>
      </c>
      <c r="AE21" s="17">
        <f>0.07125/1000</f>
        <v>7.1249999999999997E-5</v>
      </c>
      <c r="AF21" s="17">
        <f>0.07021/1000</f>
        <v>7.0209999999999994E-5</v>
      </c>
      <c r="AG21" s="17">
        <f>0.06881/1000</f>
        <v>6.881E-5</v>
      </c>
      <c r="AH21" s="17">
        <f>0.06923/1000</f>
        <v>6.923E-5</v>
      </c>
      <c r="AI21" s="17">
        <f>0.07003/1000</f>
        <v>7.0029999999999992E-5</v>
      </c>
      <c r="AJ21" s="17">
        <f>0.06896/1000</f>
        <v>6.895999999999999E-5</v>
      </c>
      <c r="AK21" s="17">
        <f>0.06914/1000</f>
        <v>6.9139999999999992E-5</v>
      </c>
      <c r="AL21" s="17">
        <f>0.07011/1000</f>
        <v>7.0110000000000005E-5</v>
      </c>
      <c r="AM21" s="17">
        <f>0.06986/1000</f>
        <v>6.9860000000000012E-5</v>
      </c>
      <c r="AN21" s="17">
        <f>0.07058/1000</f>
        <v>7.0580000000000005E-5</v>
      </c>
      <c r="AO21" s="17">
        <f>0.06977/1000</f>
        <v>6.9770000000000005E-5</v>
      </c>
      <c r="AP21" s="17">
        <f>0.07011/1000</f>
        <v>7.0110000000000005E-5</v>
      </c>
      <c r="AQ21" s="8"/>
      <c r="AR21" s="16" t="s">
        <v>713</v>
      </c>
      <c r="AS21" s="17">
        <v>7.2559999999999996E-5</v>
      </c>
      <c r="AT21" s="17">
        <v>6.9750000000000001E-5</v>
      </c>
      <c r="AU21" s="17">
        <f>0.06131/1000</f>
        <v>6.1310000000000008E-5</v>
      </c>
      <c r="AV21" s="17">
        <f>0.06718/1000</f>
        <v>6.7180000000000004E-5</v>
      </c>
      <c r="AW21" s="17">
        <f>0.06842/1000</f>
        <v>6.8419999999999999E-5</v>
      </c>
      <c r="AX21" s="17">
        <f>0.0701/1000</f>
        <v>7.0099999999999996E-5</v>
      </c>
      <c r="AY21" s="17">
        <f>0.06848/1000</f>
        <v>6.8479999999999995E-5</v>
      </c>
      <c r="AZ21" s="17">
        <f>0.06865/1000</f>
        <v>6.8650000000000002E-5</v>
      </c>
      <c r="BA21" s="17">
        <f>0.0672/1000</f>
        <v>6.7199999999999994E-5</v>
      </c>
      <c r="BB21" s="17">
        <f>0.06833/1000</f>
        <v>6.8330000000000005E-5</v>
      </c>
      <c r="BC21" s="17">
        <f>0.0708/1000</f>
        <v>7.08E-5</v>
      </c>
      <c r="BD21" s="17">
        <f>0.07115/1000</f>
        <v>7.1150000000000008E-5</v>
      </c>
      <c r="BE21" s="8"/>
      <c r="BF21" s="16" t="s">
        <v>713</v>
      </c>
      <c r="BG21" s="17">
        <v>7.1730000000000006E-5</v>
      </c>
      <c r="BH21" s="17">
        <v>7.0699999999999997E-5</v>
      </c>
      <c r="BI21" s="17">
        <v>7.0160000000000006E-5</v>
      </c>
      <c r="BJ21" s="17">
        <v>7.046E-5</v>
      </c>
      <c r="BK21" s="17">
        <v>6.991E-5</v>
      </c>
      <c r="BL21" s="17">
        <f>0.07079/1000</f>
        <v>7.0790000000000005E-5</v>
      </c>
      <c r="BM21" s="17">
        <v>7.1319999999999988E-5</v>
      </c>
      <c r="BN21" s="17">
        <v>7.0470000000000008E-5</v>
      </c>
      <c r="BO21" s="17">
        <f>0.07053/1000</f>
        <v>7.052999999999999E-5</v>
      </c>
      <c r="BP21" s="17">
        <f>0.07099/1000</f>
        <v>7.0989999999999996E-5</v>
      </c>
      <c r="BQ21" s="17">
        <f>0.07081/1000</f>
        <v>7.0809999999999995E-5</v>
      </c>
      <c r="BR21" s="17">
        <f>0.07222/1000</f>
        <v>7.222000000000001E-5</v>
      </c>
      <c r="BS21" s="8"/>
      <c r="BT21" s="16" t="s">
        <v>713</v>
      </c>
      <c r="BU21" s="17">
        <f>0.07472/1000</f>
        <v>7.4719999999999989E-5</v>
      </c>
      <c r="BV21" s="17">
        <v>7.2639999999999996E-5</v>
      </c>
      <c r="BW21" s="17">
        <v>7.2739999999999998E-5</v>
      </c>
      <c r="BX21" s="17">
        <v>7.1860000000000007E-5</v>
      </c>
      <c r="BY21" s="17">
        <f>0.07186/1000</f>
        <v>7.1859999999999993E-5</v>
      </c>
      <c r="BZ21" s="17">
        <f>0.0701/1000</f>
        <v>7.0099999999999996E-5</v>
      </c>
      <c r="CA21" s="17">
        <f>0.06944/1000</f>
        <v>6.9439999999999999E-5</v>
      </c>
      <c r="CB21" s="17">
        <f>0.06748/1000</f>
        <v>6.7479999999999998E-5</v>
      </c>
      <c r="CC21" s="17">
        <v>6.7080000000000001E-5</v>
      </c>
      <c r="CD21" s="17">
        <f>0.06572/1000</f>
        <v>6.5720000000000001E-5</v>
      </c>
      <c r="CE21" s="17">
        <f>0.06969/1000</f>
        <v>6.9690000000000005E-5</v>
      </c>
      <c r="CF21" s="17">
        <f>0.06936/1000</f>
        <v>6.936E-5</v>
      </c>
      <c r="CG21" s="8"/>
      <c r="CH21" s="16" t="s">
        <v>713</v>
      </c>
      <c r="CI21" s="17">
        <f>0.07489/1000</f>
        <v>7.4889999999999996E-5</v>
      </c>
      <c r="CJ21" s="17">
        <f>0.07492/1000</f>
        <v>7.4919999999999994E-5</v>
      </c>
      <c r="CK21" s="17">
        <f>0.07508/1000</f>
        <v>7.5079999999999993E-5</v>
      </c>
      <c r="CL21" s="17">
        <f>0.07502/1000</f>
        <v>7.5019999999999997E-5</v>
      </c>
      <c r="CM21" s="17">
        <f>0.07516/1000</f>
        <v>7.5160000000000005E-5</v>
      </c>
      <c r="CN21" s="17">
        <f>0.075/1000</f>
        <v>7.4999999999999993E-5</v>
      </c>
      <c r="CO21" s="17">
        <f>0.07507/1000</f>
        <v>7.5069999999999998E-5</v>
      </c>
      <c r="CP21" s="17">
        <v>7.5019999999999997E-5</v>
      </c>
      <c r="CQ21" s="17">
        <f>0.07426/1000</f>
        <v>7.4260000000000011E-5</v>
      </c>
      <c r="CR21" s="17">
        <f>0.07374/1000</f>
        <v>7.3739999999999995E-5</v>
      </c>
      <c r="CS21" s="17">
        <f>0.07385/1000</f>
        <v>7.3849999999999993E-5</v>
      </c>
      <c r="CT21" s="17">
        <f>0.0736/1000</f>
        <v>7.36E-5</v>
      </c>
      <c r="CU21" s="18"/>
      <c r="CV21" s="18"/>
      <c r="CW21" s="16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K21" s="18"/>
      <c r="DL21" s="16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20"/>
      <c r="DZ21" s="16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20"/>
      <c r="EN21" s="16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20"/>
      <c r="FB21" s="16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20"/>
      <c r="FP21" s="16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20"/>
      <c r="GD21" s="16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20"/>
      <c r="GR21" s="16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20"/>
      <c r="HF21" s="16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20"/>
      <c r="HT21" s="16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20"/>
      <c r="IH21" s="16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20"/>
      <c r="IV21" s="16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</row>
    <row r="22" spans="1:268" s="19" customFormat="1" ht="19.8" thickBot="1">
      <c r="A22" s="8"/>
      <c r="B22" s="16" t="s">
        <v>714</v>
      </c>
      <c r="C22" s="17">
        <v>0.28943000000000002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16" t="s">
        <v>714</v>
      </c>
      <c r="Q22" s="17">
        <v>0.31455</v>
      </c>
      <c r="R22" s="17">
        <v>0.31187999999999999</v>
      </c>
      <c r="S22" s="17">
        <v>0.31337999999999999</v>
      </c>
      <c r="T22" s="17">
        <v>0.29916999999999999</v>
      </c>
      <c r="U22" s="17">
        <v>0.30026999999999998</v>
      </c>
      <c r="V22" s="17">
        <v>0.28556999999999999</v>
      </c>
      <c r="W22" s="17">
        <v>0.29329</v>
      </c>
      <c r="X22" s="17">
        <v>0.30048000000000002</v>
      </c>
      <c r="Y22" s="17">
        <v>0.28100000000000003</v>
      </c>
      <c r="Z22" s="17">
        <v>0.28351999999999999</v>
      </c>
      <c r="AA22" s="17">
        <v>0.28986000000000001</v>
      </c>
      <c r="AB22" s="17">
        <v>0.28348000000000001</v>
      </c>
      <c r="AC22" s="8"/>
      <c r="AD22" s="16" t="s">
        <v>714</v>
      </c>
      <c r="AE22" s="17">
        <v>0.30531999999999998</v>
      </c>
      <c r="AF22" s="17">
        <v>0.30192000000000002</v>
      </c>
      <c r="AG22" s="17">
        <v>0.29994999999999999</v>
      </c>
      <c r="AH22" s="17">
        <v>0.30836000000000002</v>
      </c>
      <c r="AI22" s="17">
        <v>0.30787999999999999</v>
      </c>
      <c r="AJ22" s="17">
        <v>0.30681000000000003</v>
      </c>
      <c r="AK22" s="17">
        <v>0.30989</v>
      </c>
      <c r="AL22" s="17">
        <v>0.31211</v>
      </c>
      <c r="AM22" s="17">
        <v>0.30991000000000002</v>
      </c>
      <c r="AN22" s="17">
        <v>0.31663000000000002</v>
      </c>
      <c r="AO22" s="17">
        <v>0.31731999999999999</v>
      </c>
      <c r="AP22" s="17">
        <v>0.32144</v>
      </c>
      <c r="AQ22" s="8"/>
      <c r="AR22" s="16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8"/>
      <c r="BT22" s="16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8"/>
      <c r="CH22" s="16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8"/>
      <c r="CV22" s="18"/>
      <c r="CW22" s="16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K22" s="18"/>
      <c r="DL22" s="16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20"/>
      <c r="DZ22" s="16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20"/>
      <c r="EN22" s="16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20"/>
      <c r="FB22" s="16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20"/>
      <c r="FP22" s="16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20"/>
      <c r="GD22" s="16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20"/>
      <c r="GR22" s="16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20"/>
      <c r="HF22" s="16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20"/>
      <c r="HT22" s="16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20"/>
      <c r="IH22" s="16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20"/>
      <c r="IV22" s="16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</row>
    <row r="23" spans="1:268" s="19" customFormat="1" ht="19.8" thickBot="1">
      <c r="A23" s="8" t="s">
        <v>715</v>
      </c>
      <c r="B23" s="16" t="s">
        <v>715</v>
      </c>
      <c r="C23" s="17">
        <f>0.21551/1000</f>
        <v>2.1551E-4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8"/>
      <c r="P23" s="16" t="s">
        <v>715</v>
      </c>
      <c r="Q23" s="17">
        <f>0.25382/1000</f>
        <v>2.5381999999999998E-4</v>
      </c>
      <c r="R23" s="17">
        <f>0.25647/1000</f>
        <v>2.5646999999999996E-4</v>
      </c>
      <c r="S23" s="17">
        <f>0.26648/1000</f>
        <v>2.6647999999999998E-4</v>
      </c>
      <c r="T23" s="17">
        <f>0.25167/1000</f>
        <v>2.5167000000000001E-4</v>
      </c>
      <c r="U23" s="17">
        <f>0.26469/1000</f>
        <v>2.6468999999999999E-4</v>
      </c>
      <c r="V23" s="17">
        <f>0.24037/1000</f>
        <v>2.4037E-4</v>
      </c>
      <c r="W23" s="17">
        <f>0.23244/1000</f>
        <v>2.3244000000000002E-4</v>
      </c>
      <c r="X23" s="17">
        <f>0.22617/1000</f>
        <v>2.2617000000000001E-4</v>
      </c>
      <c r="Y23" s="17">
        <f>0.21799/1000</f>
        <v>2.1798999999999999E-4</v>
      </c>
      <c r="Z23" s="17">
        <f>0.20508/1000</f>
        <v>2.0508000000000001E-4</v>
      </c>
      <c r="AA23" s="17">
        <f>0.20756/1000</f>
        <v>2.0756E-4</v>
      </c>
      <c r="AB23" s="17">
        <f>0.20616/1000</f>
        <v>2.0616000000000002E-4</v>
      </c>
      <c r="AC23" s="8"/>
      <c r="AD23" s="16" t="s">
        <v>715</v>
      </c>
      <c r="AE23" s="17">
        <f>0.28066/1000</f>
        <v>2.8066000000000001E-4</v>
      </c>
      <c r="AF23" s="17">
        <f>0.27655/1000</f>
        <v>2.7655000000000003E-4</v>
      </c>
      <c r="AG23" s="17">
        <f>0.27205/1000</f>
        <v>2.7205000000000003E-4</v>
      </c>
      <c r="AH23" s="17">
        <f>0.26794/1000</f>
        <v>2.6793999999999999E-4</v>
      </c>
      <c r="AI23" s="17">
        <f>0.26963/1000</f>
        <v>2.6962999999999998E-4</v>
      </c>
      <c r="AJ23" s="17">
        <f>0.2674/1000</f>
        <v>2.6740000000000005E-4</v>
      </c>
      <c r="AK23" s="17">
        <f>0.25877/1000</f>
        <v>2.5877000000000002E-4</v>
      </c>
      <c r="AL23" s="17">
        <f>0.26572/1000</f>
        <v>2.6572E-4</v>
      </c>
      <c r="AM23" s="17">
        <f>0.26235/1000</f>
        <v>2.6235000000000001E-4</v>
      </c>
      <c r="AN23" s="17">
        <f>0.26361/1000</f>
        <v>2.6361000000000001E-4</v>
      </c>
      <c r="AO23" s="17">
        <f>0.24948/1000</f>
        <v>2.4948E-4</v>
      </c>
      <c r="AP23" s="17">
        <f>0.24552/1000</f>
        <v>2.4551999999999999E-4</v>
      </c>
      <c r="AQ23" s="8"/>
      <c r="AR23" s="16" t="s">
        <v>715</v>
      </c>
      <c r="AS23" s="17">
        <v>2.9197000000000001E-4</v>
      </c>
      <c r="AT23" s="17">
        <v>2.8409000000000003E-4</v>
      </c>
      <c r="AU23" s="17">
        <f>0.24627/1000</f>
        <v>2.4626999999999999E-4</v>
      </c>
      <c r="AV23" s="17">
        <f>0.25507/1000</f>
        <v>2.5507000000000004E-4</v>
      </c>
      <c r="AW23" s="17">
        <f>0.26928/1000</f>
        <v>2.6928E-4</v>
      </c>
      <c r="AX23" s="17">
        <f>0.26718/1000</f>
        <v>2.6718E-4</v>
      </c>
      <c r="AY23" s="17">
        <f>0.26813/1000</f>
        <v>2.6813E-4</v>
      </c>
      <c r="AZ23" s="17">
        <f>0.26649/1000</f>
        <v>2.6648999999999998E-4</v>
      </c>
      <c r="BA23" s="17">
        <f>0.25919/1000</f>
        <v>2.5918999999999996E-4</v>
      </c>
      <c r="BB23" s="17">
        <f>0.25913/1000</f>
        <v>2.5913000000000005E-4</v>
      </c>
      <c r="BC23" s="17">
        <f>0.27881/1000</f>
        <v>2.7881E-4</v>
      </c>
      <c r="BD23" s="17">
        <f>0.29148/1000</f>
        <v>2.9147999999999999E-4</v>
      </c>
      <c r="BE23" s="8"/>
      <c r="BF23" s="16" t="s">
        <v>715</v>
      </c>
      <c r="BG23" s="17">
        <v>3.2190999999999996E-4</v>
      </c>
      <c r="BH23" s="17">
        <v>3.2466E-4</v>
      </c>
      <c r="BI23" s="17">
        <v>3.1359999999999998E-4</v>
      </c>
      <c r="BJ23" s="17">
        <v>3.0964000000000002E-4</v>
      </c>
      <c r="BK23" s="17">
        <v>2.9806E-4</v>
      </c>
      <c r="BL23" s="17">
        <f>0.31157/1000</f>
        <v>3.1157E-4</v>
      </c>
      <c r="BM23" s="17">
        <v>3.0459000000000004E-4</v>
      </c>
      <c r="BN23" s="17">
        <v>2.9049000000000002E-4</v>
      </c>
      <c r="BO23" s="17">
        <f>0.28752/1000</f>
        <v>2.8751999999999998E-4</v>
      </c>
      <c r="BP23" s="17">
        <f>0.29623/1000</f>
        <v>2.9622999999999997E-4</v>
      </c>
      <c r="BQ23" s="17">
        <f>0.2846/1000</f>
        <v>2.8460000000000003E-4</v>
      </c>
      <c r="BR23" s="17">
        <f>0.30418/1000</f>
        <v>3.0418000000000003E-4</v>
      </c>
      <c r="BS23" s="8"/>
      <c r="BT23" s="16" t="s">
        <v>715</v>
      </c>
      <c r="BU23" s="17">
        <f>0.35325/1000</f>
        <v>3.5324999999999999E-4</v>
      </c>
      <c r="BV23" s="17">
        <v>3.4918999999999998E-4</v>
      </c>
      <c r="BW23" s="17">
        <v>3.5777999999999998E-4</v>
      </c>
      <c r="BX23" s="17">
        <v>3.5680999999999999E-4</v>
      </c>
      <c r="BY23" s="17">
        <f>0.34607/1000</f>
        <v>3.4606999999999997E-4</v>
      </c>
      <c r="BZ23" s="17">
        <f>0.34111/1000</f>
        <v>3.4111000000000005E-4</v>
      </c>
      <c r="CA23" s="17">
        <f>0.34611/1000</f>
        <v>3.4610999999999995E-4</v>
      </c>
      <c r="CB23" s="17">
        <f>0.32838/1000</f>
        <v>3.2838000000000002E-4</v>
      </c>
      <c r="CC23" s="17">
        <v>3.3534999999999999E-4</v>
      </c>
      <c r="CD23" s="17">
        <f>0.31051/1000</f>
        <v>3.1051000000000001E-4</v>
      </c>
      <c r="CE23" s="17">
        <f>0.3091/1000</f>
        <v>3.0909999999999998E-4</v>
      </c>
      <c r="CF23" s="17">
        <f>0.30772/1000</f>
        <v>3.0771999999999999E-4</v>
      </c>
      <c r="CG23" s="8"/>
      <c r="CH23" s="16" t="s">
        <v>715</v>
      </c>
      <c r="CI23" s="17">
        <f>0.34207/1000</f>
        <v>3.4206999999999998E-4</v>
      </c>
      <c r="CJ23" s="17">
        <f>0.34178/1000</f>
        <v>3.4177999999999997E-4</v>
      </c>
      <c r="CK23" s="17">
        <f>0.34795/1000</f>
        <v>3.4794999999999997E-4</v>
      </c>
      <c r="CL23" s="17">
        <f>0.33978/1000</f>
        <v>3.3978000000000003E-4</v>
      </c>
      <c r="CM23" s="17">
        <f>0.34279/1000</f>
        <v>3.4278999999999999E-4</v>
      </c>
      <c r="CN23" s="17">
        <f>0.32846/1000</f>
        <v>3.2845999999999998E-4</v>
      </c>
      <c r="CO23" s="17">
        <f>0.33377/1000</f>
        <v>3.3377E-4</v>
      </c>
      <c r="CP23" s="17">
        <v>3.3934999999999998E-4</v>
      </c>
      <c r="CQ23" s="17">
        <f>0.34042/1000</f>
        <v>3.4042000000000002E-4</v>
      </c>
      <c r="CR23" s="17">
        <f>0.32874/1000</f>
        <v>3.2874E-4</v>
      </c>
      <c r="CS23" s="17">
        <f>0.3315/1000</f>
        <v>3.3150000000000003E-4</v>
      </c>
      <c r="CT23" s="17">
        <f>0.33492/1000</f>
        <v>3.3492E-4</v>
      </c>
      <c r="CU23" s="18"/>
      <c r="CV23" s="18"/>
      <c r="CW23" s="16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K23" s="18"/>
      <c r="DL23" s="16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20"/>
      <c r="DZ23" s="16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20"/>
      <c r="EN23" s="16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20"/>
      <c r="FB23" s="16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20"/>
      <c r="FP23" s="16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20"/>
      <c r="GD23" s="16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20"/>
      <c r="GR23" s="16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20"/>
      <c r="HF23" s="16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20"/>
      <c r="HT23" s="16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20"/>
      <c r="IH23" s="16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20"/>
      <c r="IV23" s="16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</row>
    <row r="24" spans="1:268" s="19" customFormat="1" ht="19.8" thickBot="1">
      <c r="A24" s="8" t="s">
        <v>716</v>
      </c>
      <c r="B24" s="16" t="s">
        <v>716</v>
      </c>
      <c r="C24" s="17">
        <v>1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8"/>
      <c r="P24" s="16" t="s">
        <v>716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  <c r="X24" s="17">
        <v>1</v>
      </c>
      <c r="Y24" s="17">
        <v>1</v>
      </c>
      <c r="Z24" s="17">
        <v>1</v>
      </c>
      <c r="AA24" s="17">
        <v>1</v>
      </c>
      <c r="AB24" s="17">
        <v>1</v>
      </c>
      <c r="AC24" s="8"/>
      <c r="AD24" s="16" t="s">
        <v>716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17">
        <v>1</v>
      </c>
      <c r="AL24" s="17">
        <v>1</v>
      </c>
      <c r="AM24" s="17">
        <v>1</v>
      </c>
      <c r="AN24" s="17">
        <v>1</v>
      </c>
      <c r="AO24" s="17">
        <v>1</v>
      </c>
      <c r="AP24" s="17">
        <v>1</v>
      </c>
      <c r="AQ24" s="8"/>
      <c r="AR24" s="16" t="s">
        <v>716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 s="17">
        <v>1</v>
      </c>
      <c r="BA24" s="17">
        <v>1</v>
      </c>
      <c r="BB24" s="17">
        <v>1</v>
      </c>
      <c r="BC24" s="17">
        <v>1</v>
      </c>
      <c r="BD24" s="17">
        <v>1</v>
      </c>
      <c r="BE24" s="8"/>
      <c r="BF24" s="16" t="s">
        <v>716</v>
      </c>
      <c r="BG24" s="17">
        <v>1</v>
      </c>
      <c r="BH24" s="17">
        <v>1</v>
      </c>
      <c r="BI24" s="17">
        <v>1</v>
      </c>
      <c r="BJ24" s="17">
        <v>1</v>
      </c>
      <c r="BK24" s="17">
        <v>1</v>
      </c>
      <c r="BL24" s="17">
        <v>1</v>
      </c>
      <c r="BM24" s="17">
        <v>1</v>
      </c>
      <c r="BN24" s="17">
        <v>1</v>
      </c>
      <c r="BO24" s="17">
        <v>1</v>
      </c>
      <c r="BP24" s="17">
        <v>1</v>
      </c>
      <c r="BQ24" s="17">
        <v>1</v>
      </c>
      <c r="BR24" s="17">
        <v>1</v>
      </c>
      <c r="BS24" s="8"/>
      <c r="BT24" s="16" t="s">
        <v>716</v>
      </c>
      <c r="BU24" s="17">
        <v>1</v>
      </c>
      <c r="BV24" s="17">
        <v>1</v>
      </c>
      <c r="BW24" s="17">
        <v>1</v>
      </c>
      <c r="BX24" s="17">
        <v>1</v>
      </c>
      <c r="BY24" s="17">
        <v>1</v>
      </c>
      <c r="BZ24" s="17">
        <v>1</v>
      </c>
      <c r="CA24" s="17">
        <v>1</v>
      </c>
      <c r="CB24" s="17">
        <v>1</v>
      </c>
      <c r="CC24" s="17">
        <v>1</v>
      </c>
      <c r="CD24" s="17">
        <v>1</v>
      </c>
      <c r="CE24" s="17">
        <v>1</v>
      </c>
      <c r="CF24" s="17">
        <v>1</v>
      </c>
      <c r="CG24" s="8"/>
      <c r="CH24" s="16" t="s">
        <v>716</v>
      </c>
      <c r="CI24" s="17">
        <v>1</v>
      </c>
      <c r="CJ24" s="17">
        <v>1</v>
      </c>
      <c r="CK24" s="17">
        <v>1</v>
      </c>
      <c r="CL24" s="17">
        <v>1</v>
      </c>
      <c r="CM24" s="17">
        <v>1</v>
      </c>
      <c r="CN24" s="17">
        <v>1</v>
      </c>
      <c r="CO24" s="17">
        <v>1</v>
      </c>
      <c r="CP24" s="17">
        <v>1</v>
      </c>
      <c r="CQ24" s="17">
        <v>1</v>
      </c>
      <c r="CR24" s="17">
        <v>1</v>
      </c>
      <c r="CS24" s="17">
        <v>1</v>
      </c>
      <c r="CT24" s="17">
        <v>1</v>
      </c>
      <c r="CU24" s="18"/>
      <c r="CV24" s="18" t="s">
        <v>716</v>
      </c>
      <c r="CW24" s="16" t="s">
        <v>716</v>
      </c>
      <c r="CX24" s="17">
        <v>1</v>
      </c>
      <c r="CY24" s="17">
        <v>1</v>
      </c>
      <c r="CZ24" s="17">
        <v>1</v>
      </c>
      <c r="DA24" s="17">
        <v>1</v>
      </c>
      <c r="DB24" s="17">
        <v>1</v>
      </c>
      <c r="DC24" s="17">
        <v>1</v>
      </c>
      <c r="DD24" s="17">
        <v>1</v>
      </c>
      <c r="DE24" s="17">
        <v>1</v>
      </c>
      <c r="DF24" s="17">
        <v>1</v>
      </c>
      <c r="DG24" s="17">
        <v>1</v>
      </c>
      <c r="DH24" s="17">
        <v>1</v>
      </c>
      <c r="DI24" s="17">
        <v>1</v>
      </c>
      <c r="DK24" s="18" t="s">
        <v>716</v>
      </c>
      <c r="DL24" s="16" t="s">
        <v>716</v>
      </c>
      <c r="DM24" s="17">
        <v>1</v>
      </c>
      <c r="DN24" s="17">
        <v>1</v>
      </c>
      <c r="DO24" s="17">
        <v>1</v>
      </c>
      <c r="DP24" s="17">
        <v>1</v>
      </c>
      <c r="DQ24" s="17">
        <v>1</v>
      </c>
      <c r="DR24" s="17">
        <v>1</v>
      </c>
      <c r="DS24" s="17">
        <v>1</v>
      </c>
      <c r="DT24" s="17">
        <v>1</v>
      </c>
      <c r="DU24" s="17">
        <v>1</v>
      </c>
      <c r="DV24" s="17">
        <v>1</v>
      </c>
      <c r="DW24" s="17">
        <v>1</v>
      </c>
      <c r="DX24" s="17">
        <v>1</v>
      </c>
      <c r="DY24" s="20"/>
      <c r="DZ24" s="16" t="s">
        <v>716</v>
      </c>
      <c r="EA24" s="17">
        <v>1</v>
      </c>
      <c r="EB24" s="17">
        <v>1</v>
      </c>
      <c r="EC24" s="17">
        <v>1</v>
      </c>
      <c r="ED24" s="17">
        <v>1</v>
      </c>
      <c r="EE24" s="17">
        <v>1</v>
      </c>
      <c r="EF24" s="17">
        <v>1</v>
      </c>
      <c r="EG24" s="17">
        <v>1</v>
      </c>
      <c r="EH24" s="17">
        <v>1</v>
      </c>
      <c r="EI24" s="17">
        <v>1</v>
      </c>
      <c r="EJ24" s="17">
        <v>1</v>
      </c>
      <c r="EK24" s="17">
        <v>1</v>
      </c>
      <c r="EL24" s="17">
        <v>1</v>
      </c>
      <c r="EM24" s="20"/>
      <c r="EN24" s="16" t="s">
        <v>716</v>
      </c>
      <c r="EO24" s="17">
        <v>1</v>
      </c>
      <c r="EP24" s="17">
        <v>1</v>
      </c>
      <c r="EQ24" s="17">
        <v>1</v>
      </c>
      <c r="ER24" s="17">
        <v>1</v>
      </c>
      <c r="ES24" s="17">
        <v>1</v>
      </c>
      <c r="ET24" s="17">
        <v>1</v>
      </c>
      <c r="EU24" s="17">
        <v>1</v>
      </c>
      <c r="EV24" s="17">
        <v>1</v>
      </c>
      <c r="EW24" s="17">
        <v>1</v>
      </c>
      <c r="EX24" s="17">
        <v>1</v>
      </c>
      <c r="EY24" s="17">
        <v>1</v>
      </c>
      <c r="EZ24" s="17">
        <v>1</v>
      </c>
      <c r="FA24" s="20"/>
      <c r="FB24" s="16" t="s">
        <v>716</v>
      </c>
      <c r="FC24" s="17">
        <v>1</v>
      </c>
      <c r="FD24" s="17">
        <v>1</v>
      </c>
      <c r="FE24" s="17">
        <v>1</v>
      </c>
      <c r="FF24" s="17">
        <v>1</v>
      </c>
      <c r="FG24" s="17">
        <v>1</v>
      </c>
      <c r="FH24" s="17">
        <v>1</v>
      </c>
      <c r="FI24" s="17">
        <v>1</v>
      </c>
      <c r="FJ24" s="17">
        <v>1</v>
      </c>
      <c r="FK24" s="17">
        <v>1</v>
      </c>
      <c r="FL24" s="17">
        <v>1</v>
      </c>
      <c r="FM24" s="17">
        <v>1</v>
      </c>
      <c r="FN24" s="17">
        <v>1</v>
      </c>
      <c r="FO24" s="20"/>
      <c r="FP24" s="16" t="s">
        <v>716</v>
      </c>
      <c r="FQ24" s="17">
        <v>1</v>
      </c>
      <c r="FR24" s="17">
        <v>1</v>
      </c>
      <c r="FS24" s="17">
        <v>1</v>
      </c>
      <c r="FT24" s="17">
        <v>1</v>
      </c>
      <c r="FU24" s="17">
        <v>1</v>
      </c>
      <c r="FV24" s="17">
        <v>1</v>
      </c>
      <c r="FW24" s="17">
        <v>1</v>
      </c>
      <c r="FX24" s="17">
        <v>1</v>
      </c>
      <c r="FY24" s="17">
        <v>1</v>
      </c>
      <c r="FZ24" s="17">
        <v>1</v>
      </c>
      <c r="GA24" s="17">
        <v>1</v>
      </c>
      <c r="GB24" s="17">
        <v>1</v>
      </c>
      <c r="GC24" s="20"/>
      <c r="GD24" s="16" t="s">
        <v>716</v>
      </c>
      <c r="GE24" s="17">
        <v>1</v>
      </c>
      <c r="GF24" s="17">
        <v>1</v>
      </c>
      <c r="GG24" s="17">
        <v>1</v>
      </c>
      <c r="GH24" s="17">
        <v>1</v>
      </c>
      <c r="GI24" s="17">
        <v>1</v>
      </c>
      <c r="GJ24" s="17">
        <v>1</v>
      </c>
      <c r="GK24" s="17">
        <v>1</v>
      </c>
      <c r="GL24" s="17">
        <v>1</v>
      </c>
      <c r="GM24" s="17">
        <v>1</v>
      </c>
      <c r="GN24" s="17">
        <v>1</v>
      </c>
      <c r="GO24" s="17">
        <v>1</v>
      </c>
      <c r="GP24" s="17">
        <v>1</v>
      </c>
      <c r="GQ24" s="20"/>
      <c r="GR24" s="16" t="s">
        <v>716</v>
      </c>
      <c r="GS24" s="17">
        <v>1</v>
      </c>
      <c r="GT24" s="17">
        <v>1</v>
      </c>
      <c r="GU24" s="17">
        <v>1</v>
      </c>
      <c r="GV24" s="17">
        <v>1</v>
      </c>
      <c r="GW24" s="17">
        <v>1</v>
      </c>
      <c r="GX24" s="17">
        <v>1</v>
      </c>
      <c r="GY24" s="17">
        <v>1</v>
      </c>
      <c r="GZ24" s="17">
        <v>1</v>
      </c>
      <c r="HA24" s="17">
        <v>1</v>
      </c>
      <c r="HB24" s="17">
        <v>1</v>
      </c>
      <c r="HC24" s="17">
        <v>1</v>
      </c>
      <c r="HD24" s="17">
        <v>1</v>
      </c>
      <c r="HE24" s="20"/>
      <c r="HF24" s="16" t="s">
        <v>716</v>
      </c>
      <c r="HG24" s="17">
        <v>1</v>
      </c>
      <c r="HH24" s="17">
        <v>1</v>
      </c>
      <c r="HI24" s="17">
        <v>1</v>
      </c>
      <c r="HJ24" s="17">
        <v>1</v>
      </c>
      <c r="HK24" s="17">
        <v>1</v>
      </c>
      <c r="HL24" s="17">
        <v>1</v>
      </c>
      <c r="HM24" s="17">
        <v>1</v>
      </c>
      <c r="HN24" s="17">
        <v>1</v>
      </c>
      <c r="HO24" s="17">
        <v>1</v>
      </c>
      <c r="HP24" s="17">
        <v>1</v>
      </c>
      <c r="HQ24" s="17">
        <v>1</v>
      </c>
      <c r="HR24" s="17">
        <v>1</v>
      </c>
      <c r="HS24" s="20"/>
      <c r="HT24" s="16" t="s">
        <v>716</v>
      </c>
      <c r="HU24" s="17">
        <v>1</v>
      </c>
      <c r="HV24" s="17">
        <v>1</v>
      </c>
      <c r="HW24" s="17">
        <v>1</v>
      </c>
      <c r="HX24" s="17">
        <v>1</v>
      </c>
      <c r="HY24" s="17">
        <v>1</v>
      </c>
      <c r="HZ24" s="17">
        <v>1</v>
      </c>
      <c r="IA24" s="17">
        <v>1</v>
      </c>
      <c r="IB24" s="17">
        <v>1</v>
      </c>
      <c r="IC24" s="17">
        <v>1</v>
      </c>
      <c r="ID24" s="17">
        <v>1</v>
      </c>
      <c r="IE24" s="17">
        <v>1</v>
      </c>
      <c r="IF24" s="17">
        <v>1</v>
      </c>
      <c r="IG24" s="20"/>
      <c r="IH24" s="16" t="s">
        <v>716</v>
      </c>
      <c r="II24" s="17">
        <v>1</v>
      </c>
      <c r="IJ24" s="17">
        <v>1</v>
      </c>
      <c r="IK24" s="17">
        <v>1</v>
      </c>
      <c r="IL24" s="17">
        <v>1</v>
      </c>
      <c r="IM24" s="17">
        <v>1</v>
      </c>
      <c r="IN24" s="17">
        <v>1</v>
      </c>
      <c r="IO24" s="17">
        <v>1</v>
      </c>
      <c r="IP24" s="17">
        <v>1</v>
      </c>
      <c r="IQ24" s="17">
        <v>1</v>
      </c>
      <c r="IR24" s="17">
        <v>1</v>
      </c>
      <c r="IS24" s="17">
        <v>1</v>
      </c>
      <c r="IT24" s="17">
        <v>1</v>
      </c>
      <c r="IU24" s="20"/>
      <c r="IV24" s="16" t="s">
        <v>716</v>
      </c>
      <c r="IW24" s="17">
        <v>1</v>
      </c>
      <c r="IX24" s="17">
        <v>1</v>
      </c>
      <c r="IY24" s="17">
        <v>1</v>
      </c>
      <c r="IZ24" s="17">
        <v>1</v>
      </c>
      <c r="JA24" s="17">
        <v>1</v>
      </c>
      <c r="JB24" s="17">
        <v>1</v>
      </c>
      <c r="JC24" s="17">
        <v>1</v>
      </c>
      <c r="JD24" s="17">
        <v>1</v>
      </c>
      <c r="JE24" s="17">
        <v>1</v>
      </c>
      <c r="JF24" s="17">
        <v>1</v>
      </c>
      <c r="JG24" s="17">
        <v>1</v>
      </c>
      <c r="JH24" s="17">
        <v>1</v>
      </c>
    </row>
    <row r="27" spans="1:268">
      <c r="A27" s="2" t="s">
        <v>717</v>
      </c>
    </row>
    <row r="30" spans="1:268">
      <c r="A30" s="2" t="s">
        <v>718</v>
      </c>
      <c r="BT30" s="2" t="s">
        <v>719</v>
      </c>
    </row>
    <row r="31" spans="1:268">
      <c r="A31" s="2" t="s">
        <v>720</v>
      </c>
      <c r="BT31" s="2" t="s">
        <v>721</v>
      </c>
    </row>
  </sheetData>
  <mergeCells count="19">
    <mergeCell ref="EN1:EZ1"/>
    <mergeCell ref="BT1:CF1"/>
    <mergeCell ref="CH1:CT1"/>
    <mergeCell ref="HT1:IF1"/>
    <mergeCell ref="IH1:IT1"/>
    <mergeCell ref="CW1:DI1"/>
    <mergeCell ref="DL1:DX1"/>
    <mergeCell ref="DZ1:EL1"/>
    <mergeCell ref="IV1:JH1"/>
    <mergeCell ref="FB1:FN1"/>
    <mergeCell ref="FP1:GB1"/>
    <mergeCell ref="GD1:GP1"/>
    <mergeCell ref="GR1:HD1"/>
    <mergeCell ref="HF1:HR1"/>
    <mergeCell ref="B1:N1"/>
    <mergeCell ref="P1:AB1"/>
    <mergeCell ref="AR1:BD1"/>
    <mergeCell ref="AD1:AP1"/>
    <mergeCell ref="BF1:B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UM39"/>
  <sheetViews>
    <sheetView showGridLines="0" zoomScaleNormal="100" workbookViewId="0">
      <selection activeCell="H33" sqref="H33"/>
    </sheetView>
  </sheetViews>
  <sheetFormatPr defaultColWidth="10.796875" defaultRowHeight="15.6"/>
  <cols>
    <col min="1" max="65" width="10.796875" style="1"/>
    <col min="66" max="66" width="5.69921875" style="1" bestFit="1" customWidth="1"/>
    <col min="67" max="78" width="12.19921875" style="1" customWidth="1"/>
    <col min="79" max="79" width="4.69921875" style="1" bestFit="1" customWidth="1"/>
    <col min="80" max="81" width="10.796875" style="1"/>
    <col min="82" max="82" width="5.69921875" style="1" bestFit="1" customWidth="1"/>
    <col min="83" max="94" width="11.5" style="1" customWidth="1"/>
    <col min="95" max="95" width="4.69921875" style="1" bestFit="1" customWidth="1"/>
    <col min="96" max="97" width="10.796875" style="1"/>
    <col min="98" max="98" width="5.69921875" style="1" bestFit="1" customWidth="1"/>
    <col min="99" max="99" width="11.296875" style="1" bestFit="1" customWidth="1"/>
    <col min="100" max="105" width="10.796875" style="1"/>
    <col min="106" max="106" width="11.296875" style="1" bestFit="1" customWidth="1"/>
    <col min="107" max="108" width="10.796875" style="1"/>
    <col min="109" max="109" width="11.19921875" style="1" customWidth="1"/>
    <col min="110" max="110" width="10.796875" style="1"/>
    <col min="111" max="111" width="4.69921875" style="1" bestFit="1" customWidth="1"/>
    <col min="112" max="113" width="10.796875" style="1"/>
    <col min="114" max="114" width="5.69921875" style="1" bestFit="1" customWidth="1"/>
    <col min="115" max="124" width="10.796875" style="1"/>
    <col min="125" max="125" width="11.19921875" style="1" customWidth="1"/>
    <col min="126" max="126" width="10.796875" style="1"/>
    <col min="127" max="127" width="4.69921875" style="1" bestFit="1" customWidth="1"/>
    <col min="128" max="129" width="10.796875" style="1"/>
    <col min="130" max="130" width="5.69921875" style="1" bestFit="1" customWidth="1"/>
    <col min="131" max="140" width="10.796875" style="1"/>
    <col min="141" max="141" width="11.19921875" style="1" customWidth="1"/>
    <col min="142" max="142" width="10.796875" style="1"/>
    <col min="143" max="143" width="4.69921875" style="1" bestFit="1" customWidth="1"/>
    <col min="144" max="145" width="10.796875" style="1"/>
    <col min="146" max="146" width="5.69921875" style="1" bestFit="1" customWidth="1"/>
    <col min="147" max="156" width="10.796875" style="1"/>
    <col min="157" max="157" width="11.19921875" style="1" customWidth="1"/>
    <col min="158" max="158" width="10.796875" style="1"/>
    <col min="159" max="159" width="4.69921875" style="1" bestFit="1" customWidth="1"/>
    <col min="160" max="161" width="10.796875" style="1"/>
    <col min="162" max="162" width="5.69921875" style="1" bestFit="1" customWidth="1"/>
    <col min="163" max="172" width="10.796875" style="1"/>
    <col min="173" max="173" width="11.19921875" style="1" customWidth="1"/>
    <col min="174" max="174" width="10.796875" style="1"/>
    <col min="175" max="175" width="4.69921875" style="1" bestFit="1" customWidth="1"/>
    <col min="176" max="177" width="10.796875" style="1"/>
    <col min="178" max="178" width="5.69921875" style="1" bestFit="1" customWidth="1"/>
    <col min="179" max="188" width="10.796875" style="1"/>
    <col min="189" max="189" width="11.19921875" style="1" customWidth="1"/>
    <col min="190" max="190" width="10.796875" style="1"/>
    <col min="191" max="191" width="4.69921875" style="1" bestFit="1" customWidth="1"/>
    <col min="192" max="193" width="10.796875" style="1"/>
    <col min="194" max="194" width="5.69921875" style="1" bestFit="1" customWidth="1"/>
    <col min="195" max="204" width="10.796875" style="1"/>
    <col min="205" max="205" width="11.19921875" style="1" customWidth="1"/>
    <col min="206" max="206" width="10.796875" style="1"/>
    <col min="207" max="207" width="4.69921875" style="1" bestFit="1" customWidth="1"/>
    <col min="208" max="209" width="10.796875" style="1"/>
    <col min="210" max="210" width="5.69921875" style="1" bestFit="1" customWidth="1"/>
    <col min="211" max="222" width="10.796875" style="1"/>
    <col min="223" max="223" width="4.69921875" style="1" bestFit="1" customWidth="1"/>
    <col min="224" max="225" width="10.796875" style="1"/>
    <col min="226" max="226" width="5.69921875" style="1" bestFit="1" customWidth="1"/>
    <col min="227" max="238" width="10.796875" style="1"/>
    <col min="239" max="239" width="4.69921875" style="1" bestFit="1" customWidth="1"/>
    <col min="240" max="241" width="10.796875" style="1"/>
    <col min="242" max="242" width="5.69921875" style="1" bestFit="1" customWidth="1"/>
    <col min="243" max="254" width="10.796875" style="1"/>
    <col min="255" max="255" width="4.69921875" style="1" bestFit="1" customWidth="1"/>
    <col min="256" max="257" width="10.796875" style="1"/>
    <col min="258" max="258" width="5.69921875" style="1" bestFit="1" customWidth="1"/>
    <col min="259" max="270" width="10.796875" style="1"/>
    <col min="271" max="271" width="4.69921875" style="1" bestFit="1" customWidth="1"/>
    <col min="272" max="273" width="10.796875" style="1"/>
    <col min="274" max="274" width="5.69921875" style="1" bestFit="1" customWidth="1"/>
    <col min="275" max="286" width="10.796875" style="1"/>
    <col min="287" max="287" width="4.69921875" style="1" bestFit="1" customWidth="1"/>
    <col min="288" max="289" width="10.796875" style="1"/>
    <col min="290" max="290" width="5.69921875" style="1" bestFit="1" customWidth="1"/>
    <col min="291" max="302" width="10.796875" style="1"/>
    <col min="303" max="303" width="4.69921875" style="1" bestFit="1" customWidth="1"/>
    <col min="304" max="305" width="10.796875" style="1"/>
    <col min="306" max="306" width="5.69921875" style="1" bestFit="1" customWidth="1"/>
    <col min="307" max="318" width="10.796875" style="1"/>
    <col min="319" max="319" width="4.69921875" style="1" bestFit="1" customWidth="1"/>
    <col min="320" max="321" width="10.796875" style="1"/>
    <col min="322" max="322" width="5.69921875" style="1" bestFit="1" customWidth="1"/>
    <col min="323" max="334" width="10.796875" style="1"/>
    <col min="335" max="335" width="4.69921875" style="1" bestFit="1" customWidth="1"/>
    <col min="336" max="337" width="10.796875" style="1"/>
    <col min="338" max="338" width="5.69921875" style="1" bestFit="1" customWidth="1"/>
    <col min="339" max="350" width="10.796875" style="1"/>
    <col min="351" max="351" width="4.69921875" style="1" bestFit="1" customWidth="1"/>
    <col min="352" max="353" width="10.796875" style="1"/>
    <col min="354" max="354" width="5.69921875" style="1" bestFit="1" customWidth="1"/>
    <col min="355" max="366" width="10.796875" style="1"/>
    <col min="367" max="367" width="4.69921875" style="1" bestFit="1" customWidth="1"/>
    <col min="368" max="369" width="10.796875" style="1"/>
    <col min="370" max="370" width="5.69921875" style="1" bestFit="1" customWidth="1"/>
    <col min="371" max="382" width="10.796875" style="1"/>
    <col min="383" max="383" width="4.69921875" style="1" bestFit="1" customWidth="1"/>
    <col min="384" max="385" width="10.796875" style="1"/>
    <col min="386" max="386" width="5.69921875" style="1" bestFit="1" customWidth="1"/>
    <col min="387" max="398" width="10.796875" style="1"/>
    <col min="399" max="399" width="4.69921875" style="1" bestFit="1" customWidth="1"/>
    <col min="400" max="401" width="10.796875" style="1"/>
    <col min="402" max="402" width="5.69921875" style="1" bestFit="1" customWidth="1"/>
    <col min="403" max="414" width="10.796875" style="1"/>
    <col min="415" max="415" width="4.69921875" style="1" bestFit="1" customWidth="1"/>
    <col min="416" max="417" width="10.796875" style="1"/>
    <col min="418" max="418" width="5.69921875" style="1" bestFit="1" customWidth="1"/>
    <col min="419" max="430" width="10.796875" style="1"/>
    <col min="431" max="431" width="4.69921875" style="1" bestFit="1" customWidth="1"/>
    <col min="432" max="433" width="10.796875" style="1"/>
    <col min="434" max="434" width="5.69921875" style="1" bestFit="1" customWidth="1"/>
    <col min="435" max="446" width="10.796875" style="1"/>
    <col min="447" max="447" width="4.69921875" style="1" bestFit="1" customWidth="1"/>
    <col min="448" max="449" width="10.796875" style="1"/>
    <col min="450" max="450" width="5.69921875" style="1" bestFit="1" customWidth="1"/>
    <col min="451" max="462" width="10.796875" style="1"/>
    <col min="463" max="463" width="4.69921875" style="1" bestFit="1" customWidth="1"/>
    <col min="464" max="465" width="10.796875" style="1"/>
    <col min="466" max="466" width="5.69921875" style="1" bestFit="1" customWidth="1"/>
    <col min="467" max="478" width="10.796875" style="1"/>
    <col min="479" max="479" width="4.69921875" style="1" bestFit="1" customWidth="1"/>
    <col min="480" max="481" width="10.796875" style="1"/>
    <col min="482" max="482" width="5.69921875" style="1" bestFit="1" customWidth="1"/>
    <col min="483" max="494" width="10.796875" style="1"/>
    <col min="495" max="495" width="4.69921875" style="1" bestFit="1" customWidth="1"/>
    <col min="496" max="497" width="10.796875" style="1"/>
    <col min="498" max="498" width="5.69921875" style="1" bestFit="1" customWidth="1"/>
    <col min="499" max="510" width="10.796875" style="1"/>
    <col min="511" max="511" width="4.69921875" style="1" bestFit="1" customWidth="1"/>
    <col min="512" max="513" width="10.796875" style="1"/>
    <col min="514" max="514" width="5.69921875" style="1" bestFit="1" customWidth="1"/>
    <col min="515" max="526" width="10.796875" style="1"/>
    <col min="527" max="527" width="4.69921875" style="1" bestFit="1" customWidth="1"/>
    <col min="528" max="529" width="10.796875" style="1"/>
    <col min="530" max="530" width="5.69921875" style="1" bestFit="1" customWidth="1"/>
    <col min="531" max="542" width="10.796875" style="1"/>
    <col min="543" max="543" width="4.69921875" style="1" bestFit="1" customWidth="1"/>
    <col min="544" max="545" width="10.796875" style="1"/>
    <col min="546" max="546" width="5.69921875" style="1" bestFit="1" customWidth="1"/>
    <col min="547" max="558" width="10.796875" style="1"/>
    <col min="559" max="559" width="4.69921875" style="1" bestFit="1" customWidth="1"/>
    <col min="560" max="16384" width="10.796875" style="1"/>
  </cols>
  <sheetData>
    <row r="2" spans="2:559" s="7" customFormat="1" ht="24.6">
      <c r="B2" s="676" t="s">
        <v>722</v>
      </c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  <c r="O2" s="676"/>
      <c r="R2" s="676" t="s">
        <v>722</v>
      </c>
      <c r="S2" s="676"/>
      <c r="T2" s="676"/>
      <c r="U2" s="676"/>
      <c r="V2" s="676"/>
      <c r="W2" s="676"/>
      <c r="X2" s="676"/>
      <c r="Y2" s="676"/>
      <c r="Z2" s="676"/>
      <c r="AA2" s="676"/>
      <c r="AB2" s="676"/>
      <c r="AC2" s="676"/>
      <c r="AD2" s="676"/>
      <c r="AE2" s="676"/>
      <c r="AH2" s="676" t="s">
        <v>722</v>
      </c>
      <c r="AI2" s="676"/>
      <c r="AJ2" s="676"/>
      <c r="AK2" s="676"/>
      <c r="AL2" s="676"/>
      <c r="AM2" s="676"/>
      <c r="AN2" s="676"/>
      <c r="AO2" s="676"/>
      <c r="AP2" s="676"/>
      <c r="AQ2" s="676"/>
      <c r="AR2" s="676"/>
      <c r="AS2" s="676"/>
      <c r="AT2" s="676"/>
      <c r="AU2" s="676"/>
      <c r="AV2" s="8"/>
      <c r="AW2" s="8"/>
      <c r="AX2" s="676" t="s">
        <v>722</v>
      </c>
      <c r="AY2" s="676"/>
      <c r="AZ2" s="676"/>
      <c r="BA2" s="676"/>
      <c r="BB2" s="676"/>
      <c r="BC2" s="676"/>
      <c r="BD2" s="676"/>
      <c r="BE2" s="676"/>
      <c r="BF2" s="676"/>
      <c r="BG2" s="676"/>
      <c r="BH2" s="676"/>
      <c r="BI2" s="676"/>
      <c r="BJ2" s="676"/>
      <c r="BK2" s="676"/>
      <c r="BN2" s="676" t="s">
        <v>722</v>
      </c>
      <c r="BO2" s="676"/>
      <c r="BP2" s="676"/>
      <c r="BQ2" s="676"/>
      <c r="BR2" s="676"/>
      <c r="BS2" s="676"/>
      <c r="BT2" s="676"/>
      <c r="BU2" s="676"/>
      <c r="BV2" s="676"/>
      <c r="BW2" s="676"/>
      <c r="BX2" s="676"/>
      <c r="BY2" s="676"/>
      <c r="BZ2" s="676"/>
      <c r="CA2" s="676"/>
      <c r="CD2" s="676" t="s">
        <v>722</v>
      </c>
      <c r="CE2" s="676"/>
      <c r="CF2" s="676"/>
      <c r="CG2" s="676"/>
      <c r="CH2" s="676"/>
      <c r="CI2" s="676"/>
      <c r="CJ2" s="676"/>
      <c r="CK2" s="676"/>
      <c r="CL2" s="676"/>
      <c r="CM2" s="676"/>
      <c r="CN2" s="676"/>
      <c r="CO2" s="676"/>
      <c r="CP2" s="676"/>
      <c r="CQ2" s="676"/>
      <c r="CT2" s="676" t="s">
        <v>722</v>
      </c>
      <c r="CU2" s="676"/>
      <c r="CV2" s="676"/>
      <c r="CW2" s="676"/>
      <c r="CX2" s="676"/>
      <c r="CY2" s="676"/>
      <c r="CZ2" s="676"/>
      <c r="DA2" s="676"/>
      <c r="DB2" s="676"/>
      <c r="DC2" s="676"/>
      <c r="DD2" s="676"/>
      <c r="DE2" s="676"/>
      <c r="DF2" s="676"/>
      <c r="DG2" s="676"/>
      <c r="DJ2" s="676" t="s">
        <v>722</v>
      </c>
      <c r="DK2" s="676"/>
      <c r="DL2" s="676"/>
      <c r="DM2" s="676"/>
      <c r="DN2" s="676"/>
      <c r="DO2" s="676"/>
      <c r="DP2" s="676"/>
      <c r="DQ2" s="676"/>
      <c r="DR2" s="676"/>
      <c r="DS2" s="676"/>
      <c r="DT2" s="676"/>
      <c r="DU2" s="676"/>
      <c r="DV2" s="676"/>
      <c r="DW2" s="676"/>
      <c r="DZ2" s="676" t="s">
        <v>722</v>
      </c>
      <c r="EA2" s="676"/>
      <c r="EB2" s="676"/>
      <c r="EC2" s="676"/>
      <c r="ED2" s="676"/>
      <c r="EE2" s="676"/>
      <c r="EF2" s="676"/>
      <c r="EG2" s="676"/>
      <c r="EH2" s="676"/>
      <c r="EI2" s="676"/>
      <c r="EJ2" s="676"/>
      <c r="EK2" s="676"/>
      <c r="EL2" s="676"/>
      <c r="EM2" s="676"/>
      <c r="EP2" s="676" t="s">
        <v>722</v>
      </c>
      <c r="EQ2" s="676"/>
      <c r="ER2" s="676"/>
      <c r="ES2" s="676"/>
      <c r="ET2" s="676"/>
      <c r="EU2" s="676"/>
      <c r="EV2" s="676"/>
      <c r="EW2" s="676"/>
      <c r="EX2" s="676"/>
      <c r="EY2" s="676"/>
      <c r="EZ2" s="676"/>
      <c r="FA2" s="676"/>
      <c r="FB2" s="676"/>
      <c r="FC2" s="676"/>
      <c r="FF2" s="676" t="s">
        <v>722</v>
      </c>
      <c r="FG2" s="676"/>
      <c r="FH2" s="676"/>
      <c r="FI2" s="676"/>
      <c r="FJ2" s="676"/>
      <c r="FK2" s="676"/>
      <c r="FL2" s="676"/>
      <c r="FM2" s="676"/>
      <c r="FN2" s="676"/>
      <c r="FO2" s="676"/>
      <c r="FP2" s="676"/>
      <c r="FQ2" s="676"/>
      <c r="FR2" s="676"/>
      <c r="FS2" s="676"/>
      <c r="FV2" s="676" t="s">
        <v>722</v>
      </c>
      <c r="FW2" s="676"/>
      <c r="FX2" s="676"/>
      <c r="FY2" s="676"/>
      <c r="FZ2" s="676"/>
      <c r="GA2" s="676"/>
      <c r="GB2" s="676"/>
      <c r="GC2" s="676"/>
      <c r="GD2" s="676"/>
      <c r="GE2" s="676"/>
      <c r="GF2" s="676"/>
      <c r="GG2" s="676"/>
      <c r="GH2" s="676"/>
      <c r="GI2" s="676"/>
      <c r="GL2" s="676" t="s">
        <v>722</v>
      </c>
      <c r="GM2" s="676"/>
      <c r="GN2" s="676"/>
      <c r="GO2" s="676"/>
      <c r="GP2" s="676"/>
      <c r="GQ2" s="676"/>
      <c r="GR2" s="676"/>
      <c r="GS2" s="676"/>
      <c r="GT2" s="676"/>
      <c r="GU2" s="676"/>
      <c r="GV2" s="676"/>
      <c r="GW2" s="676"/>
      <c r="GX2" s="676"/>
      <c r="GY2" s="676"/>
      <c r="HB2" s="676" t="s">
        <v>722</v>
      </c>
      <c r="HC2" s="676"/>
      <c r="HD2" s="676"/>
      <c r="HE2" s="676"/>
      <c r="HF2" s="676"/>
      <c r="HG2" s="676"/>
      <c r="HH2" s="676"/>
      <c r="HI2" s="676"/>
      <c r="HJ2" s="676"/>
      <c r="HK2" s="676"/>
      <c r="HL2" s="676"/>
      <c r="HM2" s="676"/>
      <c r="HN2" s="676"/>
      <c r="HO2" s="676"/>
      <c r="HR2" s="676" t="s">
        <v>722</v>
      </c>
      <c r="HS2" s="676"/>
      <c r="HT2" s="676"/>
      <c r="HU2" s="676"/>
      <c r="HV2" s="676"/>
      <c r="HW2" s="676"/>
      <c r="HX2" s="676"/>
      <c r="HY2" s="676"/>
      <c r="HZ2" s="676"/>
      <c r="IA2" s="676"/>
      <c r="IB2" s="676"/>
      <c r="IC2" s="676"/>
      <c r="ID2" s="676"/>
      <c r="IE2" s="676"/>
      <c r="IH2" s="676" t="s">
        <v>722</v>
      </c>
      <c r="II2" s="676"/>
      <c r="IJ2" s="676"/>
      <c r="IK2" s="676"/>
      <c r="IL2" s="676"/>
      <c r="IM2" s="676"/>
      <c r="IN2" s="676"/>
      <c r="IO2" s="676"/>
      <c r="IP2" s="676"/>
      <c r="IQ2" s="676"/>
      <c r="IR2" s="676"/>
      <c r="IS2" s="676"/>
      <c r="IT2" s="676"/>
      <c r="IU2" s="676"/>
      <c r="IX2" s="676" t="s">
        <v>722</v>
      </c>
      <c r="IY2" s="676"/>
      <c r="IZ2" s="676"/>
      <c r="JA2" s="676"/>
      <c r="JB2" s="676"/>
      <c r="JC2" s="676"/>
      <c r="JD2" s="676"/>
      <c r="JE2" s="676"/>
      <c r="JF2" s="676"/>
      <c r="JG2" s="676"/>
      <c r="JH2" s="676"/>
      <c r="JI2" s="676"/>
      <c r="JJ2" s="676"/>
      <c r="JK2" s="676"/>
      <c r="JN2" s="676" t="s">
        <v>722</v>
      </c>
      <c r="JO2" s="676"/>
      <c r="JP2" s="676"/>
      <c r="JQ2" s="676"/>
      <c r="JR2" s="676"/>
      <c r="JS2" s="676"/>
      <c r="JT2" s="676"/>
      <c r="JU2" s="676"/>
      <c r="JV2" s="676"/>
      <c r="JW2" s="676"/>
      <c r="JX2" s="676"/>
      <c r="JY2" s="676"/>
      <c r="JZ2" s="676"/>
      <c r="KA2" s="676"/>
      <c r="KD2" s="676" t="s">
        <v>722</v>
      </c>
      <c r="KE2" s="676"/>
      <c r="KF2" s="676"/>
      <c r="KG2" s="676"/>
      <c r="KH2" s="676"/>
      <c r="KI2" s="676"/>
      <c r="KJ2" s="676"/>
      <c r="KK2" s="676"/>
      <c r="KL2" s="676"/>
      <c r="KM2" s="676"/>
      <c r="KN2" s="676"/>
      <c r="KO2" s="676"/>
      <c r="KP2" s="676"/>
      <c r="KQ2" s="676"/>
      <c r="KT2" s="676" t="s">
        <v>722</v>
      </c>
      <c r="KU2" s="676"/>
      <c r="KV2" s="676"/>
      <c r="KW2" s="676"/>
      <c r="KX2" s="676"/>
      <c r="KY2" s="676"/>
      <c r="KZ2" s="676"/>
      <c r="LA2" s="676"/>
      <c r="LB2" s="676"/>
      <c r="LC2" s="676"/>
      <c r="LD2" s="676"/>
      <c r="LE2" s="676"/>
      <c r="LF2" s="676"/>
      <c r="LG2" s="676"/>
      <c r="LJ2" s="676" t="s">
        <v>722</v>
      </c>
      <c r="LK2" s="676"/>
      <c r="LL2" s="676"/>
      <c r="LM2" s="676"/>
      <c r="LN2" s="676"/>
      <c r="LO2" s="676"/>
      <c r="LP2" s="676"/>
      <c r="LQ2" s="676"/>
      <c r="LR2" s="676"/>
      <c r="LS2" s="676"/>
      <c r="LT2" s="676"/>
      <c r="LU2" s="676"/>
      <c r="LV2" s="676"/>
      <c r="LW2" s="676"/>
      <c r="LZ2" s="676" t="s">
        <v>722</v>
      </c>
      <c r="MA2" s="676"/>
      <c r="MB2" s="676"/>
      <c r="MC2" s="676"/>
      <c r="MD2" s="676"/>
      <c r="ME2" s="676"/>
      <c r="MF2" s="676"/>
      <c r="MG2" s="676"/>
      <c r="MH2" s="676"/>
      <c r="MI2" s="676"/>
      <c r="MJ2" s="676"/>
      <c r="MK2" s="676"/>
      <c r="ML2" s="676"/>
      <c r="MM2" s="676"/>
      <c r="MP2" s="676" t="s">
        <v>722</v>
      </c>
      <c r="MQ2" s="676"/>
      <c r="MR2" s="676"/>
      <c r="MS2" s="676"/>
      <c r="MT2" s="676"/>
      <c r="MU2" s="676"/>
      <c r="MV2" s="676"/>
      <c r="MW2" s="676"/>
      <c r="MX2" s="676"/>
      <c r="MY2" s="676"/>
      <c r="MZ2" s="676"/>
      <c r="NA2" s="676"/>
      <c r="NB2" s="676"/>
      <c r="NC2" s="676"/>
      <c r="NF2" s="676" t="s">
        <v>722</v>
      </c>
      <c r="NG2" s="676"/>
      <c r="NH2" s="676"/>
      <c r="NI2" s="676"/>
      <c r="NJ2" s="676"/>
      <c r="NK2" s="676"/>
      <c r="NL2" s="676"/>
      <c r="NM2" s="676"/>
      <c r="NN2" s="676"/>
      <c r="NO2" s="676"/>
      <c r="NP2" s="676"/>
      <c r="NQ2" s="676"/>
      <c r="NR2" s="676"/>
      <c r="NS2" s="676"/>
      <c r="NV2" s="676" t="s">
        <v>722</v>
      </c>
      <c r="NW2" s="676"/>
      <c r="NX2" s="676"/>
      <c r="NY2" s="676"/>
      <c r="NZ2" s="676"/>
      <c r="OA2" s="676"/>
      <c r="OB2" s="676"/>
      <c r="OC2" s="676"/>
      <c r="OD2" s="676"/>
      <c r="OE2" s="676"/>
      <c r="OF2" s="676"/>
      <c r="OG2" s="676"/>
      <c r="OH2" s="676"/>
      <c r="OI2" s="676"/>
      <c r="OL2" s="676" t="s">
        <v>722</v>
      </c>
      <c r="OM2" s="676"/>
      <c r="ON2" s="676"/>
      <c r="OO2" s="676"/>
      <c r="OP2" s="676"/>
      <c r="OQ2" s="676"/>
      <c r="OR2" s="676"/>
      <c r="OS2" s="676"/>
      <c r="OT2" s="676"/>
      <c r="OU2" s="676"/>
      <c r="OV2" s="676"/>
      <c r="OW2" s="676"/>
      <c r="OX2" s="676"/>
      <c r="OY2" s="676"/>
      <c r="PB2" s="676" t="s">
        <v>722</v>
      </c>
      <c r="PC2" s="676"/>
      <c r="PD2" s="676"/>
      <c r="PE2" s="676"/>
      <c r="PF2" s="676"/>
      <c r="PG2" s="676"/>
      <c r="PH2" s="676"/>
      <c r="PI2" s="676"/>
      <c r="PJ2" s="676"/>
      <c r="PK2" s="676"/>
      <c r="PL2" s="676"/>
      <c r="PM2" s="676"/>
      <c r="PN2" s="676"/>
      <c r="PO2" s="676"/>
      <c r="PR2" s="676" t="s">
        <v>722</v>
      </c>
      <c r="PS2" s="676"/>
      <c r="PT2" s="676"/>
      <c r="PU2" s="676"/>
      <c r="PV2" s="676"/>
      <c r="PW2" s="676"/>
      <c r="PX2" s="676"/>
      <c r="PY2" s="676"/>
      <c r="PZ2" s="676"/>
      <c r="QA2" s="676"/>
      <c r="QB2" s="676"/>
      <c r="QC2" s="676"/>
      <c r="QD2" s="676"/>
      <c r="QE2" s="676"/>
      <c r="QH2" s="676" t="s">
        <v>722</v>
      </c>
      <c r="QI2" s="676"/>
      <c r="QJ2" s="676"/>
      <c r="QK2" s="676"/>
      <c r="QL2" s="676"/>
      <c r="QM2" s="676"/>
      <c r="QN2" s="676"/>
      <c r="QO2" s="676"/>
      <c r="QP2" s="676"/>
      <c r="QQ2" s="676"/>
      <c r="QR2" s="676"/>
      <c r="QS2" s="676"/>
      <c r="QT2" s="676"/>
      <c r="QU2" s="676"/>
      <c r="QX2" s="676" t="s">
        <v>722</v>
      </c>
      <c r="QY2" s="676"/>
      <c r="QZ2" s="676"/>
      <c r="RA2" s="676"/>
      <c r="RB2" s="676"/>
      <c r="RC2" s="676"/>
      <c r="RD2" s="676"/>
      <c r="RE2" s="676"/>
      <c r="RF2" s="676"/>
      <c r="RG2" s="676"/>
      <c r="RH2" s="676"/>
      <c r="RI2" s="676"/>
      <c r="RJ2" s="676"/>
      <c r="RK2" s="676"/>
      <c r="RN2" s="676" t="s">
        <v>722</v>
      </c>
      <c r="RO2" s="676"/>
      <c r="RP2" s="676"/>
      <c r="RQ2" s="676"/>
      <c r="RR2" s="676"/>
      <c r="RS2" s="676"/>
      <c r="RT2" s="676"/>
      <c r="RU2" s="676"/>
      <c r="RV2" s="676"/>
      <c r="RW2" s="676"/>
      <c r="RX2" s="676"/>
      <c r="RY2" s="676"/>
      <c r="RZ2" s="676"/>
      <c r="SA2" s="676"/>
      <c r="SD2" s="676" t="s">
        <v>722</v>
      </c>
      <c r="SE2" s="676"/>
      <c r="SF2" s="676"/>
      <c r="SG2" s="676"/>
      <c r="SH2" s="676"/>
      <c r="SI2" s="676"/>
      <c r="SJ2" s="676"/>
      <c r="SK2" s="676"/>
      <c r="SL2" s="676"/>
      <c r="SM2" s="676"/>
      <c r="SN2" s="676"/>
      <c r="SO2" s="676"/>
      <c r="SP2" s="676"/>
      <c r="SQ2" s="676"/>
      <c r="ST2" s="676" t="s">
        <v>722</v>
      </c>
      <c r="SU2" s="676"/>
      <c r="SV2" s="676"/>
      <c r="SW2" s="676"/>
      <c r="SX2" s="676"/>
      <c r="SY2" s="676"/>
      <c r="SZ2" s="676"/>
      <c r="TA2" s="676"/>
      <c r="TB2" s="676"/>
      <c r="TC2" s="676"/>
      <c r="TD2" s="676"/>
      <c r="TE2" s="676"/>
      <c r="TF2" s="676"/>
      <c r="TG2" s="676"/>
      <c r="TJ2" s="676" t="s">
        <v>722</v>
      </c>
      <c r="TK2" s="676"/>
      <c r="TL2" s="676"/>
      <c r="TM2" s="676"/>
      <c r="TN2" s="676"/>
      <c r="TO2" s="676"/>
      <c r="TP2" s="676"/>
      <c r="TQ2" s="676"/>
      <c r="TR2" s="676"/>
      <c r="TS2" s="676"/>
      <c r="TT2" s="676"/>
      <c r="TU2" s="676"/>
      <c r="TV2" s="676"/>
      <c r="TW2" s="676"/>
      <c r="TZ2" s="676" t="s">
        <v>722</v>
      </c>
      <c r="UA2" s="676"/>
      <c r="UB2" s="676"/>
      <c r="UC2" s="676"/>
      <c r="UD2" s="676"/>
      <c r="UE2" s="676"/>
      <c r="UF2" s="676"/>
      <c r="UG2" s="676"/>
      <c r="UH2" s="676"/>
      <c r="UI2" s="676"/>
      <c r="UJ2" s="676"/>
      <c r="UK2" s="676"/>
      <c r="UL2" s="676"/>
      <c r="UM2" s="676"/>
    </row>
    <row r="3" spans="2:559" s="7" customFormat="1" ht="24.6">
      <c r="B3" s="676" t="s">
        <v>810</v>
      </c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R3" s="676" t="s">
        <v>723</v>
      </c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H3" s="676" t="s">
        <v>724</v>
      </c>
      <c r="AI3" s="676"/>
      <c r="AJ3" s="676"/>
      <c r="AK3" s="676"/>
      <c r="AL3" s="676"/>
      <c r="AM3" s="676"/>
      <c r="AN3" s="676"/>
      <c r="AO3" s="676"/>
      <c r="AP3" s="676"/>
      <c r="AQ3" s="676"/>
      <c r="AR3" s="676"/>
      <c r="AS3" s="676"/>
      <c r="AT3" s="676"/>
      <c r="AU3" s="676"/>
      <c r="AV3" s="8"/>
      <c r="AW3" s="8"/>
      <c r="AX3" s="676" t="s">
        <v>725</v>
      </c>
      <c r="AY3" s="676"/>
      <c r="AZ3" s="676"/>
      <c r="BA3" s="676"/>
      <c r="BB3" s="676"/>
      <c r="BC3" s="676"/>
      <c r="BD3" s="676"/>
      <c r="BE3" s="676"/>
      <c r="BF3" s="676"/>
      <c r="BG3" s="676"/>
      <c r="BH3" s="676"/>
      <c r="BI3" s="676"/>
      <c r="BJ3" s="676"/>
      <c r="BK3" s="676"/>
      <c r="BN3" s="676" t="s">
        <v>726</v>
      </c>
      <c r="BO3" s="676"/>
      <c r="BP3" s="676"/>
      <c r="BQ3" s="676"/>
      <c r="BR3" s="676"/>
      <c r="BS3" s="676"/>
      <c r="BT3" s="676"/>
      <c r="BU3" s="676"/>
      <c r="BV3" s="676"/>
      <c r="BW3" s="676"/>
      <c r="BX3" s="676"/>
      <c r="BY3" s="676"/>
      <c r="BZ3" s="676"/>
      <c r="CA3" s="676"/>
      <c r="CD3" s="676" t="s">
        <v>727</v>
      </c>
      <c r="CE3" s="676"/>
      <c r="CF3" s="676"/>
      <c r="CG3" s="676"/>
      <c r="CH3" s="676"/>
      <c r="CI3" s="676"/>
      <c r="CJ3" s="676"/>
      <c r="CK3" s="676"/>
      <c r="CL3" s="676"/>
      <c r="CM3" s="676"/>
      <c r="CN3" s="676"/>
      <c r="CO3" s="676"/>
      <c r="CP3" s="676"/>
      <c r="CQ3" s="676"/>
      <c r="CT3" s="676" t="s">
        <v>728</v>
      </c>
      <c r="CU3" s="676"/>
      <c r="CV3" s="676"/>
      <c r="CW3" s="676"/>
      <c r="CX3" s="676"/>
      <c r="CY3" s="676"/>
      <c r="CZ3" s="676"/>
      <c r="DA3" s="676"/>
      <c r="DB3" s="676"/>
      <c r="DC3" s="676"/>
      <c r="DD3" s="676"/>
      <c r="DE3" s="676"/>
      <c r="DF3" s="676"/>
      <c r="DG3" s="676"/>
      <c r="DJ3" s="676" t="s">
        <v>729</v>
      </c>
      <c r="DK3" s="676"/>
      <c r="DL3" s="676"/>
      <c r="DM3" s="676"/>
      <c r="DN3" s="676"/>
      <c r="DO3" s="676"/>
      <c r="DP3" s="676"/>
      <c r="DQ3" s="676"/>
      <c r="DR3" s="676"/>
      <c r="DS3" s="676"/>
      <c r="DT3" s="676"/>
      <c r="DU3" s="676"/>
      <c r="DV3" s="676"/>
      <c r="DW3" s="676"/>
      <c r="DZ3" s="676" t="s">
        <v>730</v>
      </c>
      <c r="EA3" s="676"/>
      <c r="EB3" s="676"/>
      <c r="EC3" s="676"/>
      <c r="ED3" s="676"/>
      <c r="EE3" s="676"/>
      <c r="EF3" s="676"/>
      <c r="EG3" s="676"/>
      <c r="EH3" s="676"/>
      <c r="EI3" s="676"/>
      <c r="EJ3" s="676"/>
      <c r="EK3" s="676"/>
      <c r="EL3" s="676"/>
      <c r="EM3" s="676"/>
      <c r="EP3" s="676" t="s">
        <v>731</v>
      </c>
      <c r="EQ3" s="676"/>
      <c r="ER3" s="676"/>
      <c r="ES3" s="676"/>
      <c r="ET3" s="676"/>
      <c r="EU3" s="676"/>
      <c r="EV3" s="676"/>
      <c r="EW3" s="676"/>
      <c r="EX3" s="676"/>
      <c r="EY3" s="676"/>
      <c r="EZ3" s="676"/>
      <c r="FA3" s="676"/>
      <c r="FB3" s="676"/>
      <c r="FC3" s="676"/>
      <c r="FF3" s="676" t="s">
        <v>732</v>
      </c>
      <c r="FG3" s="676"/>
      <c r="FH3" s="676"/>
      <c r="FI3" s="676"/>
      <c r="FJ3" s="676"/>
      <c r="FK3" s="676"/>
      <c r="FL3" s="676"/>
      <c r="FM3" s="676"/>
      <c r="FN3" s="676"/>
      <c r="FO3" s="676"/>
      <c r="FP3" s="676"/>
      <c r="FQ3" s="676"/>
      <c r="FR3" s="676"/>
      <c r="FS3" s="676"/>
      <c r="FV3" s="676" t="s">
        <v>733</v>
      </c>
      <c r="FW3" s="676"/>
      <c r="FX3" s="676"/>
      <c r="FY3" s="676"/>
      <c r="FZ3" s="676"/>
      <c r="GA3" s="676"/>
      <c r="GB3" s="676"/>
      <c r="GC3" s="676"/>
      <c r="GD3" s="676"/>
      <c r="GE3" s="676"/>
      <c r="GF3" s="676"/>
      <c r="GG3" s="676"/>
      <c r="GH3" s="676"/>
      <c r="GI3" s="676"/>
      <c r="GL3" s="676" t="s">
        <v>734</v>
      </c>
      <c r="GM3" s="676"/>
      <c r="GN3" s="676"/>
      <c r="GO3" s="676"/>
      <c r="GP3" s="676"/>
      <c r="GQ3" s="676"/>
      <c r="GR3" s="676"/>
      <c r="GS3" s="676"/>
      <c r="GT3" s="676"/>
      <c r="GU3" s="676"/>
      <c r="GV3" s="676"/>
      <c r="GW3" s="676"/>
      <c r="GX3" s="676"/>
      <c r="GY3" s="676"/>
      <c r="HB3" s="676" t="s">
        <v>735</v>
      </c>
      <c r="HC3" s="676"/>
      <c r="HD3" s="676"/>
      <c r="HE3" s="676"/>
      <c r="HF3" s="676"/>
      <c r="HG3" s="676"/>
      <c r="HH3" s="676"/>
      <c r="HI3" s="676"/>
      <c r="HJ3" s="676"/>
      <c r="HK3" s="676"/>
      <c r="HL3" s="676"/>
      <c r="HM3" s="676"/>
      <c r="HN3" s="676"/>
      <c r="HO3" s="676"/>
      <c r="HR3" s="676" t="s">
        <v>736</v>
      </c>
      <c r="HS3" s="676"/>
      <c r="HT3" s="676"/>
      <c r="HU3" s="676"/>
      <c r="HV3" s="676"/>
      <c r="HW3" s="676"/>
      <c r="HX3" s="676"/>
      <c r="HY3" s="676"/>
      <c r="HZ3" s="676"/>
      <c r="IA3" s="676"/>
      <c r="IB3" s="676"/>
      <c r="IC3" s="676"/>
      <c r="ID3" s="676"/>
      <c r="IE3" s="676"/>
      <c r="IH3" s="676" t="s">
        <v>737</v>
      </c>
      <c r="II3" s="676"/>
      <c r="IJ3" s="676"/>
      <c r="IK3" s="676"/>
      <c r="IL3" s="676"/>
      <c r="IM3" s="676"/>
      <c r="IN3" s="676"/>
      <c r="IO3" s="676"/>
      <c r="IP3" s="676"/>
      <c r="IQ3" s="676"/>
      <c r="IR3" s="676"/>
      <c r="IS3" s="676"/>
      <c r="IT3" s="676"/>
      <c r="IU3" s="676"/>
      <c r="IX3" s="676" t="s">
        <v>738</v>
      </c>
      <c r="IY3" s="676"/>
      <c r="IZ3" s="676"/>
      <c r="JA3" s="676"/>
      <c r="JB3" s="676"/>
      <c r="JC3" s="676"/>
      <c r="JD3" s="676"/>
      <c r="JE3" s="676"/>
      <c r="JF3" s="676"/>
      <c r="JG3" s="676"/>
      <c r="JH3" s="676"/>
      <c r="JI3" s="676"/>
      <c r="JJ3" s="676"/>
      <c r="JK3" s="676"/>
      <c r="JN3" s="676" t="s">
        <v>739</v>
      </c>
      <c r="JO3" s="676"/>
      <c r="JP3" s="676"/>
      <c r="JQ3" s="676"/>
      <c r="JR3" s="676"/>
      <c r="JS3" s="676"/>
      <c r="JT3" s="676"/>
      <c r="JU3" s="676"/>
      <c r="JV3" s="676"/>
      <c r="JW3" s="676"/>
      <c r="JX3" s="676"/>
      <c r="JY3" s="676"/>
      <c r="JZ3" s="676"/>
      <c r="KA3" s="676"/>
      <c r="KD3" s="676" t="s">
        <v>740</v>
      </c>
      <c r="KE3" s="676"/>
      <c r="KF3" s="676"/>
      <c r="KG3" s="676"/>
      <c r="KH3" s="676"/>
      <c r="KI3" s="676"/>
      <c r="KJ3" s="676"/>
      <c r="KK3" s="676"/>
      <c r="KL3" s="676"/>
      <c r="KM3" s="676"/>
      <c r="KN3" s="676"/>
      <c r="KO3" s="676"/>
      <c r="KP3" s="676"/>
      <c r="KQ3" s="676"/>
      <c r="KT3" s="676" t="s">
        <v>741</v>
      </c>
      <c r="KU3" s="676"/>
      <c r="KV3" s="676"/>
      <c r="KW3" s="676"/>
      <c r="KX3" s="676"/>
      <c r="KY3" s="676"/>
      <c r="KZ3" s="676"/>
      <c r="LA3" s="676"/>
      <c r="LB3" s="676"/>
      <c r="LC3" s="676"/>
      <c r="LD3" s="676"/>
      <c r="LE3" s="676"/>
      <c r="LF3" s="676"/>
      <c r="LG3" s="676"/>
      <c r="LJ3" s="676" t="s">
        <v>742</v>
      </c>
      <c r="LK3" s="676"/>
      <c r="LL3" s="676"/>
      <c r="LM3" s="676"/>
      <c r="LN3" s="676"/>
      <c r="LO3" s="676"/>
      <c r="LP3" s="676"/>
      <c r="LQ3" s="676"/>
      <c r="LR3" s="676"/>
      <c r="LS3" s="676"/>
      <c r="LT3" s="676"/>
      <c r="LU3" s="676"/>
      <c r="LV3" s="676"/>
      <c r="LW3" s="676"/>
      <c r="LZ3" s="676" t="s">
        <v>743</v>
      </c>
      <c r="MA3" s="676"/>
      <c r="MB3" s="676"/>
      <c r="MC3" s="676"/>
      <c r="MD3" s="676"/>
      <c r="ME3" s="676"/>
      <c r="MF3" s="676"/>
      <c r="MG3" s="676"/>
      <c r="MH3" s="676"/>
      <c r="MI3" s="676"/>
      <c r="MJ3" s="676"/>
      <c r="MK3" s="676"/>
      <c r="ML3" s="676"/>
      <c r="MM3" s="676"/>
      <c r="MP3" s="676" t="s">
        <v>744</v>
      </c>
      <c r="MQ3" s="676"/>
      <c r="MR3" s="676"/>
      <c r="MS3" s="676"/>
      <c r="MT3" s="676"/>
      <c r="MU3" s="676"/>
      <c r="MV3" s="676"/>
      <c r="MW3" s="676"/>
      <c r="MX3" s="676"/>
      <c r="MY3" s="676"/>
      <c r="MZ3" s="676"/>
      <c r="NA3" s="676"/>
      <c r="NB3" s="676"/>
      <c r="NC3" s="676"/>
      <c r="NF3" s="676" t="s">
        <v>745</v>
      </c>
      <c r="NG3" s="676"/>
      <c r="NH3" s="676"/>
      <c r="NI3" s="676"/>
      <c r="NJ3" s="676"/>
      <c r="NK3" s="676"/>
      <c r="NL3" s="676"/>
      <c r="NM3" s="676"/>
      <c r="NN3" s="676"/>
      <c r="NO3" s="676"/>
      <c r="NP3" s="676"/>
      <c r="NQ3" s="676"/>
      <c r="NR3" s="676"/>
      <c r="NS3" s="676"/>
      <c r="NV3" s="676" t="s">
        <v>746</v>
      </c>
      <c r="NW3" s="676"/>
      <c r="NX3" s="676"/>
      <c r="NY3" s="676"/>
      <c r="NZ3" s="676"/>
      <c r="OA3" s="676"/>
      <c r="OB3" s="676"/>
      <c r="OC3" s="676"/>
      <c r="OD3" s="676"/>
      <c r="OE3" s="676"/>
      <c r="OF3" s="676"/>
      <c r="OG3" s="676"/>
      <c r="OH3" s="676"/>
      <c r="OI3" s="676"/>
      <c r="OL3" s="676" t="s">
        <v>747</v>
      </c>
      <c r="OM3" s="676"/>
      <c r="ON3" s="676"/>
      <c r="OO3" s="676"/>
      <c r="OP3" s="676"/>
      <c r="OQ3" s="676"/>
      <c r="OR3" s="676"/>
      <c r="OS3" s="676"/>
      <c r="OT3" s="676"/>
      <c r="OU3" s="676"/>
      <c r="OV3" s="676"/>
      <c r="OW3" s="676"/>
      <c r="OX3" s="676"/>
      <c r="OY3" s="676"/>
      <c r="PB3" s="676" t="s">
        <v>748</v>
      </c>
      <c r="PC3" s="676"/>
      <c r="PD3" s="676"/>
      <c r="PE3" s="676"/>
      <c r="PF3" s="676"/>
      <c r="PG3" s="676"/>
      <c r="PH3" s="676"/>
      <c r="PI3" s="676"/>
      <c r="PJ3" s="676"/>
      <c r="PK3" s="676"/>
      <c r="PL3" s="676"/>
      <c r="PM3" s="676"/>
      <c r="PN3" s="676"/>
      <c r="PO3" s="676"/>
      <c r="PR3" s="676" t="s">
        <v>749</v>
      </c>
      <c r="PS3" s="676"/>
      <c r="PT3" s="676"/>
      <c r="PU3" s="676"/>
      <c r="PV3" s="676"/>
      <c r="PW3" s="676"/>
      <c r="PX3" s="676"/>
      <c r="PY3" s="676"/>
      <c r="PZ3" s="676"/>
      <c r="QA3" s="676"/>
      <c r="QB3" s="676"/>
      <c r="QC3" s="676"/>
      <c r="QD3" s="676"/>
      <c r="QE3" s="676"/>
      <c r="QH3" s="676" t="s">
        <v>750</v>
      </c>
      <c r="QI3" s="676"/>
      <c r="QJ3" s="676"/>
      <c r="QK3" s="676"/>
      <c r="QL3" s="676"/>
      <c r="QM3" s="676"/>
      <c r="QN3" s="676"/>
      <c r="QO3" s="676"/>
      <c r="QP3" s="676"/>
      <c r="QQ3" s="676"/>
      <c r="QR3" s="676"/>
      <c r="QS3" s="676"/>
      <c r="QT3" s="676"/>
      <c r="QU3" s="676"/>
      <c r="QX3" s="676" t="s">
        <v>751</v>
      </c>
      <c r="QY3" s="676"/>
      <c r="QZ3" s="676"/>
      <c r="RA3" s="676"/>
      <c r="RB3" s="676"/>
      <c r="RC3" s="676"/>
      <c r="RD3" s="676"/>
      <c r="RE3" s="676"/>
      <c r="RF3" s="676"/>
      <c r="RG3" s="676"/>
      <c r="RH3" s="676"/>
      <c r="RI3" s="676"/>
      <c r="RJ3" s="676"/>
      <c r="RK3" s="676"/>
      <c r="RN3" s="676" t="s">
        <v>752</v>
      </c>
      <c r="RO3" s="676"/>
      <c r="RP3" s="676"/>
      <c r="RQ3" s="676"/>
      <c r="RR3" s="676"/>
      <c r="RS3" s="676"/>
      <c r="RT3" s="676"/>
      <c r="RU3" s="676"/>
      <c r="RV3" s="676"/>
      <c r="RW3" s="676"/>
      <c r="RX3" s="676"/>
      <c r="RY3" s="676"/>
      <c r="RZ3" s="676"/>
      <c r="SA3" s="676"/>
      <c r="SD3" s="676" t="s">
        <v>753</v>
      </c>
      <c r="SE3" s="676"/>
      <c r="SF3" s="676"/>
      <c r="SG3" s="676"/>
      <c r="SH3" s="676"/>
      <c r="SI3" s="676"/>
      <c r="SJ3" s="676"/>
      <c r="SK3" s="676"/>
      <c r="SL3" s="676"/>
      <c r="SM3" s="676"/>
      <c r="SN3" s="676"/>
      <c r="SO3" s="676"/>
      <c r="SP3" s="676"/>
      <c r="SQ3" s="676"/>
      <c r="ST3" s="676" t="s">
        <v>754</v>
      </c>
      <c r="SU3" s="676"/>
      <c r="SV3" s="676"/>
      <c r="SW3" s="676"/>
      <c r="SX3" s="676"/>
      <c r="SY3" s="676"/>
      <c r="SZ3" s="676"/>
      <c r="TA3" s="676"/>
      <c r="TB3" s="676"/>
      <c r="TC3" s="676"/>
      <c r="TD3" s="676"/>
      <c r="TE3" s="676"/>
      <c r="TF3" s="676"/>
      <c r="TG3" s="676"/>
      <c r="TJ3" s="676" t="s">
        <v>755</v>
      </c>
      <c r="TK3" s="676"/>
      <c r="TL3" s="676"/>
      <c r="TM3" s="676"/>
      <c r="TN3" s="676"/>
      <c r="TO3" s="676"/>
      <c r="TP3" s="676"/>
      <c r="TQ3" s="676"/>
      <c r="TR3" s="676"/>
      <c r="TS3" s="676"/>
      <c r="TT3" s="676"/>
      <c r="TU3" s="676"/>
      <c r="TV3" s="676"/>
      <c r="TW3" s="676"/>
      <c r="TZ3" s="676" t="s">
        <v>756</v>
      </c>
      <c r="UA3" s="676"/>
      <c r="UB3" s="676"/>
      <c r="UC3" s="676"/>
      <c r="UD3" s="676"/>
      <c r="UE3" s="676"/>
      <c r="UF3" s="676"/>
      <c r="UG3" s="676"/>
      <c r="UH3" s="676"/>
      <c r="UI3" s="676"/>
      <c r="UJ3" s="676"/>
      <c r="UK3" s="676"/>
      <c r="UL3" s="676"/>
      <c r="UM3" s="676"/>
    </row>
    <row r="4" spans="2:559" s="7" customFormat="1" ht="19.2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8"/>
      <c r="AW4" s="8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</row>
    <row r="5" spans="2:559" s="27" customFormat="1" ht="19.2">
      <c r="B5" s="25">
        <v>2023</v>
      </c>
      <c r="C5" s="26">
        <v>2023.01</v>
      </c>
      <c r="D5" s="26">
        <v>2023.02</v>
      </c>
      <c r="E5" s="26">
        <v>2023.03</v>
      </c>
      <c r="F5" s="26">
        <v>2023.04</v>
      </c>
      <c r="G5" s="26">
        <v>2023.05</v>
      </c>
      <c r="H5" s="26">
        <v>2023.06</v>
      </c>
      <c r="I5" s="26">
        <v>2023.07</v>
      </c>
      <c r="J5" s="26">
        <v>2023.08</v>
      </c>
      <c r="K5" s="26">
        <v>2023.09</v>
      </c>
      <c r="L5" s="26">
        <v>2023.1</v>
      </c>
      <c r="M5" s="26">
        <v>2023.11</v>
      </c>
      <c r="N5" s="26">
        <v>2023.12</v>
      </c>
      <c r="O5" s="25"/>
      <c r="R5" s="25">
        <f>+AH5+1</f>
        <v>2022</v>
      </c>
      <c r="S5" s="25">
        <f>+R5+0.01</f>
        <v>2022.01</v>
      </c>
      <c r="T5" s="25">
        <f t="shared" ref="T5" si="0">+S5+0.01</f>
        <v>2022.02</v>
      </c>
      <c r="U5" s="25">
        <f t="shared" ref="U5" si="1">+T5+0.01</f>
        <v>2022.03</v>
      </c>
      <c r="V5" s="25">
        <f t="shared" ref="V5" si="2">+U5+0.01</f>
        <v>2022.04</v>
      </c>
      <c r="W5" s="25">
        <f t="shared" ref="W5" si="3">+V5+0.01</f>
        <v>2022.05</v>
      </c>
      <c r="X5" s="25">
        <f t="shared" ref="X5" si="4">+W5+0.01</f>
        <v>2022.06</v>
      </c>
      <c r="Y5" s="25">
        <f t="shared" ref="Y5" si="5">+X5+0.01</f>
        <v>2022.07</v>
      </c>
      <c r="Z5" s="25">
        <f t="shared" ref="Z5" si="6">+Y5+0.01</f>
        <v>2022.08</v>
      </c>
      <c r="AA5" s="25">
        <f t="shared" ref="AA5" si="7">+Z5+0.01</f>
        <v>2022.09</v>
      </c>
      <c r="AB5" s="25">
        <f t="shared" ref="AB5" si="8">+AA5+0.01</f>
        <v>2022.1</v>
      </c>
      <c r="AC5" s="25">
        <f t="shared" ref="AC5" si="9">+AB5+0.01</f>
        <v>2022.11</v>
      </c>
      <c r="AD5" s="25">
        <f t="shared" ref="AD5" si="10">+AC5+0.01</f>
        <v>2022.12</v>
      </c>
      <c r="AE5" s="25"/>
      <c r="AH5" s="25">
        <f>+AX5+1</f>
        <v>2021</v>
      </c>
      <c r="AI5" s="25">
        <f>+AH5+0.01</f>
        <v>2021.01</v>
      </c>
      <c r="AJ5" s="25">
        <f t="shared" ref="AJ5:AT5" si="11">+AI5+0.01</f>
        <v>2021.02</v>
      </c>
      <c r="AK5" s="25">
        <f t="shared" si="11"/>
        <v>2021.03</v>
      </c>
      <c r="AL5" s="25">
        <f t="shared" si="11"/>
        <v>2021.04</v>
      </c>
      <c r="AM5" s="25">
        <f t="shared" si="11"/>
        <v>2021.05</v>
      </c>
      <c r="AN5" s="25">
        <f t="shared" si="11"/>
        <v>2021.06</v>
      </c>
      <c r="AO5" s="25">
        <f t="shared" si="11"/>
        <v>2021.07</v>
      </c>
      <c r="AP5" s="25">
        <f t="shared" si="11"/>
        <v>2021.08</v>
      </c>
      <c r="AQ5" s="25">
        <f t="shared" si="11"/>
        <v>2021.09</v>
      </c>
      <c r="AR5" s="25">
        <f t="shared" si="11"/>
        <v>2021.1</v>
      </c>
      <c r="AS5" s="25">
        <f t="shared" si="11"/>
        <v>2021.11</v>
      </c>
      <c r="AT5" s="25">
        <f t="shared" si="11"/>
        <v>2021.12</v>
      </c>
      <c r="AU5" s="25"/>
      <c r="AV5" s="25"/>
      <c r="AW5" s="25"/>
      <c r="AX5" s="25">
        <f>+BN5+1</f>
        <v>2020</v>
      </c>
      <c r="AY5" s="25">
        <f>+AX5+0.01</f>
        <v>2020.01</v>
      </c>
      <c r="AZ5" s="25">
        <f t="shared" ref="AZ5:BJ5" si="12">+AY5+0.01</f>
        <v>2020.02</v>
      </c>
      <c r="BA5" s="25">
        <f t="shared" si="12"/>
        <v>2020.03</v>
      </c>
      <c r="BB5" s="25">
        <f t="shared" si="12"/>
        <v>2020.04</v>
      </c>
      <c r="BC5" s="25">
        <f t="shared" si="12"/>
        <v>2020.05</v>
      </c>
      <c r="BD5" s="25">
        <f t="shared" si="12"/>
        <v>2020.06</v>
      </c>
      <c r="BE5" s="25">
        <f t="shared" si="12"/>
        <v>2020.07</v>
      </c>
      <c r="BF5" s="25">
        <f t="shared" si="12"/>
        <v>2020.08</v>
      </c>
      <c r="BG5" s="25">
        <f t="shared" si="12"/>
        <v>2020.09</v>
      </c>
      <c r="BH5" s="25">
        <f t="shared" si="12"/>
        <v>2020.1</v>
      </c>
      <c r="BI5" s="25">
        <f t="shared" si="12"/>
        <v>2020.11</v>
      </c>
      <c r="BJ5" s="25">
        <f t="shared" si="12"/>
        <v>2020.12</v>
      </c>
      <c r="BK5" s="25"/>
      <c r="BN5" s="25">
        <v>2019</v>
      </c>
      <c r="BO5" s="26">
        <v>2019.01</v>
      </c>
      <c r="BP5" s="26">
        <v>2019.02</v>
      </c>
      <c r="BQ5" s="26">
        <v>2019.03</v>
      </c>
      <c r="BR5" s="26">
        <v>2019.04</v>
      </c>
      <c r="BS5" s="26">
        <v>2019.05</v>
      </c>
      <c r="BT5" s="26">
        <v>2019.06</v>
      </c>
      <c r="BU5" s="26">
        <v>2019.07</v>
      </c>
      <c r="BV5" s="26">
        <v>2019.08</v>
      </c>
      <c r="BW5" s="26">
        <v>2019.09</v>
      </c>
      <c r="BX5" s="26">
        <v>2019.1</v>
      </c>
      <c r="BY5" s="26">
        <v>2019.11</v>
      </c>
      <c r="BZ5" s="26">
        <v>2019.12</v>
      </c>
      <c r="CA5" s="25"/>
      <c r="CD5" s="25">
        <v>2018</v>
      </c>
      <c r="CE5" s="26">
        <v>2018.01</v>
      </c>
      <c r="CF5" s="26">
        <v>2018.02</v>
      </c>
      <c r="CG5" s="26">
        <v>2018.03</v>
      </c>
      <c r="CH5" s="26">
        <v>2018.04</v>
      </c>
      <c r="CI5" s="26">
        <v>2018.05</v>
      </c>
      <c r="CJ5" s="26">
        <v>2018.06</v>
      </c>
      <c r="CK5" s="26">
        <v>2018.07</v>
      </c>
      <c r="CL5" s="26">
        <v>2018.08</v>
      </c>
      <c r="CM5" s="26">
        <v>2018.09</v>
      </c>
      <c r="CN5" s="26">
        <v>2018.1</v>
      </c>
      <c r="CO5" s="26">
        <v>2018.11</v>
      </c>
      <c r="CP5" s="26">
        <v>2018.12</v>
      </c>
      <c r="CQ5" s="25"/>
      <c r="CT5" s="25">
        <v>2017</v>
      </c>
      <c r="CU5" s="26">
        <v>2017.01</v>
      </c>
      <c r="CV5" s="26">
        <v>2017.02</v>
      </c>
      <c r="CW5" s="26">
        <v>2017.03</v>
      </c>
      <c r="CX5" s="26">
        <v>2017.04</v>
      </c>
      <c r="CY5" s="26">
        <v>2017.05</v>
      </c>
      <c r="CZ5" s="26">
        <v>2017.06</v>
      </c>
      <c r="DA5" s="26">
        <v>2017.07</v>
      </c>
      <c r="DB5" s="26">
        <v>2017.08</v>
      </c>
      <c r="DC5" s="26">
        <v>2017.09</v>
      </c>
      <c r="DD5" s="26">
        <v>2017.1</v>
      </c>
      <c r="DE5" s="26">
        <v>2017.11</v>
      </c>
      <c r="DF5" s="26">
        <v>2017.12</v>
      </c>
      <c r="DG5" s="25"/>
      <c r="DJ5" s="25">
        <v>2016</v>
      </c>
      <c r="DK5" s="26">
        <v>2016.01</v>
      </c>
      <c r="DL5" s="26">
        <v>2016.02</v>
      </c>
      <c r="DM5" s="26">
        <v>2016.03</v>
      </c>
      <c r="DN5" s="26">
        <v>2016.04</v>
      </c>
      <c r="DO5" s="26">
        <v>2016.05</v>
      </c>
      <c r="DP5" s="26">
        <v>2016.06</v>
      </c>
      <c r="DQ5" s="26">
        <v>2016.07</v>
      </c>
      <c r="DR5" s="26">
        <v>2016.08</v>
      </c>
      <c r="DS5" s="26">
        <v>2016.09</v>
      </c>
      <c r="DT5" s="26">
        <v>2016.1</v>
      </c>
      <c r="DU5" s="26">
        <v>2016.11</v>
      </c>
      <c r="DV5" s="26">
        <v>2016.12</v>
      </c>
      <c r="DW5" s="25"/>
      <c r="DZ5" s="25">
        <v>2015</v>
      </c>
      <c r="EA5" s="26">
        <v>2015.01</v>
      </c>
      <c r="EB5" s="26">
        <v>2015.02</v>
      </c>
      <c r="EC5" s="26">
        <v>2015.03</v>
      </c>
      <c r="ED5" s="26">
        <v>2015.04</v>
      </c>
      <c r="EE5" s="26">
        <v>2015.05</v>
      </c>
      <c r="EF5" s="26">
        <v>2015.06</v>
      </c>
      <c r="EG5" s="26">
        <v>2015.07</v>
      </c>
      <c r="EH5" s="26">
        <v>2015.08</v>
      </c>
      <c r="EI5" s="26">
        <v>2015.09</v>
      </c>
      <c r="EJ5" s="26">
        <v>2015.1</v>
      </c>
      <c r="EK5" s="26">
        <v>2015.11</v>
      </c>
      <c r="EL5" s="26">
        <v>2015.12</v>
      </c>
      <c r="EM5" s="25"/>
      <c r="EP5" s="25">
        <v>2014</v>
      </c>
      <c r="EQ5" s="26">
        <v>2014.01</v>
      </c>
      <c r="ER5" s="26">
        <v>2014.02</v>
      </c>
      <c r="ES5" s="26">
        <v>2014.03</v>
      </c>
      <c r="ET5" s="26">
        <v>2014.04</v>
      </c>
      <c r="EU5" s="26">
        <v>2014.05</v>
      </c>
      <c r="EV5" s="26">
        <v>2014.06</v>
      </c>
      <c r="EW5" s="26">
        <v>2014.07</v>
      </c>
      <c r="EX5" s="26">
        <v>2014.08</v>
      </c>
      <c r="EY5" s="26">
        <v>2014.09</v>
      </c>
      <c r="EZ5" s="26">
        <v>2014.1</v>
      </c>
      <c r="FA5" s="26">
        <v>2014.11</v>
      </c>
      <c r="FB5" s="26">
        <v>2014.12</v>
      </c>
      <c r="FC5" s="25"/>
      <c r="FF5" s="25">
        <v>2013</v>
      </c>
      <c r="FG5" s="26">
        <v>2013.01</v>
      </c>
      <c r="FH5" s="26">
        <v>2013.02</v>
      </c>
      <c r="FI5" s="26">
        <v>2013.03</v>
      </c>
      <c r="FJ5" s="26">
        <v>2013.04</v>
      </c>
      <c r="FK5" s="26">
        <v>2013.05</v>
      </c>
      <c r="FL5" s="26">
        <v>2013.06</v>
      </c>
      <c r="FM5" s="26">
        <v>2013.07</v>
      </c>
      <c r="FN5" s="26">
        <v>2013.08</v>
      </c>
      <c r="FO5" s="26">
        <v>2013.09</v>
      </c>
      <c r="FP5" s="26">
        <v>2013.1</v>
      </c>
      <c r="FQ5" s="26">
        <v>2013.11</v>
      </c>
      <c r="FR5" s="26">
        <v>2013.12</v>
      </c>
      <c r="FS5" s="25"/>
      <c r="FV5" s="25">
        <v>2012</v>
      </c>
      <c r="FW5" s="26">
        <v>2012.01</v>
      </c>
      <c r="FX5" s="26">
        <v>2012.02</v>
      </c>
      <c r="FY5" s="26">
        <v>2012.03</v>
      </c>
      <c r="FZ5" s="26">
        <v>2012.04</v>
      </c>
      <c r="GA5" s="26">
        <v>2012.05</v>
      </c>
      <c r="GB5" s="26">
        <v>2012.06</v>
      </c>
      <c r="GC5" s="26">
        <v>2012.07</v>
      </c>
      <c r="GD5" s="26">
        <v>2012.08</v>
      </c>
      <c r="GE5" s="26">
        <v>2012.09</v>
      </c>
      <c r="GF5" s="26">
        <v>2012.1</v>
      </c>
      <c r="GG5" s="26">
        <v>2012.11</v>
      </c>
      <c r="GH5" s="26">
        <v>2012.12</v>
      </c>
      <c r="GI5" s="25"/>
      <c r="GL5" s="25">
        <v>2011</v>
      </c>
      <c r="GM5" s="26">
        <v>2011.01</v>
      </c>
      <c r="GN5" s="26">
        <v>2011.02</v>
      </c>
      <c r="GO5" s="26">
        <v>2011.03</v>
      </c>
      <c r="GP5" s="26">
        <v>2011.04</v>
      </c>
      <c r="GQ5" s="26">
        <v>2011.05</v>
      </c>
      <c r="GR5" s="26">
        <v>2011.06</v>
      </c>
      <c r="GS5" s="26">
        <v>2011.07</v>
      </c>
      <c r="GT5" s="26">
        <v>2011.08</v>
      </c>
      <c r="GU5" s="26">
        <v>2011.09</v>
      </c>
      <c r="GV5" s="26">
        <v>2011.1</v>
      </c>
      <c r="GW5" s="26">
        <v>2011.11</v>
      </c>
      <c r="GX5" s="26">
        <v>2011.12</v>
      </c>
      <c r="GY5" s="25"/>
      <c r="HB5" s="25">
        <v>2010</v>
      </c>
      <c r="HC5" s="26">
        <v>2010.01</v>
      </c>
      <c r="HD5" s="26">
        <v>2010.02</v>
      </c>
      <c r="HE5" s="26">
        <v>2010.03</v>
      </c>
      <c r="HF5" s="26">
        <v>2010.04</v>
      </c>
      <c r="HG5" s="26">
        <v>2010.05</v>
      </c>
      <c r="HH5" s="26">
        <v>2010.06</v>
      </c>
      <c r="HI5" s="26">
        <v>2010.07</v>
      </c>
      <c r="HJ5" s="26">
        <v>2010.08</v>
      </c>
      <c r="HK5" s="26">
        <v>2010.09</v>
      </c>
      <c r="HL5" s="26">
        <v>2010.1</v>
      </c>
      <c r="HM5" s="26">
        <v>2010.11</v>
      </c>
      <c r="HN5" s="26">
        <v>2010.12</v>
      </c>
      <c r="HO5" s="25"/>
      <c r="HR5" s="25">
        <v>2009</v>
      </c>
      <c r="HS5" s="26">
        <v>2009.01</v>
      </c>
      <c r="HT5" s="26">
        <v>2009.02</v>
      </c>
      <c r="HU5" s="26">
        <v>2009.03</v>
      </c>
      <c r="HV5" s="26">
        <v>2009.04</v>
      </c>
      <c r="HW5" s="26">
        <v>2009.05</v>
      </c>
      <c r="HX5" s="26">
        <v>2009.06</v>
      </c>
      <c r="HY5" s="26">
        <v>2009.07</v>
      </c>
      <c r="HZ5" s="26">
        <v>2009.08</v>
      </c>
      <c r="IA5" s="26">
        <v>2009.09</v>
      </c>
      <c r="IB5" s="26">
        <v>2009.1</v>
      </c>
      <c r="IC5" s="26">
        <v>2009.11</v>
      </c>
      <c r="ID5" s="26">
        <v>2009.12</v>
      </c>
      <c r="IE5" s="25"/>
      <c r="IH5" s="25">
        <v>2008</v>
      </c>
      <c r="II5" s="26">
        <v>2008.01</v>
      </c>
      <c r="IJ5" s="26">
        <v>2008.02</v>
      </c>
      <c r="IK5" s="26">
        <v>2008.03</v>
      </c>
      <c r="IL5" s="26">
        <v>2008.04</v>
      </c>
      <c r="IM5" s="26">
        <v>2008.05</v>
      </c>
      <c r="IN5" s="26">
        <v>2008.06</v>
      </c>
      <c r="IO5" s="26">
        <v>2008.07</v>
      </c>
      <c r="IP5" s="26">
        <v>2008.08</v>
      </c>
      <c r="IQ5" s="26">
        <v>2008.09</v>
      </c>
      <c r="IR5" s="26">
        <v>2008.1</v>
      </c>
      <c r="IS5" s="26">
        <v>2008.11</v>
      </c>
      <c r="IT5" s="26">
        <v>2008.12</v>
      </c>
      <c r="IU5" s="25"/>
      <c r="IX5" s="25">
        <v>2007</v>
      </c>
      <c r="IY5" s="26">
        <v>2007.01</v>
      </c>
      <c r="IZ5" s="26">
        <v>2007.02</v>
      </c>
      <c r="JA5" s="26">
        <v>2007.03</v>
      </c>
      <c r="JB5" s="26">
        <v>2007.04</v>
      </c>
      <c r="JC5" s="26">
        <v>2007.05</v>
      </c>
      <c r="JD5" s="26">
        <v>2007.06</v>
      </c>
      <c r="JE5" s="26">
        <v>2007.07</v>
      </c>
      <c r="JF5" s="26">
        <v>2007.08</v>
      </c>
      <c r="JG5" s="26">
        <v>2007.09</v>
      </c>
      <c r="JH5" s="26">
        <v>2007.1</v>
      </c>
      <c r="JI5" s="26">
        <v>2007.11</v>
      </c>
      <c r="JJ5" s="26">
        <v>2007.12</v>
      </c>
      <c r="JK5" s="25"/>
      <c r="JN5" s="25">
        <v>2006</v>
      </c>
      <c r="JO5" s="26">
        <v>2006.01</v>
      </c>
      <c r="JP5" s="26">
        <v>2006.02</v>
      </c>
      <c r="JQ5" s="26">
        <v>2006.03</v>
      </c>
      <c r="JR5" s="26">
        <v>2006.04</v>
      </c>
      <c r="JS5" s="26">
        <v>2006.05</v>
      </c>
      <c r="JT5" s="26">
        <v>2006.06</v>
      </c>
      <c r="JU5" s="26">
        <v>2006.07</v>
      </c>
      <c r="JV5" s="26">
        <v>2006.08</v>
      </c>
      <c r="JW5" s="26">
        <v>2006.09</v>
      </c>
      <c r="JX5" s="26">
        <v>2006.1</v>
      </c>
      <c r="JY5" s="26">
        <v>2006.11</v>
      </c>
      <c r="JZ5" s="26">
        <v>2006.12</v>
      </c>
      <c r="KA5" s="25"/>
      <c r="KD5" s="25">
        <v>2005</v>
      </c>
      <c r="KE5" s="26">
        <v>2005.01</v>
      </c>
      <c r="KF5" s="26">
        <v>2005.02</v>
      </c>
      <c r="KG5" s="26">
        <v>2005.03</v>
      </c>
      <c r="KH5" s="26">
        <v>2005.04</v>
      </c>
      <c r="KI5" s="26">
        <v>2005.05</v>
      </c>
      <c r="KJ5" s="26">
        <v>2005.06</v>
      </c>
      <c r="KK5" s="26">
        <v>2005.07</v>
      </c>
      <c r="KL5" s="26">
        <v>2005.08</v>
      </c>
      <c r="KM5" s="26">
        <v>2005.09</v>
      </c>
      <c r="KN5" s="26">
        <v>2005.1</v>
      </c>
      <c r="KO5" s="26">
        <v>2005.11</v>
      </c>
      <c r="KP5" s="26">
        <v>2005.12</v>
      </c>
      <c r="KQ5" s="25"/>
      <c r="KT5" s="25">
        <v>2004</v>
      </c>
      <c r="KU5" s="26">
        <v>2004.01</v>
      </c>
      <c r="KV5" s="26">
        <v>2004.02</v>
      </c>
      <c r="KW5" s="26">
        <v>2004.03</v>
      </c>
      <c r="KX5" s="26">
        <v>2004.04</v>
      </c>
      <c r="KY5" s="26">
        <v>2004.05</v>
      </c>
      <c r="KZ5" s="26">
        <v>2004.06</v>
      </c>
      <c r="LA5" s="26">
        <v>2004.07</v>
      </c>
      <c r="LB5" s="26">
        <v>2004.08</v>
      </c>
      <c r="LC5" s="26">
        <v>2004.09</v>
      </c>
      <c r="LD5" s="26">
        <v>2004.1</v>
      </c>
      <c r="LE5" s="26">
        <v>2004.11</v>
      </c>
      <c r="LF5" s="26">
        <v>2004.12</v>
      </c>
      <c r="LG5" s="25"/>
      <c r="LJ5" s="25">
        <v>2003</v>
      </c>
      <c r="LK5" s="26">
        <v>2003.01</v>
      </c>
      <c r="LL5" s="26">
        <v>2003.02</v>
      </c>
      <c r="LM5" s="26">
        <v>2003.03</v>
      </c>
      <c r="LN5" s="26">
        <v>2003.04</v>
      </c>
      <c r="LO5" s="26">
        <v>2003.05</v>
      </c>
      <c r="LP5" s="26">
        <v>2003.06</v>
      </c>
      <c r="LQ5" s="26">
        <v>2003.07</v>
      </c>
      <c r="LR5" s="26">
        <v>2003.08</v>
      </c>
      <c r="LS5" s="26">
        <v>2003.09</v>
      </c>
      <c r="LT5" s="26">
        <v>2003.1</v>
      </c>
      <c r="LU5" s="26">
        <v>2003.11</v>
      </c>
      <c r="LV5" s="26">
        <v>2003.12</v>
      </c>
      <c r="LW5" s="25"/>
      <c r="LZ5" s="25">
        <v>2002</v>
      </c>
      <c r="MA5" s="26">
        <v>2002.01</v>
      </c>
      <c r="MB5" s="26">
        <v>2002.02</v>
      </c>
      <c r="MC5" s="26">
        <v>2002.03</v>
      </c>
      <c r="MD5" s="26">
        <v>2002.04</v>
      </c>
      <c r="ME5" s="26">
        <v>2002.05</v>
      </c>
      <c r="MF5" s="26">
        <v>2002.06</v>
      </c>
      <c r="MG5" s="26">
        <v>2002.07</v>
      </c>
      <c r="MH5" s="26">
        <v>2002.08</v>
      </c>
      <c r="MI5" s="26">
        <v>2002.09</v>
      </c>
      <c r="MJ5" s="26">
        <v>2002.1</v>
      </c>
      <c r="MK5" s="26">
        <v>2002.11</v>
      </c>
      <c r="ML5" s="26">
        <v>2002.12</v>
      </c>
      <c r="MM5" s="25"/>
      <c r="MP5" s="25">
        <v>2001</v>
      </c>
      <c r="MQ5" s="26">
        <v>2001.01</v>
      </c>
      <c r="MR5" s="26">
        <v>2001.02</v>
      </c>
      <c r="MS5" s="26">
        <v>2001.03</v>
      </c>
      <c r="MT5" s="26">
        <v>2001.04</v>
      </c>
      <c r="MU5" s="26">
        <v>2001.05</v>
      </c>
      <c r="MV5" s="26">
        <v>2001.06</v>
      </c>
      <c r="MW5" s="26">
        <v>2001.07</v>
      </c>
      <c r="MX5" s="26">
        <v>2001.08</v>
      </c>
      <c r="MY5" s="26">
        <v>2001.09</v>
      </c>
      <c r="MZ5" s="26">
        <v>2001.1</v>
      </c>
      <c r="NA5" s="26">
        <v>2001.11</v>
      </c>
      <c r="NB5" s="26">
        <v>2001.12</v>
      </c>
      <c r="NC5" s="25"/>
      <c r="NF5" s="25">
        <v>2000</v>
      </c>
      <c r="NG5" s="26">
        <v>2000.01</v>
      </c>
      <c r="NH5" s="26">
        <v>2000.02</v>
      </c>
      <c r="NI5" s="26">
        <v>2000.03</v>
      </c>
      <c r="NJ5" s="26">
        <v>2000.04</v>
      </c>
      <c r="NK5" s="26">
        <v>2000.05</v>
      </c>
      <c r="NL5" s="26">
        <v>2000.06</v>
      </c>
      <c r="NM5" s="26">
        <v>2000.07</v>
      </c>
      <c r="NN5" s="26">
        <v>2000.08</v>
      </c>
      <c r="NO5" s="26">
        <v>2000.09</v>
      </c>
      <c r="NP5" s="26">
        <v>2000.1</v>
      </c>
      <c r="NQ5" s="26">
        <v>2000.11</v>
      </c>
      <c r="NR5" s="26">
        <v>2000.12</v>
      </c>
      <c r="NS5" s="25"/>
      <c r="NV5" s="25">
        <v>1999</v>
      </c>
      <c r="NW5" s="26">
        <v>1999.01</v>
      </c>
      <c r="NX5" s="26">
        <v>1999.02</v>
      </c>
      <c r="NY5" s="26">
        <v>1999.03</v>
      </c>
      <c r="NZ5" s="26">
        <v>1999.04</v>
      </c>
      <c r="OA5" s="26">
        <v>1999.05</v>
      </c>
      <c r="OB5" s="26">
        <v>1999.06</v>
      </c>
      <c r="OC5" s="26">
        <v>1999.07</v>
      </c>
      <c r="OD5" s="26">
        <v>1999.08</v>
      </c>
      <c r="OE5" s="26">
        <v>1999.09</v>
      </c>
      <c r="OF5" s="26">
        <v>1999.1</v>
      </c>
      <c r="OG5" s="26">
        <v>1999.11</v>
      </c>
      <c r="OH5" s="26">
        <v>1999.12</v>
      </c>
      <c r="OI5" s="25"/>
      <c r="OL5" s="25">
        <v>1998</v>
      </c>
      <c r="OM5" s="26">
        <v>1998.01</v>
      </c>
      <c r="ON5" s="26">
        <v>1998.02</v>
      </c>
      <c r="OO5" s="26">
        <v>1998.03</v>
      </c>
      <c r="OP5" s="26">
        <v>1998.04</v>
      </c>
      <c r="OQ5" s="26">
        <v>1998.05</v>
      </c>
      <c r="OR5" s="26">
        <v>1998.06</v>
      </c>
      <c r="OS5" s="26">
        <v>1998.07</v>
      </c>
      <c r="OT5" s="26">
        <v>1998.08</v>
      </c>
      <c r="OU5" s="26">
        <v>1998.09</v>
      </c>
      <c r="OV5" s="26">
        <v>1998.1</v>
      </c>
      <c r="OW5" s="26">
        <v>1998.11</v>
      </c>
      <c r="OX5" s="26">
        <v>1998.12</v>
      </c>
      <c r="OY5" s="25"/>
      <c r="PB5" s="25">
        <v>1997</v>
      </c>
      <c r="PC5" s="26">
        <v>1997.01</v>
      </c>
      <c r="PD5" s="26">
        <v>1997.02</v>
      </c>
      <c r="PE5" s="26">
        <v>1997.03</v>
      </c>
      <c r="PF5" s="26">
        <v>1997.04</v>
      </c>
      <c r="PG5" s="26">
        <v>1997.05</v>
      </c>
      <c r="PH5" s="26">
        <v>1997.06</v>
      </c>
      <c r="PI5" s="26">
        <v>1997.07</v>
      </c>
      <c r="PJ5" s="26">
        <v>1997.08</v>
      </c>
      <c r="PK5" s="26">
        <v>1997.09</v>
      </c>
      <c r="PL5" s="26">
        <v>1997.1</v>
      </c>
      <c r="PM5" s="26">
        <v>1997.11</v>
      </c>
      <c r="PN5" s="26">
        <v>1997.12</v>
      </c>
      <c r="PO5" s="25"/>
      <c r="PR5" s="25">
        <v>1996</v>
      </c>
      <c r="PS5" s="26">
        <v>1996.01</v>
      </c>
      <c r="PT5" s="26">
        <v>1996.02</v>
      </c>
      <c r="PU5" s="26">
        <v>1996.03</v>
      </c>
      <c r="PV5" s="26">
        <v>1996.04</v>
      </c>
      <c r="PW5" s="26">
        <v>1996.05</v>
      </c>
      <c r="PX5" s="26">
        <v>1996.06</v>
      </c>
      <c r="PY5" s="26">
        <v>1996.07</v>
      </c>
      <c r="PZ5" s="26">
        <v>1996.08</v>
      </c>
      <c r="QA5" s="26">
        <v>1996.09</v>
      </c>
      <c r="QB5" s="26">
        <v>1996.1</v>
      </c>
      <c r="QC5" s="26">
        <v>1996.11</v>
      </c>
      <c r="QD5" s="26">
        <v>1996.12</v>
      </c>
      <c r="QE5" s="25"/>
      <c r="QH5" s="25">
        <v>1995</v>
      </c>
      <c r="QI5" s="26">
        <v>1995.01</v>
      </c>
      <c r="QJ5" s="26">
        <v>1995.02</v>
      </c>
      <c r="QK5" s="26">
        <v>1995.03</v>
      </c>
      <c r="QL5" s="26">
        <v>1995.04</v>
      </c>
      <c r="QM5" s="26">
        <v>1995.05</v>
      </c>
      <c r="QN5" s="26">
        <v>1995.06</v>
      </c>
      <c r="QO5" s="26">
        <v>1995.07</v>
      </c>
      <c r="QP5" s="26">
        <v>1995.08</v>
      </c>
      <c r="QQ5" s="26">
        <v>1995.09</v>
      </c>
      <c r="QR5" s="26">
        <v>1995.1</v>
      </c>
      <c r="QS5" s="26">
        <v>1995.11</v>
      </c>
      <c r="QT5" s="26">
        <v>1995.12</v>
      </c>
      <c r="QU5" s="25"/>
      <c r="QX5" s="25">
        <v>1994</v>
      </c>
      <c r="QY5" s="26">
        <v>1994.01</v>
      </c>
      <c r="QZ5" s="26">
        <v>1994.02</v>
      </c>
      <c r="RA5" s="26">
        <v>1994.03</v>
      </c>
      <c r="RB5" s="26">
        <v>1994.04</v>
      </c>
      <c r="RC5" s="26">
        <v>1994.05</v>
      </c>
      <c r="RD5" s="26">
        <v>1994.06</v>
      </c>
      <c r="RE5" s="26">
        <v>1994.07</v>
      </c>
      <c r="RF5" s="26">
        <v>1994.08</v>
      </c>
      <c r="RG5" s="26">
        <v>1994.09</v>
      </c>
      <c r="RH5" s="26">
        <v>1994.1</v>
      </c>
      <c r="RI5" s="26">
        <v>1994.11</v>
      </c>
      <c r="RJ5" s="26">
        <v>1994.12</v>
      </c>
      <c r="RK5" s="25"/>
      <c r="RN5" s="25">
        <v>1993</v>
      </c>
      <c r="RO5" s="26">
        <v>1993.01</v>
      </c>
      <c r="RP5" s="26">
        <v>1993.02</v>
      </c>
      <c r="RQ5" s="26">
        <v>1993.03</v>
      </c>
      <c r="RR5" s="26">
        <v>1993.04</v>
      </c>
      <c r="RS5" s="26">
        <v>1993.05</v>
      </c>
      <c r="RT5" s="26">
        <v>1993.06</v>
      </c>
      <c r="RU5" s="26">
        <v>1993.07</v>
      </c>
      <c r="RV5" s="26">
        <v>1993.08</v>
      </c>
      <c r="RW5" s="26">
        <v>1993.09</v>
      </c>
      <c r="RX5" s="26">
        <v>1993.1</v>
      </c>
      <c r="RY5" s="26">
        <v>1993.11</v>
      </c>
      <c r="RZ5" s="26">
        <v>1993.12</v>
      </c>
      <c r="SA5" s="25"/>
      <c r="SD5" s="25">
        <v>1992</v>
      </c>
      <c r="SE5" s="26">
        <v>1992.01</v>
      </c>
      <c r="SF5" s="26">
        <v>1992.02</v>
      </c>
      <c r="SG5" s="26">
        <v>1992.03</v>
      </c>
      <c r="SH5" s="26">
        <v>1992.04</v>
      </c>
      <c r="SI5" s="26">
        <v>1992.05</v>
      </c>
      <c r="SJ5" s="26">
        <v>1992.06</v>
      </c>
      <c r="SK5" s="26">
        <v>1992.07</v>
      </c>
      <c r="SL5" s="26">
        <v>1992.08</v>
      </c>
      <c r="SM5" s="26">
        <v>1992.09</v>
      </c>
      <c r="SN5" s="26">
        <v>1992.1</v>
      </c>
      <c r="SO5" s="26">
        <v>1992.11</v>
      </c>
      <c r="SP5" s="26">
        <v>1992.12</v>
      </c>
      <c r="SQ5" s="25"/>
      <c r="ST5" s="25">
        <v>1991</v>
      </c>
      <c r="SU5" s="26">
        <v>1991.01</v>
      </c>
      <c r="SV5" s="26">
        <v>1991.02</v>
      </c>
      <c r="SW5" s="26">
        <v>1991.03</v>
      </c>
      <c r="SX5" s="26">
        <v>1991.04</v>
      </c>
      <c r="SY5" s="26">
        <v>1991.05</v>
      </c>
      <c r="SZ5" s="26">
        <v>1991.06</v>
      </c>
      <c r="TA5" s="26">
        <v>1991.07</v>
      </c>
      <c r="TB5" s="26">
        <v>1991.08</v>
      </c>
      <c r="TC5" s="26">
        <v>1991.09</v>
      </c>
      <c r="TD5" s="26">
        <v>1991.1</v>
      </c>
      <c r="TE5" s="26">
        <v>1991.11</v>
      </c>
      <c r="TF5" s="26">
        <v>1991.12</v>
      </c>
      <c r="TG5" s="25"/>
      <c r="TJ5" s="25">
        <v>1990</v>
      </c>
      <c r="TK5" s="26">
        <v>1990.01</v>
      </c>
      <c r="TL5" s="26">
        <v>1990.02</v>
      </c>
      <c r="TM5" s="26">
        <v>1990.03</v>
      </c>
      <c r="TN5" s="26">
        <v>1990.04</v>
      </c>
      <c r="TO5" s="26">
        <v>1990.05</v>
      </c>
      <c r="TP5" s="26">
        <v>1990.06</v>
      </c>
      <c r="TQ5" s="26">
        <v>1990.07</v>
      </c>
      <c r="TR5" s="26">
        <v>1990.08</v>
      </c>
      <c r="TS5" s="26">
        <v>1990.09</v>
      </c>
      <c r="TT5" s="26">
        <v>1990.1</v>
      </c>
      <c r="TU5" s="26">
        <v>1990.11</v>
      </c>
      <c r="TV5" s="26">
        <v>1990.12</v>
      </c>
      <c r="TW5" s="25"/>
      <c r="TZ5" s="25">
        <v>1989</v>
      </c>
      <c r="UA5" s="26">
        <v>1989.01</v>
      </c>
      <c r="UB5" s="26">
        <v>1989.02</v>
      </c>
      <c r="UC5" s="26">
        <v>1989.03</v>
      </c>
      <c r="UD5" s="26">
        <v>1989.04</v>
      </c>
      <c r="UE5" s="26">
        <v>1989.05</v>
      </c>
      <c r="UF5" s="26">
        <v>1989.06</v>
      </c>
      <c r="UG5" s="26">
        <v>1989.07</v>
      </c>
      <c r="UH5" s="26">
        <v>1989.08</v>
      </c>
      <c r="UI5" s="26">
        <v>1989.09</v>
      </c>
      <c r="UJ5" s="26">
        <v>1989.1</v>
      </c>
      <c r="UK5" s="26">
        <v>1989.11</v>
      </c>
      <c r="UL5" s="26">
        <v>1989.12</v>
      </c>
      <c r="UM5" s="25"/>
    </row>
    <row r="6" spans="2:559" s="7" customFormat="1" ht="33" customHeight="1">
      <c r="B6" s="14" t="s">
        <v>757</v>
      </c>
      <c r="C6" s="14" t="s">
        <v>758</v>
      </c>
      <c r="D6" s="14" t="s">
        <v>759</v>
      </c>
      <c r="E6" s="14" t="s">
        <v>760</v>
      </c>
      <c r="F6" s="14" t="s">
        <v>761</v>
      </c>
      <c r="G6" s="14" t="s">
        <v>762</v>
      </c>
      <c r="H6" s="14" t="s">
        <v>763</v>
      </c>
      <c r="I6" s="14" t="s">
        <v>764</v>
      </c>
      <c r="J6" s="14" t="s">
        <v>765</v>
      </c>
      <c r="K6" s="14" t="s">
        <v>766</v>
      </c>
      <c r="L6" s="14" t="s">
        <v>767</v>
      </c>
      <c r="M6" s="14" t="s">
        <v>768</v>
      </c>
      <c r="N6" s="14" t="s">
        <v>769</v>
      </c>
      <c r="O6" s="14" t="s">
        <v>757</v>
      </c>
      <c r="R6" s="14" t="s">
        <v>757</v>
      </c>
      <c r="S6" s="14" t="s">
        <v>758</v>
      </c>
      <c r="T6" s="14" t="s">
        <v>759</v>
      </c>
      <c r="U6" s="14" t="s">
        <v>760</v>
      </c>
      <c r="V6" s="14" t="s">
        <v>761</v>
      </c>
      <c r="W6" s="14" t="s">
        <v>762</v>
      </c>
      <c r="X6" s="14" t="s">
        <v>763</v>
      </c>
      <c r="Y6" s="14" t="s">
        <v>764</v>
      </c>
      <c r="Z6" s="14" t="s">
        <v>765</v>
      </c>
      <c r="AA6" s="14" t="s">
        <v>766</v>
      </c>
      <c r="AB6" s="14" t="s">
        <v>767</v>
      </c>
      <c r="AC6" s="14" t="s">
        <v>768</v>
      </c>
      <c r="AD6" s="14" t="s">
        <v>769</v>
      </c>
      <c r="AE6" s="14" t="s">
        <v>757</v>
      </c>
      <c r="AH6" s="14" t="s">
        <v>757</v>
      </c>
      <c r="AI6" s="14" t="s">
        <v>758</v>
      </c>
      <c r="AJ6" s="14" t="s">
        <v>759</v>
      </c>
      <c r="AK6" s="14" t="s">
        <v>760</v>
      </c>
      <c r="AL6" s="14" t="s">
        <v>761</v>
      </c>
      <c r="AM6" s="14" t="s">
        <v>762</v>
      </c>
      <c r="AN6" s="14" t="s">
        <v>763</v>
      </c>
      <c r="AO6" s="14" t="s">
        <v>764</v>
      </c>
      <c r="AP6" s="14" t="s">
        <v>765</v>
      </c>
      <c r="AQ6" s="14" t="s">
        <v>766</v>
      </c>
      <c r="AR6" s="14" t="s">
        <v>767</v>
      </c>
      <c r="AS6" s="14" t="s">
        <v>768</v>
      </c>
      <c r="AT6" s="14" t="s">
        <v>769</v>
      </c>
      <c r="AU6" s="14" t="s">
        <v>757</v>
      </c>
      <c r="AV6" s="8"/>
      <c r="AW6" s="8"/>
      <c r="AX6" s="14" t="s">
        <v>757</v>
      </c>
      <c r="AY6" s="14" t="s">
        <v>758</v>
      </c>
      <c r="AZ6" s="14" t="s">
        <v>759</v>
      </c>
      <c r="BA6" s="14" t="s">
        <v>760</v>
      </c>
      <c r="BB6" s="14" t="s">
        <v>761</v>
      </c>
      <c r="BC6" s="14" t="s">
        <v>762</v>
      </c>
      <c r="BD6" s="14" t="s">
        <v>763</v>
      </c>
      <c r="BE6" s="14" t="s">
        <v>764</v>
      </c>
      <c r="BF6" s="14" t="s">
        <v>765</v>
      </c>
      <c r="BG6" s="14" t="s">
        <v>766</v>
      </c>
      <c r="BH6" s="14" t="s">
        <v>767</v>
      </c>
      <c r="BI6" s="14" t="s">
        <v>768</v>
      </c>
      <c r="BJ6" s="14" t="s">
        <v>769</v>
      </c>
      <c r="BK6" s="14" t="s">
        <v>757</v>
      </c>
      <c r="BN6" s="14" t="s">
        <v>757</v>
      </c>
      <c r="BO6" s="14" t="s">
        <v>758</v>
      </c>
      <c r="BP6" s="14" t="s">
        <v>759</v>
      </c>
      <c r="BQ6" s="14" t="s">
        <v>760</v>
      </c>
      <c r="BR6" s="14" t="s">
        <v>761</v>
      </c>
      <c r="BS6" s="14" t="s">
        <v>762</v>
      </c>
      <c r="BT6" s="14" t="s">
        <v>763</v>
      </c>
      <c r="BU6" s="14" t="s">
        <v>764</v>
      </c>
      <c r="BV6" s="14" t="s">
        <v>765</v>
      </c>
      <c r="BW6" s="14" t="s">
        <v>766</v>
      </c>
      <c r="BX6" s="14" t="s">
        <v>767</v>
      </c>
      <c r="BY6" s="14" t="s">
        <v>768</v>
      </c>
      <c r="BZ6" s="14" t="s">
        <v>769</v>
      </c>
      <c r="CA6" s="14" t="s">
        <v>757</v>
      </c>
      <c r="CD6" s="14" t="s">
        <v>757</v>
      </c>
      <c r="CE6" s="14" t="s">
        <v>758</v>
      </c>
      <c r="CF6" s="14" t="s">
        <v>759</v>
      </c>
      <c r="CG6" s="14" t="s">
        <v>760</v>
      </c>
      <c r="CH6" s="14" t="s">
        <v>761</v>
      </c>
      <c r="CI6" s="14" t="s">
        <v>762</v>
      </c>
      <c r="CJ6" s="14" t="s">
        <v>763</v>
      </c>
      <c r="CK6" s="14" t="s">
        <v>764</v>
      </c>
      <c r="CL6" s="14" t="s">
        <v>765</v>
      </c>
      <c r="CM6" s="14" t="s">
        <v>766</v>
      </c>
      <c r="CN6" s="14" t="s">
        <v>767</v>
      </c>
      <c r="CO6" s="14" t="s">
        <v>768</v>
      </c>
      <c r="CP6" s="14" t="s">
        <v>769</v>
      </c>
      <c r="CQ6" s="14" t="s">
        <v>757</v>
      </c>
      <c r="CT6" s="14" t="s">
        <v>757</v>
      </c>
      <c r="CU6" s="14" t="s">
        <v>758</v>
      </c>
      <c r="CV6" s="14" t="s">
        <v>759</v>
      </c>
      <c r="CW6" s="14" t="s">
        <v>760</v>
      </c>
      <c r="CX6" s="14" t="s">
        <v>761</v>
      </c>
      <c r="CY6" s="14" t="s">
        <v>762</v>
      </c>
      <c r="CZ6" s="14" t="s">
        <v>763</v>
      </c>
      <c r="DA6" s="14" t="s">
        <v>764</v>
      </c>
      <c r="DB6" s="14" t="s">
        <v>765</v>
      </c>
      <c r="DC6" s="14" t="s">
        <v>766</v>
      </c>
      <c r="DD6" s="14" t="s">
        <v>767</v>
      </c>
      <c r="DE6" s="14" t="s">
        <v>768</v>
      </c>
      <c r="DF6" s="14" t="s">
        <v>769</v>
      </c>
      <c r="DG6" s="14" t="s">
        <v>757</v>
      </c>
      <c r="DJ6" s="14" t="s">
        <v>757</v>
      </c>
      <c r="DK6" s="14" t="s">
        <v>758</v>
      </c>
      <c r="DL6" s="14" t="s">
        <v>759</v>
      </c>
      <c r="DM6" s="14" t="s">
        <v>760</v>
      </c>
      <c r="DN6" s="14" t="s">
        <v>761</v>
      </c>
      <c r="DO6" s="14" t="s">
        <v>762</v>
      </c>
      <c r="DP6" s="14" t="s">
        <v>763</v>
      </c>
      <c r="DQ6" s="14" t="s">
        <v>764</v>
      </c>
      <c r="DR6" s="14" t="s">
        <v>765</v>
      </c>
      <c r="DS6" s="14" t="s">
        <v>766</v>
      </c>
      <c r="DT6" s="14" t="s">
        <v>767</v>
      </c>
      <c r="DU6" s="14" t="s">
        <v>768</v>
      </c>
      <c r="DV6" s="14" t="s">
        <v>769</v>
      </c>
      <c r="DW6" s="14" t="s">
        <v>757</v>
      </c>
      <c r="DZ6" s="14" t="s">
        <v>757</v>
      </c>
      <c r="EA6" s="14" t="s">
        <v>758</v>
      </c>
      <c r="EB6" s="14" t="s">
        <v>759</v>
      </c>
      <c r="EC6" s="14" t="s">
        <v>760</v>
      </c>
      <c r="ED6" s="14" t="s">
        <v>761</v>
      </c>
      <c r="EE6" s="14" t="s">
        <v>762</v>
      </c>
      <c r="EF6" s="14" t="s">
        <v>763</v>
      </c>
      <c r="EG6" s="14" t="s">
        <v>764</v>
      </c>
      <c r="EH6" s="14" t="s">
        <v>765</v>
      </c>
      <c r="EI6" s="14" t="s">
        <v>766</v>
      </c>
      <c r="EJ6" s="14" t="s">
        <v>767</v>
      </c>
      <c r="EK6" s="14" t="s">
        <v>768</v>
      </c>
      <c r="EL6" s="14" t="s">
        <v>769</v>
      </c>
      <c r="EM6" s="14" t="s">
        <v>757</v>
      </c>
      <c r="EP6" s="14" t="s">
        <v>757</v>
      </c>
      <c r="EQ6" s="14" t="s">
        <v>758</v>
      </c>
      <c r="ER6" s="14" t="s">
        <v>759</v>
      </c>
      <c r="ES6" s="14" t="s">
        <v>760</v>
      </c>
      <c r="ET6" s="14" t="s">
        <v>761</v>
      </c>
      <c r="EU6" s="14" t="s">
        <v>762</v>
      </c>
      <c r="EV6" s="14" t="s">
        <v>763</v>
      </c>
      <c r="EW6" s="14" t="s">
        <v>764</v>
      </c>
      <c r="EX6" s="14" t="s">
        <v>765</v>
      </c>
      <c r="EY6" s="14" t="s">
        <v>766</v>
      </c>
      <c r="EZ6" s="14" t="s">
        <v>767</v>
      </c>
      <c r="FA6" s="14" t="s">
        <v>768</v>
      </c>
      <c r="FB6" s="14" t="s">
        <v>769</v>
      </c>
      <c r="FC6" s="14" t="s">
        <v>757</v>
      </c>
      <c r="FF6" s="14" t="s">
        <v>757</v>
      </c>
      <c r="FG6" s="14" t="s">
        <v>758</v>
      </c>
      <c r="FH6" s="14" t="s">
        <v>759</v>
      </c>
      <c r="FI6" s="14" t="s">
        <v>760</v>
      </c>
      <c r="FJ6" s="14" t="s">
        <v>761</v>
      </c>
      <c r="FK6" s="14" t="s">
        <v>762</v>
      </c>
      <c r="FL6" s="14" t="s">
        <v>763</v>
      </c>
      <c r="FM6" s="14" t="s">
        <v>764</v>
      </c>
      <c r="FN6" s="14" t="s">
        <v>765</v>
      </c>
      <c r="FO6" s="14" t="s">
        <v>766</v>
      </c>
      <c r="FP6" s="14" t="s">
        <v>767</v>
      </c>
      <c r="FQ6" s="14" t="s">
        <v>768</v>
      </c>
      <c r="FR6" s="14" t="s">
        <v>769</v>
      </c>
      <c r="FS6" s="14" t="s">
        <v>757</v>
      </c>
      <c r="FV6" s="14" t="s">
        <v>757</v>
      </c>
      <c r="FW6" s="14" t="s">
        <v>758</v>
      </c>
      <c r="FX6" s="14" t="s">
        <v>759</v>
      </c>
      <c r="FY6" s="14" t="s">
        <v>760</v>
      </c>
      <c r="FZ6" s="14" t="s">
        <v>761</v>
      </c>
      <c r="GA6" s="14" t="s">
        <v>762</v>
      </c>
      <c r="GB6" s="14" t="s">
        <v>763</v>
      </c>
      <c r="GC6" s="14" t="s">
        <v>764</v>
      </c>
      <c r="GD6" s="14" t="s">
        <v>765</v>
      </c>
      <c r="GE6" s="14" t="s">
        <v>766</v>
      </c>
      <c r="GF6" s="14" t="s">
        <v>767</v>
      </c>
      <c r="GG6" s="14" t="s">
        <v>768</v>
      </c>
      <c r="GH6" s="14" t="s">
        <v>769</v>
      </c>
      <c r="GI6" s="14" t="s">
        <v>757</v>
      </c>
      <c r="GL6" s="14" t="s">
        <v>757</v>
      </c>
      <c r="GM6" s="14" t="s">
        <v>758</v>
      </c>
      <c r="GN6" s="14" t="s">
        <v>759</v>
      </c>
      <c r="GO6" s="14" t="s">
        <v>760</v>
      </c>
      <c r="GP6" s="14" t="s">
        <v>761</v>
      </c>
      <c r="GQ6" s="14" t="s">
        <v>762</v>
      </c>
      <c r="GR6" s="14" t="s">
        <v>763</v>
      </c>
      <c r="GS6" s="14" t="s">
        <v>764</v>
      </c>
      <c r="GT6" s="14" t="s">
        <v>765</v>
      </c>
      <c r="GU6" s="14" t="s">
        <v>766</v>
      </c>
      <c r="GV6" s="14" t="s">
        <v>767</v>
      </c>
      <c r="GW6" s="14" t="s">
        <v>768</v>
      </c>
      <c r="GX6" s="14" t="s">
        <v>769</v>
      </c>
      <c r="GY6" s="14" t="s">
        <v>757</v>
      </c>
      <c r="HB6" s="14" t="s">
        <v>757</v>
      </c>
      <c r="HC6" s="14" t="s">
        <v>758</v>
      </c>
      <c r="HD6" s="14" t="s">
        <v>759</v>
      </c>
      <c r="HE6" s="14" t="s">
        <v>760</v>
      </c>
      <c r="HF6" s="14" t="s">
        <v>761</v>
      </c>
      <c r="HG6" s="14" t="s">
        <v>762</v>
      </c>
      <c r="HH6" s="14" t="s">
        <v>763</v>
      </c>
      <c r="HI6" s="14" t="s">
        <v>764</v>
      </c>
      <c r="HJ6" s="14" t="s">
        <v>765</v>
      </c>
      <c r="HK6" s="14" t="s">
        <v>766</v>
      </c>
      <c r="HL6" s="14" t="s">
        <v>767</v>
      </c>
      <c r="HM6" s="14" t="s">
        <v>768</v>
      </c>
      <c r="HN6" s="14" t="s">
        <v>769</v>
      </c>
      <c r="HO6" s="14" t="s">
        <v>757</v>
      </c>
      <c r="HR6" s="14" t="s">
        <v>757</v>
      </c>
      <c r="HS6" s="14" t="s">
        <v>758</v>
      </c>
      <c r="HT6" s="14" t="s">
        <v>759</v>
      </c>
      <c r="HU6" s="14" t="s">
        <v>760</v>
      </c>
      <c r="HV6" s="14" t="s">
        <v>761</v>
      </c>
      <c r="HW6" s="14" t="s">
        <v>762</v>
      </c>
      <c r="HX6" s="14" t="s">
        <v>763</v>
      </c>
      <c r="HY6" s="14" t="s">
        <v>764</v>
      </c>
      <c r="HZ6" s="14" t="s">
        <v>765</v>
      </c>
      <c r="IA6" s="14" t="s">
        <v>766</v>
      </c>
      <c r="IB6" s="14" t="s">
        <v>767</v>
      </c>
      <c r="IC6" s="14" t="s">
        <v>768</v>
      </c>
      <c r="ID6" s="14" t="s">
        <v>769</v>
      </c>
      <c r="IE6" s="14" t="s">
        <v>757</v>
      </c>
      <c r="IH6" s="14" t="s">
        <v>757</v>
      </c>
      <c r="II6" s="14" t="s">
        <v>758</v>
      </c>
      <c r="IJ6" s="14" t="s">
        <v>759</v>
      </c>
      <c r="IK6" s="14" t="s">
        <v>760</v>
      </c>
      <c r="IL6" s="14" t="s">
        <v>761</v>
      </c>
      <c r="IM6" s="14" t="s">
        <v>762</v>
      </c>
      <c r="IN6" s="14" t="s">
        <v>763</v>
      </c>
      <c r="IO6" s="14" t="s">
        <v>764</v>
      </c>
      <c r="IP6" s="14" t="s">
        <v>765</v>
      </c>
      <c r="IQ6" s="14" t="s">
        <v>766</v>
      </c>
      <c r="IR6" s="14" t="s">
        <v>767</v>
      </c>
      <c r="IS6" s="14" t="s">
        <v>768</v>
      </c>
      <c r="IT6" s="14" t="s">
        <v>769</v>
      </c>
      <c r="IU6" s="14" t="s">
        <v>757</v>
      </c>
      <c r="IX6" s="14" t="s">
        <v>757</v>
      </c>
      <c r="IY6" s="14" t="s">
        <v>758</v>
      </c>
      <c r="IZ6" s="14" t="s">
        <v>759</v>
      </c>
      <c r="JA6" s="14" t="s">
        <v>760</v>
      </c>
      <c r="JB6" s="14" t="s">
        <v>761</v>
      </c>
      <c r="JC6" s="14" t="s">
        <v>762</v>
      </c>
      <c r="JD6" s="14" t="s">
        <v>763</v>
      </c>
      <c r="JE6" s="14" t="s">
        <v>764</v>
      </c>
      <c r="JF6" s="14" t="s">
        <v>765</v>
      </c>
      <c r="JG6" s="14" t="s">
        <v>766</v>
      </c>
      <c r="JH6" s="14" t="s">
        <v>767</v>
      </c>
      <c r="JI6" s="14" t="s">
        <v>768</v>
      </c>
      <c r="JJ6" s="14" t="s">
        <v>769</v>
      </c>
      <c r="JK6" s="14" t="s">
        <v>757</v>
      </c>
      <c r="JN6" s="14" t="s">
        <v>757</v>
      </c>
      <c r="JO6" s="14" t="s">
        <v>758</v>
      </c>
      <c r="JP6" s="14" t="s">
        <v>759</v>
      </c>
      <c r="JQ6" s="14" t="s">
        <v>760</v>
      </c>
      <c r="JR6" s="14" t="s">
        <v>761</v>
      </c>
      <c r="JS6" s="14" t="s">
        <v>762</v>
      </c>
      <c r="JT6" s="14" t="s">
        <v>763</v>
      </c>
      <c r="JU6" s="14" t="s">
        <v>764</v>
      </c>
      <c r="JV6" s="14" t="s">
        <v>765</v>
      </c>
      <c r="JW6" s="14" t="s">
        <v>766</v>
      </c>
      <c r="JX6" s="14" t="s">
        <v>767</v>
      </c>
      <c r="JY6" s="14" t="s">
        <v>768</v>
      </c>
      <c r="JZ6" s="14" t="s">
        <v>769</v>
      </c>
      <c r="KA6" s="14" t="s">
        <v>757</v>
      </c>
      <c r="KD6" s="14" t="s">
        <v>757</v>
      </c>
      <c r="KE6" s="14" t="s">
        <v>758</v>
      </c>
      <c r="KF6" s="14" t="s">
        <v>759</v>
      </c>
      <c r="KG6" s="14" t="s">
        <v>760</v>
      </c>
      <c r="KH6" s="14" t="s">
        <v>761</v>
      </c>
      <c r="KI6" s="14" t="s">
        <v>762</v>
      </c>
      <c r="KJ6" s="14" t="s">
        <v>763</v>
      </c>
      <c r="KK6" s="14" t="s">
        <v>764</v>
      </c>
      <c r="KL6" s="14" t="s">
        <v>765</v>
      </c>
      <c r="KM6" s="14" t="s">
        <v>766</v>
      </c>
      <c r="KN6" s="14" t="s">
        <v>767</v>
      </c>
      <c r="KO6" s="14" t="s">
        <v>768</v>
      </c>
      <c r="KP6" s="14" t="s">
        <v>769</v>
      </c>
      <c r="KQ6" s="14" t="s">
        <v>757</v>
      </c>
      <c r="KT6" s="14" t="s">
        <v>757</v>
      </c>
      <c r="KU6" s="14" t="s">
        <v>758</v>
      </c>
      <c r="KV6" s="14" t="s">
        <v>759</v>
      </c>
      <c r="KW6" s="14" t="s">
        <v>760</v>
      </c>
      <c r="KX6" s="14" t="s">
        <v>761</v>
      </c>
      <c r="KY6" s="14" t="s">
        <v>762</v>
      </c>
      <c r="KZ6" s="14" t="s">
        <v>763</v>
      </c>
      <c r="LA6" s="14" t="s">
        <v>764</v>
      </c>
      <c r="LB6" s="14" t="s">
        <v>765</v>
      </c>
      <c r="LC6" s="14" t="s">
        <v>766</v>
      </c>
      <c r="LD6" s="14" t="s">
        <v>767</v>
      </c>
      <c r="LE6" s="14" t="s">
        <v>768</v>
      </c>
      <c r="LF6" s="14" t="s">
        <v>769</v>
      </c>
      <c r="LG6" s="14" t="s">
        <v>757</v>
      </c>
      <c r="LJ6" s="14" t="s">
        <v>757</v>
      </c>
      <c r="LK6" s="14" t="s">
        <v>758</v>
      </c>
      <c r="LL6" s="14" t="s">
        <v>759</v>
      </c>
      <c r="LM6" s="14" t="s">
        <v>760</v>
      </c>
      <c r="LN6" s="14" t="s">
        <v>761</v>
      </c>
      <c r="LO6" s="14" t="s">
        <v>762</v>
      </c>
      <c r="LP6" s="14" t="s">
        <v>763</v>
      </c>
      <c r="LQ6" s="14" t="s">
        <v>764</v>
      </c>
      <c r="LR6" s="14" t="s">
        <v>765</v>
      </c>
      <c r="LS6" s="14" t="s">
        <v>766</v>
      </c>
      <c r="LT6" s="14" t="s">
        <v>767</v>
      </c>
      <c r="LU6" s="14" t="s">
        <v>768</v>
      </c>
      <c r="LV6" s="14" t="s">
        <v>769</v>
      </c>
      <c r="LW6" s="14" t="s">
        <v>757</v>
      </c>
      <c r="LZ6" s="14" t="s">
        <v>757</v>
      </c>
      <c r="MA6" s="14" t="s">
        <v>758</v>
      </c>
      <c r="MB6" s="14" t="s">
        <v>759</v>
      </c>
      <c r="MC6" s="14" t="s">
        <v>760</v>
      </c>
      <c r="MD6" s="14" t="s">
        <v>761</v>
      </c>
      <c r="ME6" s="14" t="s">
        <v>762</v>
      </c>
      <c r="MF6" s="14" t="s">
        <v>763</v>
      </c>
      <c r="MG6" s="14" t="s">
        <v>764</v>
      </c>
      <c r="MH6" s="14" t="s">
        <v>765</v>
      </c>
      <c r="MI6" s="14" t="s">
        <v>766</v>
      </c>
      <c r="MJ6" s="14" t="s">
        <v>767</v>
      </c>
      <c r="MK6" s="14" t="s">
        <v>768</v>
      </c>
      <c r="ML6" s="14" t="s">
        <v>769</v>
      </c>
      <c r="MM6" s="14" t="s">
        <v>757</v>
      </c>
      <c r="MP6" s="14" t="s">
        <v>757</v>
      </c>
      <c r="MQ6" s="14" t="s">
        <v>758</v>
      </c>
      <c r="MR6" s="14" t="s">
        <v>759</v>
      </c>
      <c r="MS6" s="14" t="s">
        <v>760</v>
      </c>
      <c r="MT6" s="14" t="s">
        <v>761</v>
      </c>
      <c r="MU6" s="14" t="s">
        <v>762</v>
      </c>
      <c r="MV6" s="14" t="s">
        <v>763</v>
      </c>
      <c r="MW6" s="14" t="s">
        <v>764</v>
      </c>
      <c r="MX6" s="14" t="s">
        <v>765</v>
      </c>
      <c r="MY6" s="14" t="s">
        <v>766</v>
      </c>
      <c r="MZ6" s="14" t="s">
        <v>767</v>
      </c>
      <c r="NA6" s="14" t="s">
        <v>768</v>
      </c>
      <c r="NB6" s="14" t="s">
        <v>769</v>
      </c>
      <c r="NC6" s="14" t="s">
        <v>757</v>
      </c>
      <c r="NF6" s="14" t="s">
        <v>757</v>
      </c>
      <c r="NG6" s="14" t="s">
        <v>758</v>
      </c>
      <c r="NH6" s="14" t="s">
        <v>759</v>
      </c>
      <c r="NI6" s="14" t="s">
        <v>760</v>
      </c>
      <c r="NJ6" s="14" t="s">
        <v>761</v>
      </c>
      <c r="NK6" s="14" t="s">
        <v>762</v>
      </c>
      <c r="NL6" s="14" t="s">
        <v>763</v>
      </c>
      <c r="NM6" s="14" t="s">
        <v>764</v>
      </c>
      <c r="NN6" s="14" t="s">
        <v>765</v>
      </c>
      <c r="NO6" s="14" t="s">
        <v>766</v>
      </c>
      <c r="NP6" s="14" t="s">
        <v>767</v>
      </c>
      <c r="NQ6" s="14" t="s">
        <v>768</v>
      </c>
      <c r="NR6" s="14" t="s">
        <v>769</v>
      </c>
      <c r="NS6" s="14" t="s">
        <v>757</v>
      </c>
      <c r="NV6" s="14" t="s">
        <v>757</v>
      </c>
      <c r="NW6" s="14" t="s">
        <v>758</v>
      </c>
      <c r="NX6" s="14" t="s">
        <v>759</v>
      </c>
      <c r="NY6" s="14" t="s">
        <v>760</v>
      </c>
      <c r="NZ6" s="14" t="s">
        <v>761</v>
      </c>
      <c r="OA6" s="14" t="s">
        <v>762</v>
      </c>
      <c r="OB6" s="14" t="s">
        <v>763</v>
      </c>
      <c r="OC6" s="14" t="s">
        <v>764</v>
      </c>
      <c r="OD6" s="14" t="s">
        <v>765</v>
      </c>
      <c r="OE6" s="14" t="s">
        <v>766</v>
      </c>
      <c r="OF6" s="14" t="s">
        <v>767</v>
      </c>
      <c r="OG6" s="14" t="s">
        <v>768</v>
      </c>
      <c r="OH6" s="14" t="s">
        <v>769</v>
      </c>
      <c r="OI6" s="14" t="s">
        <v>757</v>
      </c>
      <c r="OL6" s="14" t="s">
        <v>757</v>
      </c>
      <c r="OM6" s="14" t="s">
        <v>758</v>
      </c>
      <c r="ON6" s="14" t="s">
        <v>759</v>
      </c>
      <c r="OO6" s="14" t="s">
        <v>760</v>
      </c>
      <c r="OP6" s="14" t="s">
        <v>761</v>
      </c>
      <c r="OQ6" s="14" t="s">
        <v>762</v>
      </c>
      <c r="OR6" s="14" t="s">
        <v>763</v>
      </c>
      <c r="OS6" s="14" t="s">
        <v>764</v>
      </c>
      <c r="OT6" s="14" t="s">
        <v>765</v>
      </c>
      <c r="OU6" s="14" t="s">
        <v>766</v>
      </c>
      <c r="OV6" s="14" t="s">
        <v>767</v>
      </c>
      <c r="OW6" s="14" t="s">
        <v>768</v>
      </c>
      <c r="OX6" s="14" t="s">
        <v>769</v>
      </c>
      <c r="OY6" s="14" t="s">
        <v>757</v>
      </c>
      <c r="PB6" s="14" t="s">
        <v>757</v>
      </c>
      <c r="PC6" s="14" t="s">
        <v>758</v>
      </c>
      <c r="PD6" s="14" t="s">
        <v>759</v>
      </c>
      <c r="PE6" s="14" t="s">
        <v>760</v>
      </c>
      <c r="PF6" s="14" t="s">
        <v>761</v>
      </c>
      <c r="PG6" s="14" t="s">
        <v>762</v>
      </c>
      <c r="PH6" s="14" t="s">
        <v>763</v>
      </c>
      <c r="PI6" s="14" t="s">
        <v>764</v>
      </c>
      <c r="PJ6" s="14" t="s">
        <v>765</v>
      </c>
      <c r="PK6" s="14" t="s">
        <v>766</v>
      </c>
      <c r="PL6" s="14" t="s">
        <v>767</v>
      </c>
      <c r="PM6" s="14" t="s">
        <v>768</v>
      </c>
      <c r="PN6" s="14" t="s">
        <v>769</v>
      </c>
      <c r="PO6" s="14" t="s">
        <v>757</v>
      </c>
      <c r="PR6" s="14" t="s">
        <v>757</v>
      </c>
      <c r="PS6" s="14" t="s">
        <v>758</v>
      </c>
      <c r="PT6" s="14" t="s">
        <v>759</v>
      </c>
      <c r="PU6" s="14" t="s">
        <v>760</v>
      </c>
      <c r="PV6" s="14" t="s">
        <v>761</v>
      </c>
      <c r="PW6" s="14" t="s">
        <v>762</v>
      </c>
      <c r="PX6" s="14" t="s">
        <v>763</v>
      </c>
      <c r="PY6" s="14" t="s">
        <v>764</v>
      </c>
      <c r="PZ6" s="14" t="s">
        <v>765</v>
      </c>
      <c r="QA6" s="14" t="s">
        <v>766</v>
      </c>
      <c r="QB6" s="14" t="s">
        <v>767</v>
      </c>
      <c r="QC6" s="14" t="s">
        <v>768</v>
      </c>
      <c r="QD6" s="14" t="s">
        <v>769</v>
      </c>
      <c r="QE6" s="14" t="s">
        <v>757</v>
      </c>
      <c r="QH6" s="14" t="s">
        <v>757</v>
      </c>
      <c r="QI6" s="14" t="s">
        <v>758</v>
      </c>
      <c r="QJ6" s="14" t="s">
        <v>759</v>
      </c>
      <c r="QK6" s="14" t="s">
        <v>760</v>
      </c>
      <c r="QL6" s="14" t="s">
        <v>761</v>
      </c>
      <c r="QM6" s="14" t="s">
        <v>762</v>
      </c>
      <c r="QN6" s="14" t="s">
        <v>763</v>
      </c>
      <c r="QO6" s="14" t="s">
        <v>764</v>
      </c>
      <c r="QP6" s="14" t="s">
        <v>765</v>
      </c>
      <c r="QQ6" s="14" t="s">
        <v>766</v>
      </c>
      <c r="QR6" s="14" t="s">
        <v>767</v>
      </c>
      <c r="QS6" s="14" t="s">
        <v>768</v>
      </c>
      <c r="QT6" s="14" t="s">
        <v>769</v>
      </c>
      <c r="QU6" s="14" t="s">
        <v>757</v>
      </c>
      <c r="QX6" s="14" t="s">
        <v>757</v>
      </c>
      <c r="QY6" s="14" t="s">
        <v>758</v>
      </c>
      <c r="QZ6" s="14" t="s">
        <v>759</v>
      </c>
      <c r="RA6" s="14" t="s">
        <v>760</v>
      </c>
      <c r="RB6" s="14" t="s">
        <v>761</v>
      </c>
      <c r="RC6" s="14" t="s">
        <v>762</v>
      </c>
      <c r="RD6" s="14" t="s">
        <v>763</v>
      </c>
      <c r="RE6" s="14" t="s">
        <v>764</v>
      </c>
      <c r="RF6" s="14" t="s">
        <v>765</v>
      </c>
      <c r="RG6" s="14" t="s">
        <v>766</v>
      </c>
      <c r="RH6" s="14" t="s">
        <v>767</v>
      </c>
      <c r="RI6" s="14" t="s">
        <v>768</v>
      </c>
      <c r="RJ6" s="14" t="s">
        <v>769</v>
      </c>
      <c r="RK6" s="14" t="s">
        <v>757</v>
      </c>
      <c r="RN6" s="14" t="s">
        <v>757</v>
      </c>
      <c r="RO6" s="14" t="s">
        <v>758</v>
      </c>
      <c r="RP6" s="14" t="s">
        <v>759</v>
      </c>
      <c r="RQ6" s="14" t="s">
        <v>760</v>
      </c>
      <c r="RR6" s="14" t="s">
        <v>761</v>
      </c>
      <c r="RS6" s="14" t="s">
        <v>762</v>
      </c>
      <c r="RT6" s="14" t="s">
        <v>763</v>
      </c>
      <c r="RU6" s="14" t="s">
        <v>764</v>
      </c>
      <c r="RV6" s="14" t="s">
        <v>765</v>
      </c>
      <c r="RW6" s="14" t="s">
        <v>766</v>
      </c>
      <c r="RX6" s="14" t="s">
        <v>767</v>
      </c>
      <c r="RY6" s="14" t="s">
        <v>768</v>
      </c>
      <c r="RZ6" s="14" t="s">
        <v>769</v>
      </c>
      <c r="SA6" s="14" t="s">
        <v>757</v>
      </c>
      <c r="SD6" s="14" t="s">
        <v>757</v>
      </c>
      <c r="SE6" s="14" t="s">
        <v>758</v>
      </c>
      <c r="SF6" s="14" t="s">
        <v>759</v>
      </c>
      <c r="SG6" s="14" t="s">
        <v>760</v>
      </c>
      <c r="SH6" s="14" t="s">
        <v>761</v>
      </c>
      <c r="SI6" s="14" t="s">
        <v>762</v>
      </c>
      <c r="SJ6" s="14" t="s">
        <v>763</v>
      </c>
      <c r="SK6" s="14" t="s">
        <v>764</v>
      </c>
      <c r="SL6" s="14" t="s">
        <v>765</v>
      </c>
      <c r="SM6" s="14" t="s">
        <v>766</v>
      </c>
      <c r="SN6" s="14" t="s">
        <v>767</v>
      </c>
      <c r="SO6" s="14" t="s">
        <v>768</v>
      </c>
      <c r="SP6" s="14" t="s">
        <v>769</v>
      </c>
      <c r="SQ6" s="14" t="s">
        <v>757</v>
      </c>
      <c r="ST6" s="14" t="s">
        <v>757</v>
      </c>
      <c r="SU6" s="14" t="s">
        <v>758</v>
      </c>
      <c r="SV6" s="14" t="s">
        <v>759</v>
      </c>
      <c r="SW6" s="14" t="s">
        <v>760</v>
      </c>
      <c r="SX6" s="14" t="s">
        <v>761</v>
      </c>
      <c r="SY6" s="14" t="s">
        <v>762</v>
      </c>
      <c r="SZ6" s="14" t="s">
        <v>763</v>
      </c>
      <c r="TA6" s="14" t="s">
        <v>764</v>
      </c>
      <c r="TB6" s="14" t="s">
        <v>765</v>
      </c>
      <c r="TC6" s="14" t="s">
        <v>766</v>
      </c>
      <c r="TD6" s="14" t="s">
        <v>767</v>
      </c>
      <c r="TE6" s="14" t="s">
        <v>768</v>
      </c>
      <c r="TF6" s="14" t="s">
        <v>769</v>
      </c>
      <c r="TG6" s="14" t="s">
        <v>757</v>
      </c>
      <c r="TJ6" s="14" t="s">
        <v>757</v>
      </c>
      <c r="TK6" s="14" t="s">
        <v>758</v>
      </c>
      <c r="TL6" s="14" t="s">
        <v>759</v>
      </c>
      <c r="TM6" s="14" t="s">
        <v>760</v>
      </c>
      <c r="TN6" s="14" t="s">
        <v>761</v>
      </c>
      <c r="TO6" s="14" t="s">
        <v>762</v>
      </c>
      <c r="TP6" s="14" t="s">
        <v>763</v>
      </c>
      <c r="TQ6" s="14" t="s">
        <v>764</v>
      </c>
      <c r="TR6" s="14" t="s">
        <v>765</v>
      </c>
      <c r="TS6" s="14" t="s">
        <v>766</v>
      </c>
      <c r="TT6" s="14" t="s">
        <v>767</v>
      </c>
      <c r="TU6" s="14" t="s">
        <v>768</v>
      </c>
      <c r="TV6" s="14" t="s">
        <v>769</v>
      </c>
      <c r="TW6" s="14" t="s">
        <v>757</v>
      </c>
      <c r="TZ6" s="14" t="s">
        <v>757</v>
      </c>
      <c r="UA6" s="14" t="s">
        <v>758</v>
      </c>
      <c r="UB6" s="14" t="s">
        <v>759</v>
      </c>
      <c r="UC6" s="14" t="s">
        <v>760</v>
      </c>
      <c r="UD6" s="14" t="s">
        <v>761</v>
      </c>
      <c r="UE6" s="14" t="s">
        <v>762</v>
      </c>
      <c r="UF6" s="14" t="s">
        <v>763</v>
      </c>
      <c r="UG6" s="14" t="s">
        <v>764</v>
      </c>
      <c r="UH6" s="14" t="s">
        <v>765</v>
      </c>
      <c r="UI6" s="14" t="s">
        <v>766</v>
      </c>
      <c r="UJ6" s="14" t="s">
        <v>767</v>
      </c>
      <c r="UK6" s="14" t="s">
        <v>768</v>
      </c>
      <c r="UL6" s="14" t="s">
        <v>769</v>
      </c>
      <c r="UM6" s="14" t="s">
        <v>757</v>
      </c>
    </row>
    <row r="7" spans="2:559" s="7" customFormat="1" ht="19.2">
      <c r="B7" s="22">
        <v>1</v>
      </c>
      <c r="C7" s="28">
        <v>19.361499999999999</v>
      </c>
      <c r="D7" s="28">
        <v>18.779299999999999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2">
        <v>1</v>
      </c>
      <c r="R7" s="22">
        <v>1</v>
      </c>
      <c r="S7" s="28">
        <v>20.515699999999999</v>
      </c>
      <c r="T7" s="28">
        <v>20.8597</v>
      </c>
      <c r="U7" s="28">
        <v>20.4465</v>
      </c>
      <c r="V7" s="28">
        <v>19.863199999999999</v>
      </c>
      <c r="W7" s="28">
        <v>20.567</v>
      </c>
      <c r="X7" s="28">
        <v>19.4953</v>
      </c>
      <c r="Y7" s="28">
        <v>20.144300000000001</v>
      </c>
      <c r="Z7" s="28">
        <v>20.377800000000001</v>
      </c>
      <c r="AA7" s="28">
        <v>20.1465</v>
      </c>
      <c r="AB7" s="28">
        <v>20.192699999999999</v>
      </c>
      <c r="AC7" s="28">
        <v>19.830300000000001</v>
      </c>
      <c r="AD7" s="28">
        <v>19.216000000000001</v>
      </c>
      <c r="AE7" s="22">
        <v>1</v>
      </c>
      <c r="AH7" s="22">
        <v>1</v>
      </c>
      <c r="AI7" s="28">
        <v>19.935199999999998</v>
      </c>
      <c r="AJ7" s="28">
        <v>20.2697</v>
      </c>
      <c r="AK7" s="28">
        <v>20.8523</v>
      </c>
      <c r="AL7" s="28">
        <v>20.602499999999999</v>
      </c>
      <c r="AM7" s="28">
        <v>20.097799999999999</v>
      </c>
      <c r="AN7" s="28">
        <v>19.944199999999999</v>
      </c>
      <c r="AO7" s="28">
        <v>19.8157</v>
      </c>
      <c r="AP7" s="28">
        <v>19.844799999999999</v>
      </c>
      <c r="AQ7" s="28">
        <v>20.1403</v>
      </c>
      <c r="AR7" s="28">
        <v>20.497699999999998</v>
      </c>
      <c r="AS7" s="28">
        <v>20.325500000000002</v>
      </c>
      <c r="AT7" s="28">
        <v>21.7333</v>
      </c>
      <c r="AU7" s="22">
        <v>1</v>
      </c>
      <c r="AV7" s="8"/>
      <c r="AW7" s="8"/>
      <c r="AX7" s="22">
        <v>1</v>
      </c>
      <c r="AY7" s="28">
        <v>18.872699999999998</v>
      </c>
      <c r="AZ7" s="28">
        <v>18.785299999999999</v>
      </c>
      <c r="BA7" s="28">
        <v>19.397300000000001</v>
      </c>
      <c r="BB7" s="28">
        <v>24.285299999999999</v>
      </c>
      <c r="BC7" s="28">
        <v>24.0002</v>
      </c>
      <c r="BD7" s="28">
        <v>22.204000000000001</v>
      </c>
      <c r="BE7" s="28">
        <v>23.1325</v>
      </c>
      <c r="BF7" s="28">
        <v>22.172699999999999</v>
      </c>
      <c r="BG7" s="28">
        <v>21.860199999999999</v>
      </c>
      <c r="BH7" s="28">
        <v>22.3598</v>
      </c>
      <c r="BI7" s="28">
        <v>21.376999999999999</v>
      </c>
      <c r="BJ7" s="28">
        <v>20.0777</v>
      </c>
      <c r="BK7" s="22">
        <v>1</v>
      </c>
      <c r="BN7" s="22">
        <v>1</v>
      </c>
      <c r="BO7" s="28">
        <v>19.656600000000001</v>
      </c>
      <c r="BP7" s="28">
        <v>19.162299999999998</v>
      </c>
      <c r="BQ7" s="28">
        <v>19.220099999999999</v>
      </c>
      <c r="BR7" s="28">
        <v>19.379300000000001</v>
      </c>
      <c r="BS7" s="28">
        <v>19.012</v>
      </c>
      <c r="BT7" s="28">
        <v>19.068300000000001</v>
      </c>
      <c r="BU7" s="28">
        <v>19.168500000000002</v>
      </c>
      <c r="BV7" s="28">
        <v>19.0747</v>
      </c>
      <c r="BW7" s="28">
        <v>20.098800000000001</v>
      </c>
      <c r="BX7" s="28">
        <v>19.680800000000001</v>
      </c>
      <c r="BY7" s="28">
        <v>19.164300000000001</v>
      </c>
      <c r="BZ7" s="28">
        <v>19.6113</v>
      </c>
      <c r="CA7" s="22">
        <v>1</v>
      </c>
      <c r="CD7" s="22">
        <v>1</v>
      </c>
      <c r="CE7" s="28">
        <v>19.735399999999998</v>
      </c>
      <c r="CF7" s="28">
        <v>18.6982</v>
      </c>
      <c r="CG7" s="28">
        <v>18.790199999999999</v>
      </c>
      <c r="CH7" s="28">
        <v>18.3445</v>
      </c>
      <c r="CI7" s="28">
        <v>18.684699999999999</v>
      </c>
      <c r="CJ7" s="28">
        <v>19.732199999999999</v>
      </c>
      <c r="CK7" s="28">
        <v>19.863299999999999</v>
      </c>
      <c r="CL7" s="28">
        <v>18.5413</v>
      </c>
      <c r="CM7" s="28">
        <v>19.125800000000002</v>
      </c>
      <c r="CN7" s="28">
        <v>18.812000000000001</v>
      </c>
      <c r="CO7" s="28">
        <v>20.0258</v>
      </c>
      <c r="CP7" s="28">
        <v>20.221699999999998</v>
      </c>
      <c r="CQ7" s="22">
        <v>1</v>
      </c>
      <c r="CT7" s="22">
        <v>1</v>
      </c>
      <c r="CU7" s="28">
        <v>20.664000000000001</v>
      </c>
      <c r="CV7" s="28">
        <v>20.758800000000001</v>
      </c>
      <c r="CW7" s="28">
        <v>19.8322</v>
      </c>
      <c r="CX7" s="28">
        <v>18.707899999999999</v>
      </c>
      <c r="CY7" s="28">
        <v>19.067</v>
      </c>
      <c r="CZ7" s="28">
        <v>18.664300000000001</v>
      </c>
      <c r="DA7" s="28">
        <v>18.027899999999999</v>
      </c>
      <c r="DB7" s="28">
        <v>17.743500000000001</v>
      </c>
      <c r="DC7" s="28">
        <v>17.775300000000001</v>
      </c>
      <c r="DD7" s="28">
        <v>18.197900000000001</v>
      </c>
      <c r="DE7" s="28">
        <v>19.218800000000002</v>
      </c>
      <c r="DF7" s="28">
        <v>18.518999999999998</v>
      </c>
      <c r="DG7" s="22">
        <v>1</v>
      </c>
      <c r="DJ7" s="22">
        <v>1</v>
      </c>
      <c r="DK7" s="28">
        <v>17.3398</v>
      </c>
      <c r="DL7" s="28">
        <v>18.290600000000001</v>
      </c>
      <c r="DM7" s="28">
        <v>18.1706</v>
      </c>
      <c r="DN7" s="28">
        <v>17.250900000000001</v>
      </c>
      <c r="DO7" s="28">
        <v>17.212499999999999</v>
      </c>
      <c r="DP7" s="28">
        <v>18.477699999999999</v>
      </c>
      <c r="DQ7" s="28">
        <v>18.555</v>
      </c>
      <c r="DR7" s="28">
        <v>18.8979</v>
      </c>
      <c r="DS7" s="28">
        <v>18.795300000000001</v>
      </c>
      <c r="DT7" s="28">
        <v>19.4086</v>
      </c>
      <c r="DU7" s="28">
        <v>18.730399999999999</v>
      </c>
      <c r="DV7" s="28">
        <v>20.622499999999999</v>
      </c>
      <c r="DW7" s="22">
        <v>1</v>
      </c>
      <c r="DZ7" s="22">
        <v>1</v>
      </c>
      <c r="EA7" s="28">
        <v>14.7348</v>
      </c>
      <c r="EB7" s="28">
        <v>14.8414</v>
      </c>
      <c r="EC7" s="28">
        <v>14.962400000000001</v>
      </c>
      <c r="ED7" s="28">
        <v>15.242699999999999</v>
      </c>
      <c r="EE7" s="28">
        <v>15.2043</v>
      </c>
      <c r="EF7" s="28">
        <v>15.373699999999999</v>
      </c>
      <c r="EG7" s="28">
        <v>15.6599</v>
      </c>
      <c r="EH7" s="28">
        <v>16.213999999999999</v>
      </c>
      <c r="EI7" s="28">
        <v>16.7684</v>
      </c>
      <c r="EJ7" s="28">
        <v>17.077100000000002</v>
      </c>
      <c r="EK7" s="28">
        <v>16.6219</v>
      </c>
      <c r="EL7" s="28">
        <v>16.578399999999998</v>
      </c>
      <c r="EM7" s="22">
        <v>1</v>
      </c>
      <c r="EP7" s="22">
        <v>1</v>
      </c>
      <c r="EQ7" s="28">
        <v>13.065200000000001</v>
      </c>
      <c r="ER7" s="28">
        <v>13.3207</v>
      </c>
      <c r="ES7" s="28">
        <v>13.3066</v>
      </c>
      <c r="ET7" s="28">
        <v>13.084099999999999</v>
      </c>
      <c r="EU7" s="28">
        <v>13.103899999999999</v>
      </c>
      <c r="EV7" s="28">
        <v>12.8462</v>
      </c>
      <c r="EW7" s="28">
        <v>13.0002</v>
      </c>
      <c r="EX7" s="28">
        <v>13.1357</v>
      </c>
      <c r="EY7" s="28">
        <v>13.110900000000001</v>
      </c>
      <c r="EZ7" s="28">
        <v>13.489100000000001</v>
      </c>
      <c r="FA7" s="28">
        <v>13.4316</v>
      </c>
      <c r="FB7" s="28">
        <v>13.7667</v>
      </c>
      <c r="FC7" s="22">
        <v>1</v>
      </c>
      <c r="FF7" s="22">
        <v>1</v>
      </c>
      <c r="FG7" s="28">
        <v>12.988</v>
      </c>
      <c r="FH7" s="28">
        <v>12.7408</v>
      </c>
      <c r="FI7" s="28">
        <v>12.8322</v>
      </c>
      <c r="FJ7" s="28">
        <v>12.3546</v>
      </c>
      <c r="FK7" s="28">
        <v>12.1326</v>
      </c>
      <c r="FL7" s="28">
        <v>12.7781</v>
      </c>
      <c r="FM7" s="28">
        <v>13.0235</v>
      </c>
      <c r="FN7" s="28">
        <v>12.763500000000001</v>
      </c>
      <c r="FO7" s="28">
        <v>13.3104</v>
      </c>
      <c r="FP7" s="28">
        <v>13.145</v>
      </c>
      <c r="FQ7" s="28">
        <v>12.864000000000001</v>
      </c>
      <c r="FR7" s="28">
        <v>13.083600000000001</v>
      </c>
      <c r="FS7" s="22">
        <v>1</v>
      </c>
      <c r="FV7" s="22">
        <v>1</v>
      </c>
      <c r="FW7" s="28">
        <v>13.9787</v>
      </c>
      <c r="FX7" s="28">
        <v>13.0063</v>
      </c>
      <c r="FY7" s="28">
        <v>12.8575</v>
      </c>
      <c r="FZ7" s="28">
        <v>12.8489</v>
      </c>
      <c r="GA7" s="28">
        <v>13.014099999999999</v>
      </c>
      <c r="GB7" s="28">
        <v>14.0749</v>
      </c>
      <c r="GC7" s="28">
        <v>13.653</v>
      </c>
      <c r="GD7" s="28">
        <v>13.2644</v>
      </c>
      <c r="GE7" s="28">
        <v>13.417199999999999</v>
      </c>
      <c r="GF7" s="28">
        <v>12.8521</v>
      </c>
      <c r="GG7" s="28">
        <v>13.049799999999999</v>
      </c>
      <c r="GH7" s="28">
        <v>12.9617</v>
      </c>
      <c r="GI7" s="22">
        <v>1</v>
      </c>
      <c r="GL7" s="22">
        <v>1</v>
      </c>
      <c r="GM7" s="28">
        <v>12.3817</v>
      </c>
      <c r="GN7" s="28">
        <v>12.1214</v>
      </c>
      <c r="GO7" s="28">
        <v>12.1235</v>
      </c>
      <c r="GP7" s="28">
        <v>11.921900000000001</v>
      </c>
      <c r="GQ7" s="28">
        <v>11.5428</v>
      </c>
      <c r="GR7" s="28">
        <v>11.612299999999999</v>
      </c>
      <c r="GS7" s="28">
        <v>11.774800000000001</v>
      </c>
      <c r="GT7" s="28">
        <v>11.6821</v>
      </c>
      <c r="GU7" s="28">
        <v>12.4838</v>
      </c>
      <c r="GV7" s="28">
        <v>13.4567</v>
      </c>
      <c r="GW7" s="28">
        <v>13.113200000000001</v>
      </c>
      <c r="GX7" s="28">
        <v>13.953799999999999</v>
      </c>
      <c r="GY7" s="22">
        <v>1</v>
      </c>
      <c r="HB7" s="22">
        <v>1</v>
      </c>
      <c r="HC7" s="28">
        <v>13.043699999999999</v>
      </c>
      <c r="HD7" s="28">
        <v>12.9975</v>
      </c>
      <c r="HE7" s="28">
        <v>12.850300000000001</v>
      </c>
      <c r="HF7" s="28">
        <v>12.4145</v>
      </c>
      <c r="HG7" s="28">
        <v>12.246499999999999</v>
      </c>
      <c r="HH7" s="28">
        <v>12.8589</v>
      </c>
      <c r="HI7" s="28">
        <v>12.839399999999999</v>
      </c>
      <c r="HJ7" s="28">
        <v>12.703799999999999</v>
      </c>
      <c r="HK7" s="28">
        <v>13.136699999999999</v>
      </c>
      <c r="HL7" s="28">
        <v>12.4801</v>
      </c>
      <c r="HM7" s="28">
        <v>12.4023</v>
      </c>
      <c r="HN7" s="28">
        <v>12.553800000000001</v>
      </c>
      <c r="HO7" s="22">
        <v>1</v>
      </c>
      <c r="HR7" s="22">
        <v>1</v>
      </c>
      <c r="HS7" s="28">
        <v>13.7738</v>
      </c>
      <c r="HT7" s="28">
        <v>14.1975</v>
      </c>
      <c r="HU7" s="28">
        <v>14.9322</v>
      </c>
      <c r="HV7" s="28">
        <v>14.3855</v>
      </c>
      <c r="HW7" s="28">
        <v>13.6485</v>
      </c>
      <c r="HX7" s="28">
        <v>13.233700000000001</v>
      </c>
      <c r="HY7" s="28">
        <v>13.1812</v>
      </c>
      <c r="HZ7" s="28">
        <v>13.222300000000001</v>
      </c>
      <c r="IA7" s="28">
        <v>13.257899999999999</v>
      </c>
      <c r="IB7" s="28">
        <v>13.551299999999999</v>
      </c>
      <c r="IC7" s="28">
        <v>13.0825</v>
      </c>
      <c r="ID7" s="28">
        <v>12.9139</v>
      </c>
      <c r="IE7" s="22">
        <v>1</v>
      </c>
      <c r="IH7" s="22">
        <v>1</v>
      </c>
      <c r="II7" s="28">
        <v>10.904299999999999</v>
      </c>
      <c r="IJ7" s="28">
        <v>10.837400000000001</v>
      </c>
      <c r="IK7" s="28">
        <v>10.6813</v>
      </c>
      <c r="IL7" s="28">
        <v>10.698700000000001</v>
      </c>
      <c r="IM7" s="28">
        <v>10.527200000000001</v>
      </c>
      <c r="IN7" s="28">
        <v>10.3066</v>
      </c>
      <c r="IO7" s="28">
        <v>10.3028</v>
      </c>
      <c r="IP7" s="28">
        <v>10.034000000000001</v>
      </c>
      <c r="IQ7" s="28">
        <v>10.1822</v>
      </c>
      <c r="IR7" s="28">
        <v>10.9397</v>
      </c>
      <c r="IS7" s="28">
        <v>12.834199999999999</v>
      </c>
      <c r="IT7" s="28">
        <v>13.2325</v>
      </c>
      <c r="IU7" s="22">
        <v>1</v>
      </c>
      <c r="IX7" s="22">
        <v>1</v>
      </c>
      <c r="IY7" s="28">
        <v>10.875500000000001</v>
      </c>
      <c r="IZ7" s="28">
        <v>11.0548</v>
      </c>
      <c r="JA7" s="28">
        <v>11.1493</v>
      </c>
      <c r="JB7" s="28">
        <v>11.050700000000001</v>
      </c>
      <c r="JC7" s="28">
        <v>10.9305</v>
      </c>
      <c r="JD7" s="28">
        <v>10.818</v>
      </c>
      <c r="JE7" s="28">
        <v>10.7926</v>
      </c>
      <c r="JF7" s="28">
        <v>10.981199999999999</v>
      </c>
      <c r="JG7" s="28">
        <v>11.0848</v>
      </c>
      <c r="JH7" s="28">
        <v>10.920299999999999</v>
      </c>
      <c r="JI7" s="28">
        <v>10.719799999999999</v>
      </c>
      <c r="JJ7" s="28">
        <v>10.941700000000001</v>
      </c>
      <c r="JK7" s="22">
        <v>1</v>
      </c>
      <c r="JN7" s="22">
        <v>1</v>
      </c>
      <c r="JO7" s="28">
        <v>10.710900000000001</v>
      </c>
      <c r="JP7" s="28">
        <v>10.441599999999999</v>
      </c>
      <c r="JQ7" s="28">
        <v>10.466100000000001</v>
      </c>
      <c r="JR7" s="28">
        <v>10.922800000000001</v>
      </c>
      <c r="JS7" s="28">
        <v>11.1135</v>
      </c>
      <c r="JT7" s="28">
        <v>11.269299999999999</v>
      </c>
      <c r="JU7" s="28">
        <v>11.4009</v>
      </c>
      <c r="JV7" s="28">
        <v>10.8947</v>
      </c>
      <c r="JW7" s="28">
        <v>10.865</v>
      </c>
      <c r="JX7" s="28">
        <v>11.0502</v>
      </c>
      <c r="JY7" s="28">
        <v>10.773999999999999</v>
      </c>
      <c r="JZ7" s="28">
        <v>10.9983</v>
      </c>
      <c r="KA7" s="22">
        <v>1</v>
      </c>
      <c r="KD7" s="22">
        <v>1</v>
      </c>
      <c r="KE7" s="28">
        <v>11.218299999999999</v>
      </c>
      <c r="KF7" s="28">
        <v>11.2613</v>
      </c>
      <c r="KG7" s="28">
        <v>11.108599999999999</v>
      </c>
      <c r="KH7" s="28">
        <v>11.2293</v>
      </c>
      <c r="KI7" s="28">
        <v>11.1159</v>
      </c>
      <c r="KJ7" s="28">
        <v>10.869899999999999</v>
      </c>
      <c r="KK7" s="28">
        <v>10.7645</v>
      </c>
      <c r="KL7" s="28">
        <v>10.620100000000001</v>
      </c>
      <c r="KM7" s="28">
        <v>10.8377</v>
      </c>
      <c r="KN7" s="28">
        <v>10.8131</v>
      </c>
      <c r="KO7" s="28">
        <v>10.8447</v>
      </c>
      <c r="KP7" s="28">
        <v>10.5702</v>
      </c>
      <c r="KQ7" s="22">
        <v>1</v>
      </c>
      <c r="KT7" s="22">
        <v>1</v>
      </c>
      <c r="KU7" s="28">
        <v>11.1998</v>
      </c>
      <c r="KV7" s="28">
        <v>11.084300000000001</v>
      </c>
      <c r="KW7" s="28">
        <v>11.0715</v>
      </c>
      <c r="KX7" s="28">
        <v>11.2103</v>
      </c>
      <c r="KY7" s="28">
        <v>11.4068</v>
      </c>
      <c r="KZ7" s="28">
        <v>11.412800000000001</v>
      </c>
      <c r="LA7" s="28">
        <v>11.5297</v>
      </c>
      <c r="LB7" s="28">
        <v>11.430199999999999</v>
      </c>
      <c r="LC7" s="28">
        <v>11.4231</v>
      </c>
      <c r="LD7" s="28">
        <v>11.428800000000001</v>
      </c>
      <c r="LE7" s="28">
        <v>11.529299999999999</v>
      </c>
      <c r="LF7" s="28">
        <v>11.266</v>
      </c>
      <c r="LG7" s="22">
        <v>1</v>
      </c>
      <c r="LJ7" s="22">
        <v>1</v>
      </c>
      <c r="LK7" s="28">
        <v>10.3613</v>
      </c>
      <c r="LL7" s="28">
        <v>10.8636</v>
      </c>
      <c r="LM7" s="28">
        <v>11.033300000000001</v>
      </c>
      <c r="LN7" s="28">
        <v>10.6698</v>
      </c>
      <c r="LO7" s="28">
        <v>10.345000000000001</v>
      </c>
      <c r="LP7" s="28">
        <v>10.320499999999999</v>
      </c>
      <c r="LQ7" s="28">
        <v>10.4176</v>
      </c>
      <c r="LR7" s="28">
        <v>10.487</v>
      </c>
      <c r="LS7" s="28">
        <v>10.980600000000001</v>
      </c>
      <c r="LT7" s="28">
        <v>11.044600000000001</v>
      </c>
      <c r="LU7" s="28">
        <v>11.1058</v>
      </c>
      <c r="LV7" s="28">
        <v>11.3385</v>
      </c>
      <c r="LW7" s="22">
        <v>1</v>
      </c>
      <c r="LZ7" s="22">
        <v>1</v>
      </c>
      <c r="MA7" s="28">
        <v>9.1692</v>
      </c>
      <c r="MB7" s="28">
        <v>9.1974</v>
      </c>
      <c r="MC7" s="28">
        <v>9.0919000000000008</v>
      </c>
      <c r="MD7" s="28">
        <v>9.0243000000000002</v>
      </c>
      <c r="ME7" s="28">
        <v>9.3542000000000005</v>
      </c>
      <c r="MF7" s="28">
        <v>9.7148000000000003</v>
      </c>
      <c r="MG7" s="28">
        <v>9.9614999999999991</v>
      </c>
      <c r="MH7" s="28">
        <v>9.7409999999999997</v>
      </c>
      <c r="MI7" s="28">
        <v>9.9192999999999998</v>
      </c>
      <c r="MJ7" s="28">
        <v>10.1767</v>
      </c>
      <c r="MK7" s="28">
        <v>10.2263</v>
      </c>
      <c r="ML7" s="28">
        <v>10.119300000000001</v>
      </c>
      <c r="MM7" s="22">
        <v>1</v>
      </c>
      <c r="MP7" s="22">
        <v>1</v>
      </c>
      <c r="MQ7" s="28">
        <v>9.5997000000000003</v>
      </c>
      <c r="MR7" s="28">
        <v>9.6692</v>
      </c>
      <c r="MS7" s="28">
        <v>9.6827000000000005</v>
      </c>
      <c r="MT7" s="28">
        <v>9.5203000000000007</v>
      </c>
      <c r="MU7" s="28">
        <v>9.3048999999999999</v>
      </c>
      <c r="MV7" s="28">
        <v>9.1653000000000002</v>
      </c>
      <c r="MW7" s="28">
        <v>9.09</v>
      </c>
      <c r="MX7" s="28">
        <v>9.1471999999999998</v>
      </c>
      <c r="MY7" s="28">
        <v>9.1692</v>
      </c>
      <c r="MZ7" s="28">
        <v>9.5541999999999998</v>
      </c>
      <c r="NA7" s="28">
        <v>9.2682000000000002</v>
      </c>
      <c r="NB7" s="28">
        <v>9.2814999999999994</v>
      </c>
      <c r="NC7" s="22">
        <v>1</v>
      </c>
      <c r="NF7" s="22">
        <v>1</v>
      </c>
      <c r="NG7" s="28">
        <v>9.5221999999999998</v>
      </c>
      <c r="NH7" s="28">
        <v>9.5726999999999993</v>
      </c>
      <c r="NI7" s="28">
        <v>9.4032999999999998</v>
      </c>
      <c r="NJ7" s="28">
        <v>9.3015000000000008</v>
      </c>
      <c r="NK7" s="28">
        <v>9.4520999999999997</v>
      </c>
      <c r="NL7" s="28">
        <v>9.516</v>
      </c>
      <c r="NM7" s="28">
        <v>9.9002999999999997</v>
      </c>
      <c r="NN7" s="28">
        <v>9.3577999999999992</v>
      </c>
      <c r="NO7" s="28">
        <v>9.2108000000000008</v>
      </c>
      <c r="NP7" s="28">
        <v>9.4290000000000003</v>
      </c>
      <c r="NQ7" s="28">
        <v>9.5995000000000008</v>
      </c>
      <c r="NR7" s="28">
        <v>9.3972999999999995</v>
      </c>
      <c r="NS7" s="22">
        <v>1</v>
      </c>
      <c r="NV7" s="22">
        <v>1</v>
      </c>
      <c r="NW7" s="28">
        <v>9.9395000000000007</v>
      </c>
      <c r="NX7" s="28">
        <v>10.1752</v>
      </c>
      <c r="NY7" s="28">
        <v>9.9835999999999991</v>
      </c>
      <c r="NZ7" s="28">
        <v>9.5375999999999994</v>
      </c>
      <c r="OA7" s="28">
        <v>9.2622</v>
      </c>
      <c r="OB7" s="28">
        <v>9.7833000000000006</v>
      </c>
      <c r="OC7" s="28">
        <v>9.4164999999999992</v>
      </c>
      <c r="OD7" s="28">
        <v>9.4260000000000002</v>
      </c>
      <c r="OE7" s="28">
        <v>9.4094999999999995</v>
      </c>
      <c r="OF7" s="28">
        <v>9.3565000000000005</v>
      </c>
      <c r="OG7" s="28">
        <v>9.6356999999999999</v>
      </c>
      <c r="OH7" s="28">
        <v>9.3736999999999995</v>
      </c>
      <c r="OI7" s="22">
        <v>1</v>
      </c>
      <c r="OL7" s="22">
        <v>1</v>
      </c>
      <c r="OM7" s="28">
        <v>8.0640000000000001</v>
      </c>
      <c r="ON7" s="28">
        <v>8.4640000000000004</v>
      </c>
      <c r="OO7" s="28">
        <v>8.5582999999999991</v>
      </c>
      <c r="OP7" s="28">
        <v>8.5352999999999994</v>
      </c>
      <c r="OQ7" s="28">
        <v>8.5029000000000003</v>
      </c>
      <c r="OR7" s="28">
        <v>8.7873000000000001</v>
      </c>
      <c r="OS7" s="28">
        <v>9.0228000000000002</v>
      </c>
      <c r="OT7" s="28">
        <v>8.9008000000000003</v>
      </c>
      <c r="OU7" s="28">
        <v>10.0275</v>
      </c>
      <c r="OV7" s="28">
        <v>10.1119</v>
      </c>
      <c r="OW7" s="28">
        <v>10.219799999999999</v>
      </c>
      <c r="OX7" s="28">
        <v>9.9675999999999991</v>
      </c>
      <c r="OY7" s="22">
        <v>1</v>
      </c>
      <c r="PB7" s="22">
        <v>1</v>
      </c>
      <c r="PC7" s="28">
        <v>7.8556999999999997</v>
      </c>
      <c r="PD7" s="28">
        <v>7.8409000000000004</v>
      </c>
      <c r="PE7" s="28">
        <v>7.8357999999999999</v>
      </c>
      <c r="PF7" s="28">
        <v>7.9126000000000003</v>
      </c>
      <c r="PG7" s="28">
        <v>7.9743000000000004</v>
      </c>
      <c r="PH7" s="28">
        <v>7.9081999999999999</v>
      </c>
      <c r="PI7" s="28">
        <v>7.9516999999999998</v>
      </c>
      <c r="PJ7" s="28">
        <v>7.7657999999999996</v>
      </c>
      <c r="PK7" s="28">
        <v>7.7746000000000004</v>
      </c>
      <c r="PL7" s="28">
        <v>7.8158000000000003</v>
      </c>
      <c r="PM7" s="28">
        <v>8.3432999999999993</v>
      </c>
      <c r="PN7" s="28">
        <v>8.2164999999999999</v>
      </c>
      <c r="PO7" s="22">
        <v>1</v>
      </c>
      <c r="PR7" s="22">
        <v>1</v>
      </c>
      <c r="PS7" s="28">
        <v>7.6841999999999997</v>
      </c>
      <c r="PT7" s="28">
        <v>7.3699000000000003</v>
      </c>
      <c r="PU7" s="28">
        <v>7.5572999999999997</v>
      </c>
      <c r="PV7" s="28">
        <v>7.5526</v>
      </c>
      <c r="PW7" s="28">
        <v>7.4526000000000003</v>
      </c>
      <c r="PX7" s="28">
        <v>7.4367000000000001</v>
      </c>
      <c r="PY7" s="28">
        <v>7.6322999999999999</v>
      </c>
      <c r="PZ7" s="28">
        <v>7.5712999999999999</v>
      </c>
      <c r="QA7" s="28">
        <v>7.5205000000000002</v>
      </c>
      <c r="QB7" s="28">
        <v>7.5382999999999996</v>
      </c>
      <c r="QC7" s="28">
        <v>7.9882999999999997</v>
      </c>
      <c r="QD7" s="28">
        <v>7.8857999999999997</v>
      </c>
      <c r="QE7" s="22">
        <v>1</v>
      </c>
      <c r="QH7" s="22">
        <v>1</v>
      </c>
      <c r="QI7" s="28">
        <v>4.9400000000000004</v>
      </c>
      <c r="QJ7" s="28">
        <v>6.5</v>
      </c>
      <c r="QK7" s="28">
        <v>6.0774999999999997</v>
      </c>
      <c r="QL7" s="28">
        <v>6.78</v>
      </c>
      <c r="QM7" s="28">
        <v>5.8982999999999999</v>
      </c>
      <c r="QN7" s="28">
        <v>6.26</v>
      </c>
      <c r="QO7" s="28">
        <v>6.2621000000000002</v>
      </c>
      <c r="QP7" s="28">
        <v>6.1052</v>
      </c>
      <c r="QQ7" s="28">
        <v>6.28</v>
      </c>
      <c r="QR7" s="28">
        <v>6.4042000000000003</v>
      </c>
      <c r="QS7" s="28">
        <v>6.9341999999999997</v>
      </c>
      <c r="QT7" s="28">
        <v>7.4775</v>
      </c>
      <c r="QU7" s="22">
        <v>1</v>
      </c>
      <c r="QX7" s="22">
        <v>1</v>
      </c>
      <c r="QY7" s="28">
        <v>3.1099000000000001</v>
      </c>
      <c r="QZ7" s="28">
        <v>3.1059000000000001</v>
      </c>
      <c r="RA7" s="28">
        <v>3.2113</v>
      </c>
      <c r="RB7" s="28">
        <v>3.35</v>
      </c>
      <c r="RC7" s="28">
        <v>3.2763</v>
      </c>
      <c r="RD7" s="28">
        <v>3.3275999999999999</v>
      </c>
      <c r="RE7" s="28">
        <v>3.3864999999999998</v>
      </c>
      <c r="RF7" s="28">
        <v>3.4005999999999998</v>
      </c>
      <c r="RG7" s="28">
        <v>3.3815</v>
      </c>
      <c r="RH7" s="28">
        <v>3.3980000000000001</v>
      </c>
      <c r="RI7" s="28">
        <v>3.4359999999999999</v>
      </c>
      <c r="RJ7" s="28">
        <v>3.4409999999999998</v>
      </c>
      <c r="RK7" s="22">
        <v>1</v>
      </c>
      <c r="RN7" s="22">
        <v>1</v>
      </c>
      <c r="RO7" s="28">
        <v>3.1230000000000002</v>
      </c>
      <c r="RP7" s="28">
        <v>3.1030000000000002</v>
      </c>
      <c r="RQ7" s="28">
        <v>3.0973999999999999</v>
      </c>
      <c r="RR7" s="28">
        <v>3.0937000000000001</v>
      </c>
      <c r="RS7" s="28">
        <v>3.1152000000000002</v>
      </c>
      <c r="RT7" s="28">
        <v>3.1223999999999998</v>
      </c>
      <c r="RU7" s="28">
        <v>3.1185999999999998</v>
      </c>
      <c r="RV7" s="28">
        <v>3.1204000000000001</v>
      </c>
      <c r="RW7" s="28">
        <v>3.1141999999999999</v>
      </c>
      <c r="RX7" s="28">
        <v>3.1177999999999999</v>
      </c>
      <c r="RY7" s="28">
        <v>3.1293000000000002</v>
      </c>
      <c r="RZ7" s="28">
        <v>3.1065</v>
      </c>
      <c r="SA7" s="22">
        <v>1</v>
      </c>
      <c r="SD7" s="22">
        <v>1</v>
      </c>
      <c r="SE7" s="28">
        <v>3.0739000000000001</v>
      </c>
      <c r="SF7" s="28">
        <v>3.0684999999999998</v>
      </c>
      <c r="SG7" s="28">
        <v>3.0608</v>
      </c>
      <c r="SH7" s="28">
        <v>3.0682999999999998</v>
      </c>
      <c r="SI7" s="28">
        <v>3.0794000000000001</v>
      </c>
      <c r="SJ7" s="28">
        <v>3.1168</v>
      </c>
      <c r="SK7" s="28">
        <v>3.1229</v>
      </c>
      <c r="SL7" s="28">
        <v>3.1113</v>
      </c>
      <c r="SM7" s="28">
        <v>3.081</v>
      </c>
      <c r="SN7" s="28">
        <v>3.1131000000000002</v>
      </c>
      <c r="SO7" s="28">
        <v>3.1309</v>
      </c>
      <c r="SP7" s="28">
        <v>3.1149</v>
      </c>
      <c r="SQ7" s="22">
        <v>1</v>
      </c>
      <c r="ST7" s="22">
        <v>1</v>
      </c>
      <c r="SU7" s="28">
        <v>2.9453999999999998</v>
      </c>
      <c r="SV7" s="28">
        <v>2.9586000000000001</v>
      </c>
      <c r="SW7" s="28">
        <v>2.9698000000000002</v>
      </c>
      <c r="SX7" s="28">
        <v>2.9813999999999998</v>
      </c>
      <c r="SY7" s="28">
        <v>2.9942000000000002</v>
      </c>
      <c r="SZ7" s="28">
        <v>3.0066000000000002</v>
      </c>
      <c r="TA7" s="28">
        <v>3.0177999999999998</v>
      </c>
      <c r="TB7" s="28">
        <v>3.0310000000000001</v>
      </c>
      <c r="TC7" s="28">
        <v>3.0430000000000001</v>
      </c>
      <c r="TD7" s="28">
        <v>3.0562</v>
      </c>
      <c r="TE7" s="28">
        <v>3.0686</v>
      </c>
      <c r="TF7" s="28">
        <v>3.0676899999999998</v>
      </c>
      <c r="TG7" s="22">
        <v>1</v>
      </c>
      <c r="TJ7" s="22">
        <v>1</v>
      </c>
      <c r="TK7" s="28">
        <v>2.641</v>
      </c>
      <c r="TL7" s="28">
        <v>2.6739999999999999</v>
      </c>
      <c r="TM7" s="28">
        <v>2.702</v>
      </c>
      <c r="TN7" s="28">
        <v>2.7320000000000002</v>
      </c>
      <c r="TO7" s="28">
        <v>2.7610000000000001</v>
      </c>
      <c r="TP7" s="28">
        <v>2.7938000000000001</v>
      </c>
      <c r="TQ7" s="28">
        <v>2.8170000000000002</v>
      </c>
      <c r="TR7" s="28">
        <v>2.8426</v>
      </c>
      <c r="TS7" s="28">
        <v>2.8673999999999999</v>
      </c>
      <c r="TT7" s="28">
        <v>2.8898000000000001</v>
      </c>
      <c r="TU7" s="28">
        <v>2.278</v>
      </c>
      <c r="TV7" s="28">
        <v>2.9338000000000002</v>
      </c>
      <c r="TW7" s="22">
        <v>1</v>
      </c>
      <c r="TZ7" s="22">
        <v>1</v>
      </c>
      <c r="UA7" s="28"/>
      <c r="UB7" s="28">
        <v>2.3090000000000002</v>
      </c>
      <c r="UC7" s="28">
        <v>2.3370000000000002</v>
      </c>
      <c r="UD7" s="28">
        <v>2.3679999999999999</v>
      </c>
      <c r="UE7" s="28">
        <v>2.3959999999999999</v>
      </c>
      <c r="UF7" s="28">
        <v>2.4289999999999998</v>
      </c>
      <c r="UG7" s="28">
        <v>2.4590000000000001</v>
      </c>
      <c r="UH7" s="28">
        <v>2.488</v>
      </c>
      <c r="UI7" s="28">
        <v>2.5209999999999999</v>
      </c>
      <c r="UJ7" s="28">
        <v>2.5499999999999998</v>
      </c>
      <c r="UK7" s="28">
        <v>2.5819999999999999</v>
      </c>
      <c r="UL7" s="28">
        <v>2.6120000000000001</v>
      </c>
      <c r="UM7" s="22">
        <v>1</v>
      </c>
    </row>
    <row r="8" spans="2:559" s="7" customFormat="1" ht="19.2">
      <c r="B8" s="22">
        <v>2</v>
      </c>
      <c r="C8" s="28">
        <v>19.361499999999999</v>
      </c>
      <c r="D8" s="28">
        <v>18.793700000000001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2">
        <v>2</v>
      </c>
      <c r="R8" s="22">
        <v>2</v>
      </c>
      <c r="S8" s="28">
        <v>20.515699999999999</v>
      </c>
      <c r="T8" s="28">
        <v>20.635200000000001</v>
      </c>
      <c r="U8" s="28">
        <v>20.425699999999999</v>
      </c>
      <c r="V8" s="28">
        <v>19.911200000000001</v>
      </c>
      <c r="W8" s="28">
        <v>20.567</v>
      </c>
      <c r="X8" s="28">
        <v>19.693999999999999</v>
      </c>
      <c r="Y8" s="28">
        <v>20.133500000000002</v>
      </c>
      <c r="Z8" s="28">
        <v>20.348500000000001</v>
      </c>
      <c r="AA8" s="28">
        <v>20.0962</v>
      </c>
      <c r="AB8" s="28">
        <v>20.192699999999999</v>
      </c>
      <c r="AC8" s="28">
        <v>19.8245</v>
      </c>
      <c r="AD8" s="28">
        <v>19.3965</v>
      </c>
      <c r="AE8" s="22">
        <v>2</v>
      </c>
      <c r="AH8" s="22">
        <v>2</v>
      </c>
      <c r="AI8" s="28">
        <v>19.935199999999998</v>
      </c>
      <c r="AJ8" s="28">
        <v>20.2697</v>
      </c>
      <c r="AK8" s="28">
        <v>20.939</v>
      </c>
      <c r="AL8" s="28">
        <v>20.602499999999999</v>
      </c>
      <c r="AM8" s="28">
        <v>20.097799999999999</v>
      </c>
      <c r="AN8" s="28">
        <v>19.921299999999999</v>
      </c>
      <c r="AO8" s="28">
        <v>19.906199999999998</v>
      </c>
      <c r="AP8" s="28">
        <v>19.844799999999999</v>
      </c>
      <c r="AQ8" s="28">
        <v>20.060500000000001</v>
      </c>
      <c r="AR8" s="28">
        <v>20.5623</v>
      </c>
      <c r="AS8" s="28">
        <v>20.529699999999998</v>
      </c>
      <c r="AT8" s="28">
        <v>21.4453</v>
      </c>
      <c r="AU8" s="22">
        <v>2</v>
      </c>
      <c r="AV8" s="8"/>
      <c r="AW8" s="8"/>
      <c r="AX8" s="22">
        <v>2</v>
      </c>
      <c r="AY8" s="28">
        <v>18.872699999999998</v>
      </c>
      <c r="AZ8" s="28">
        <v>18.785299999999999</v>
      </c>
      <c r="BA8" s="28">
        <v>19.397300000000001</v>
      </c>
      <c r="BB8" s="28">
        <v>23.4847</v>
      </c>
      <c r="BC8" s="28">
        <v>24.0002</v>
      </c>
      <c r="BD8" s="28">
        <v>22.177800000000001</v>
      </c>
      <c r="BE8" s="28">
        <v>23.089300000000001</v>
      </c>
      <c r="BF8" s="28">
        <v>22.172699999999999</v>
      </c>
      <c r="BG8" s="28">
        <v>21.888000000000002</v>
      </c>
      <c r="BH8" s="28">
        <v>22.143799999999999</v>
      </c>
      <c r="BI8" s="28">
        <v>21.376999999999999</v>
      </c>
      <c r="BJ8" s="28">
        <v>20.139800000000001</v>
      </c>
      <c r="BK8" s="22">
        <v>2</v>
      </c>
      <c r="BN8" s="22">
        <v>2</v>
      </c>
      <c r="BO8" s="28">
        <v>19.656600000000001</v>
      </c>
      <c r="BP8" s="28">
        <v>19.038799999999998</v>
      </c>
      <c r="BQ8" s="28">
        <v>19.2607</v>
      </c>
      <c r="BR8" s="28">
        <v>19.3779</v>
      </c>
      <c r="BS8" s="28">
        <v>19.012</v>
      </c>
      <c r="BT8" s="28">
        <v>19.068300000000001</v>
      </c>
      <c r="BU8" s="28">
        <v>19.2087</v>
      </c>
      <c r="BV8" s="28">
        <v>18.992899999999999</v>
      </c>
      <c r="BW8" s="28">
        <v>20.098800000000001</v>
      </c>
      <c r="BX8" s="28">
        <v>19.734500000000001</v>
      </c>
      <c r="BY8" s="28">
        <v>19.194800000000001</v>
      </c>
      <c r="BZ8" s="28">
        <v>19.6113</v>
      </c>
      <c r="CA8" s="22">
        <v>2</v>
      </c>
      <c r="CD8" s="22">
        <v>2</v>
      </c>
      <c r="CE8" s="28">
        <v>19.735399999999998</v>
      </c>
      <c r="CF8" s="28">
        <v>18.6069</v>
      </c>
      <c r="CG8" s="29">
        <v>18.833100000000002</v>
      </c>
      <c r="CH8" s="28">
        <v>18.3445</v>
      </c>
      <c r="CI8" s="28">
        <v>18.684699999999999</v>
      </c>
      <c r="CJ8" s="28">
        <v>19.975899999999999</v>
      </c>
      <c r="CK8" s="28">
        <v>19.863299999999999</v>
      </c>
      <c r="CL8" s="28">
        <v>18.645700000000001</v>
      </c>
      <c r="CM8" s="28">
        <v>19.125800000000002</v>
      </c>
      <c r="CN8" s="28">
        <v>18.723099999999999</v>
      </c>
      <c r="CO8" s="28">
        <v>20.317699999999999</v>
      </c>
      <c r="CP8" s="28">
        <v>20.221699999999998</v>
      </c>
      <c r="CQ8" s="22">
        <v>2</v>
      </c>
      <c r="CT8" s="22">
        <v>2</v>
      </c>
      <c r="CU8" s="28">
        <v>20.664000000000001</v>
      </c>
      <c r="CV8" s="28">
        <v>20.790800000000001</v>
      </c>
      <c r="CW8" s="28">
        <v>19.995699999999999</v>
      </c>
      <c r="CX8" s="28">
        <v>18.707899999999999</v>
      </c>
      <c r="CY8" s="28">
        <v>19.067</v>
      </c>
      <c r="CZ8" s="28">
        <v>18.690899999999999</v>
      </c>
      <c r="DA8" s="28">
        <v>18.027899999999999</v>
      </c>
      <c r="DB8" s="28">
        <v>17.864599999999999</v>
      </c>
      <c r="DC8" s="28">
        <v>17.814499999999999</v>
      </c>
      <c r="DD8" s="28">
        <v>18.197900000000001</v>
      </c>
      <c r="DE8" s="28">
        <v>19.1478</v>
      </c>
      <c r="DF8" s="28">
        <v>18.622900000000001</v>
      </c>
      <c r="DG8" s="22">
        <v>2</v>
      </c>
      <c r="DJ8" s="22">
        <v>2</v>
      </c>
      <c r="DK8" s="28">
        <v>17.3398</v>
      </c>
      <c r="DL8" s="28">
        <v>18.290600000000001</v>
      </c>
      <c r="DM8" s="28">
        <v>18.102</v>
      </c>
      <c r="DN8" s="28">
        <v>17.236999999999998</v>
      </c>
      <c r="DO8" s="28">
        <v>17.212499999999999</v>
      </c>
      <c r="DP8" s="28">
        <v>18.411799999999999</v>
      </c>
      <c r="DQ8" s="28">
        <v>18.464600000000001</v>
      </c>
      <c r="DR8" s="28">
        <v>18.7837</v>
      </c>
      <c r="DS8" s="28">
        <v>18.8611</v>
      </c>
      <c r="DT8" s="28">
        <v>19.4086</v>
      </c>
      <c r="DU8" s="28">
        <v>18.8887</v>
      </c>
      <c r="DV8" s="28">
        <v>20.515499999999999</v>
      </c>
      <c r="DW8" s="22">
        <v>2</v>
      </c>
      <c r="DZ8" s="22">
        <v>2</v>
      </c>
      <c r="EA8" s="28">
        <v>14.7348</v>
      </c>
      <c r="EB8" s="28">
        <v>14.8414</v>
      </c>
      <c r="EC8" s="28">
        <v>14.962400000000001</v>
      </c>
      <c r="ED8" s="28">
        <v>15.264699999999999</v>
      </c>
      <c r="EE8" s="28">
        <v>15.2043</v>
      </c>
      <c r="EF8" s="28">
        <v>15.381500000000001</v>
      </c>
      <c r="EG8" s="28">
        <v>15.6854</v>
      </c>
      <c r="EH8" s="28">
        <v>16.213999999999999</v>
      </c>
      <c r="EI8" s="28">
        <v>16.782900000000001</v>
      </c>
      <c r="EJ8" s="28">
        <v>16.9053</v>
      </c>
      <c r="EK8" s="28">
        <v>16.6219</v>
      </c>
      <c r="EL8" s="28">
        <v>16.585599999999999</v>
      </c>
      <c r="EM8" s="22">
        <v>2</v>
      </c>
      <c r="EP8" s="22">
        <v>2</v>
      </c>
      <c r="EQ8" s="28">
        <v>13.065200000000001</v>
      </c>
      <c r="ER8" s="28">
        <v>13.3207</v>
      </c>
      <c r="ES8" s="28">
        <v>13.3066</v>
      </c>
      <c r="ET8" s="28">
        <v>13.0549</v>
      </c>
      <c r="EU8" s="28">
        <v>13.103899999999999</v>
      </c>
      <c r="EV8" s="28">
        <v>12.8462</v>
      </c>
      <c r="EW8" s="28">
        <v>12.9712</v>
      </c>
      <c r="EX8" s="28">
        <v>13.226900000000001</v>
      </c>
      <c r="EY8" s="28">
        <v>13.0763</v>
      </c>
      <c r="EZ8" s="28">
        <v>13.433</v>
      </c>
      <c r="FA8" s="28">
        <v>13.4316</v>
      </c>
      <c r="FB8" s="28">
        <v>13.8965</v>
      </c>
      <c r="FC8" s="22">
        <v>2</v>
      </c>
      <c r="FF8" s="22">
        <v>2</v>
      </c>
      <c r="FG8" s="28">
        <v>12.988</v>
      </c>
      <c r="FH8" s="28">
        <v>12.7094</v>
      </c>
      <c r="FI8" s="28">
        <v>12.779500000000001</v>
      </c>
      <c r="FJ8" s="28">
        <v>12.3612</v>
      </c>
      <c r="FK8" s="28">
        <v>12.1326</v>
      </c>
      <c r="FL8" s="28">
        <v>12.7781</v>
      </c>
      <c r="FM8" s="28">
        <v>13.027900000000001</v>
      </c>
      <c r="FN8" s="28">
        <v>12.846399999999999</v>
      </c>
      <c r="FO8" s="28">
        <v>13.3104</v>
      </c>
      <c r="FP8" s="28">
        <v>13.1747</v>
      </c>
      <c r="FQ8" s="28">
        <v>13.0067</v>
      </c>
      <c r="FR8" s="28">
        <v>13.083600000000001</v>
      </c>
      <c r="FS8" s="22">
        <v>2</v>
      </c>
      <c r="FV8" s="22">
        <v>2</v>
      </c>
      <c r="FW8" s="28">
        <v>13.9787</v>
      </c>
      <c r="FX8" s="28">
        <v>13.0077</v>
      </c>
      <c r="FY8" s="28">
        <v>12.789099999999999</v>
      </c>
      <c r="FZ8" s="28">
        <v>12.8489</v>
      </c>
      <c r="GA8" s="28">
        <v>13.014099999999999</v>
      </c>
      <c r="GB8" s="28">
        <v>14.3047</v>
      </c>
      <c r="GC8" s="28">
        <v>13.653</v>
      </c>
      <c r="GD8" s="28">
        <v>13.283300000000001</v>
      </c>
      <c r="GE8" s="28">
        <v>13.417199999999999</v>
      </c>
      <c r="GF8" s="28">
        <v>12.8695</v>
      </c>
      <c r="GG8" s="28">
        <v>13.091100000000001</v>
      </c>
      <c r="GH8" s="28">
        <v>12.9617</v>
      </c>
      <c r="GI8" s="22">
        <v>2</v>
      </c>
      <c r="GL8" s="22">
        <v>2</v>
      </c>
      <c r="GM8" s="28">
        <v>12.3817</v>
      </c>
      <c r="GN8" s="28">
        <v>12.151899999999999</v>
      </c>
      <c r="GO8" s="28">
        <v>12.106199999999999</v>
      </c>
      <c r="GP8" s="28">
        <v>11.9084</v>
      </c>
      <c r="GQ8" s="28">
        <v>11.5428</v>
      </c>
      <c r="GR8" s="28">
        <v>11.577999999999999</v>
      </c>
      <c r="GS8" s="28">
        <v>11.723000000000001</v>
      </c>
      <c r="GT8" s="28">
        <v>11.7425</v>
      </c>
      <c r="GU8" s="28">
        <v>12.348000000000001</v>
      </c>
      <c r="GV8" s="28">
        <v>13.4567</v>
      </c>
      <c r="GW8" s="28">
        <v>13.180199999999999</v>
      </c>
      <c r="GX8" s="28">
        <v>13.61</v>
      </c>
      <c r="GY8" s="22">
        <v>2</v>
      </c>
      <c r="HB8" s="22">
        <v>2</v>
      </c>
      <c r="HC8" s="28">
        <v>13.043699999999999</v>
      </c>
      <c r="HD8" s="28">
        <v>12.9975</v>
      </c>
      <c r="HE8" s="28">
        <v>12.776899999999999</v>
      </c>
      <c r="HF8" s="28">
        <v>12.4145</v>
      </c>
      <c r="HG8" s="28">
        <v>12.246499999999999</v>
      </c>
      <c r="HH8" s="28">
        <v>12.9146</v>
      </c>
      <c r="HI8" s="28">
        <v>12.844099999999999</v>
      </c>
      <c r="HJ8" s="28">
        <v>12.703799999999999</v>
      </c>
      <c r="HK8" s="28">
        <v>13.1676</v>
      </c>
      <c r="HL8" s="28">
        <v>12.5998</v>
      </c>
      <c r="HM8" s="28">
        <v>12.338699999999999</v>
      </c>
      <c r="HN8" s="28">
        <v>12.4664</v>
      </c>
      <c r="HO8" s="22">
        <v>2</v>
      </c>
      <c r="HR8" s="22">
        <v>2</v>
      </c>
      <c r="HS8" s="28">
        <v>13.7738</v>
      </c>
      <c r="HT8" s="28">
        <v>14.1975</v>
      </c>
      <c r="HU8" s="28">
        <v>14.9322</v>
      </c>
      <c r="HV8" s="28">
        <v>14.1517</v>
      </c>
      <c r="HW8" s="28">
        <v>13.6485</v>
      </c>
      <c r="HX8" s="28">
        <v>13.166700000000001</v>
      </c>
      <c r="HY8" s="28">
        <v>13.1722</v>
      </c>
      <c r="HZ8" s="28">
        <v>13.222300000000001</v>
      </c>
      <c r="IA8" s="28">
        <v>13.314</v>
      </c>
      <c r="IB8" s="28">
        <v>13.492800000000001</v>
      </c>
      <c r="IC8" s="28">
        <v>13.0825</v>
      </c>
      <c r="ID8" s="28">
        <v>12.915699999999999</v>
      </c>
      <c r="IE8" s="22">
        <v>2</v>
      </c>
      <c r="IH8" s="22">
        <v>2</v>
      </c>
      <c r="II8" s="28">
        <v>10.904299999999999</v>
      </c>
      <c r="IJ8" s="28">
        <v>10.8262</v>
      </c>
      <c r="IK8" s="28">
        <v>10.6813</v>
      </c>
      <c r="IL8" s="28">
        <v>10.648199999999999</v>
      </c>
      <c r="IM8" s="28">
        <v>10.527200000000001</v>
      </c>
      <c r="IN8" s="28">
        <v>10.3066</v>
      </c>
      <c r="IO8" s="28">
        <v>10.306900000000001</v>
      </c>
      <c r="IP8" s="28">
        <v>10.035299999999999</v>
      </c>
      <c r="IQ8" s="28">
        <v>10.284700000000001</v>
      </c>
      <c r="IR8" s="28">
        <v>10.981400000000001</v>
      </c>
      <c r="IS8" s="28">
        <v>12.834199999999999</v>
      </c>
      <c r="IT8" s="28">
        <v>13.3225</v>
      </c>
      <c r="IU8" s="22">
        <v>2</v>
      </c>
      <c r="IX8" s="22">
        <v>2</v>
      </c>
      <c r="IY8" s="28">
        <v>10.875500000000001</v>
      </c>
      <c r="IZ8" s="28">
        <v>11.0382</v>
      </c>
      <c r="JA8" s="28">
        <v>11.168200000000001</v>
      </c>
      <c r="JB8" s="28">
        <v>11.050700000000001</v>
      </c>
      <c r="JC8" s="28">
        <v>10.9305</v>
      </c>
      <c r="JD8" s="28">
        <v>10.7445</v>
      </c>
      <c r="JE8" s="28">
        <v>10.7926</v>
      </c>
      <c r="JF8" s="28">
        <v>10.927300000000001</v>
      </c>
      <c r="JG8" s="28">
        <v>11.0848</v>
      </c>
      <c r="JH8" s="28">
        <v>10.9315</v>
      </c>
      <c r="JI8" s="28">
        <v>10.702299999999999</v>
      </c>
      <c r="JJ8" s="28">
        <v>10.941700000000001</v>
      </c>
      <c r="JK8" s="22">
        <v>2</v>
      </c>
      <c r="JN8" s="22">
        <v>2</v>
      </c>
      <c r="JO8" s="28">
        <v>10.710900000000001</v>
      </c>
      <c r="JP8" s="28">
        <v>10.443300000000001</v>
      </c>
      <c r="JQ8" s="28">
        <v>10.456</v>
      </c>
      <c r="JR8" s="28">
        <v>10.922800000000001</v>
      </c>
      <c r="JS8" s="28">
        <v>11.1135</v>
      </c>
      <c r="JT8" s="28">
        <v>11.2966</v>
      </c>
      <c r="JU8" s="28">
        <v>11.4009</v>
      </c>
      <c r="JV8" s="28">
        <v>10.918100000000001</v>
      </c>
      <c r="JW8" s="28">
        <v>10.903700000000001</v>
      </c>
      <c r="JX8" s="28">
        <v>11.0502</v>
      </c>
      <c r="JY8" s="28">
        <v>10.763999999999999</v>
      </c>
      <c r="JZ8" s="28">
        <v>10.9983</v>
      </c>
      <c r="KA8" s="22">
        <v>2</v>
      </c>
      <c r="KD8" s="22">
        <v>2</v>
      </c>
      <c r="KE8" s="28">
        <v>11.218299999999999</v>
      </c>
      <c r="KF8" s="28">
        <v>11.2141</v>
      </c>
      <c r="KG8" s="28">
        <v>11.096500000000001</v>
      </c>
      <c r="KH8" s="28">
        <v>11.1783</v>
      </c>
      <c r="KI8" s="28">
        <v>11.1159</v>
      </c>
      <c r="KJ8" s="28">
        <v>10.916</v>
      </c>
      <c r="KK8" s="28">
        <v>10.7752</v>
      </c>
      <c r="KL8" s="28">
        <v>10.605700000000001</v>
      </c>
      <c r="KM8" s="28">
        <v>10.7995</v>
      </c>
      <c r="KN8" s="28">
        <v>10.8131</v>
      </c>
      <c r="KO8" s="28">
        <v>10.7857</v>
      </c>
      <c r="KP8" s="28">
        <v>10.5793</v>
      </c>
      <c r="KQ8" s="22">
        <v>2</v>
      </c>
      <c r="KT8" s="22">
        <v>2</v>
      </c>
      <c r="KU8" s="28">
        <v>11.1998</v>
      </c>
      <c r="KV8" s="28">
        <v>11.084300000000001</v>
      </c>
      <c r="KW8" s="28">
        <v>11.060600000000001</v>
      </c>
      <c r="KX8" s="28">
        <v>11.174799999999999</v>
      </c>
      <c r="KY8" s="28">
        <v>11.4068</v>
      </c>
      <c r="KZ8" s="28">
        <v>11.4147</v>
      </c>
      <c r="LA8" s="28">
        <v>11.5258</v>
      </c>
      <c r="LB8" s="28">
        <v>11.430199999999999</v>
      </c>
      <c r="LC8" s="28">
        <v>11.380699999999999</v>
      </c>
      <c r="LD8" s="28">
        <v>11.388400000000001</v>
      </c>
      <c r="LE8" s="28">
        <v>11.539</v>
      </c>
      <c r="LF8" s="28">
        <v>11.237299999999999</v>
      </c>
      <c r="LG8" s="22">
        <v>2</v>
      </c>
      <c r="LJ8" s="22">
        <v>2</v>
      </c>
      <c r="LK8" s="28">
        <v>10.3613</v>
      </c>
      <c r="LL8" s="28">
        <v>10.8636</v>
      </c>
      <c r="LM8" s="28">
        <v>11.033300000000001</v>
      </c>
      <c r="LN8" s="28">
        <v>10.7889</v>
      </c>
      <c r="LO8" s="28">
        <v>10.345000000000001</v>
      </c>
      <c r="LP8" s="28">
        <v>10.320499999999999</v>
      </c>
      <c r="LQ8" s="28">
        <v>10.436999999999999</v>
      </c>
      <c r="LR8" s="28">
        <v>10.5243</v>
      </c>
      <c r="LS8" s="28">
        <v>11.047499999999999</v>
      </c>
      <c r="LT8" s="28">
        <v>11.013299999999999</v>
      </c>
      <c r="LU8" s="28">
        <v>11.1058</v>
      </c>
      <c r="LV8" s="28">
        <v>11.3985</v>
      </c>
      <c r="LW8" s="22">
        <v>2</v>
      </c>
      <c r="LZ8" s="22">
        <v>2</v>
      </c>
      <c r="MA8" s="28">
        <v>9.1692</v>
      </c>
      <c r="MB8" s="28">
        <v>9.1463000000000001</v>
      </c>
      <c r="MC8" s="28">
        <v>9.1303000000000001</v>
      </c>
      <c r="MD8" s="28">
        <v>9.016</v>
      </c>
      <c r="ME8" s="28">
        <v>9.3542000000000005</v>
      </c>
      <c r="MF8" s="28">
        <v>9.7148000000000003</v>
      </c>
      <c r="MG8" s="28">
        <v>9.9567999999999994</v>
      </c>
      <c r="MH8" s="28">
        <v>9.7860999999999994</v>
      </c>
      <c r="MI8" s="28">
        <v>9.9192999999999998</v>
      </c>
      <c r="MJ8" s="28">
        <v>10.229900000000001</v>
      </c>
      <c r="MK8" s="28">
        <v>10.155200000000001</v>
      </c>
      <c r="ML8" s="28">
        <v>10.119300000000001</v>
      </c>
      <c r="MM8" s="22">
        <v>2</v>
      </c>
      <c r="MP8" s="22">
        <v>2</v>
      </c>
      <c r="MQ8" s="28">
        <v>9.5997000000000003</v>
      </c>
      <c r="MR8" s="28">
        <v>9.6828000000000003</v>
      </c>
      <c r="MS8" s="28">
        <v>9.7025000000000006</v>
      </c>
      <c r="MT8" s="28">
        <v>9.5203000000000007</v>
      </c>
      <c r="MU8" s="28">
        <v>9.3048999999999999</v>
      </c>
      <c r="MV8" s="28">
        <v>9.1835000000000004</v>
      </c>
      <c r="MW8" s="28">
        <v>9.09</v>
      </c>
      <c r="MX8" s="28">
        <v>9.1408000000000005</v>
      </c>
      <c r="MY8" s="28">
        <v>9.1692</v>
      </c>
      <c r="MZ8" s="28">
        <v>9.5098000000000003</v>
      </c>
      <c r="NA8" s="28">
        <v>9.2542000000000009</v>
      </c>
      <c r="NB8" s="28">
        <v>9.2814999999999994</v>
      </c>
      <c r="NC8" s="22">
        <v>2</v>
      </c>
      <c r="NF8" s="22">
        <v>2</v>
      </c>
      <c r="NG8" s="28">
        <v>9.5221999999999998</v>
      </c>
      <c r="NH8" s="28">
        <v>9.6252999999999993</v>
      </c>
      <c r="NI8" s="28">
        <v>9.3661999999999992</v>
      </c>
      <c r="NJ8" s="28">
        <v>9.3015000000000008</v>
      </c>
      <c r="NK8" s="28">
        <v>9.4520999999999997</v>
      </c>
      <c r="NL8" s="28">
        <v>9.5109999999999992</v>
      </c>
      <c r="NM8" s="28">
        <v>9.9002999999999997</v>
      </c>
      <c r="NN8" s="28">
        <v>9.3666999999999998</v>
      </c>
      <c r="NO8" s="28">
        <v>9.1995000000000005</v>
      </c>
      <c r="NP8" s="28">
        <v>9.4290000000000003</v>
      </c>
      <c r="NQ8" s="28">
        <v>9.5641999999999996</v>
      </c>
      <c r="NR8" s="28">
        <v>9.3972999999999995</v>
      </c>
      <c r="NS8" s="22">
        <v>2</v>
      </c>
      <c r="NV8" s="22">
        <v>2</v>
      </c>
      <c r="NW8" s="28">
        <v>9.9395000000000007</v>
      </c>
      <c r="NX8" s="28">
        <v>10.154299999999999</v>
      </c>
      <c r="NY8" s="28">
        <v>9.9441000000000006</v>
      </c>
      <c r="NZ8" s="28">
        <v>9.5375999999999994</v>
      </c>
      <c r="OA8" s="28">
        <v>9.2622</v>
      </c>
      <c r="OB8" s="28">
        <v>9.6872000000000007</v>
      </c>
      <c r="OC8" s="28">
        <v>9.4408999999999992</v>
      </c>
      <c r="OD8" s="28">
        <v>9.4260000000000002</v>
      </c>
      <c r="OE8" s="28">
        <v>9.4094999999999995</v>
      </c>
      <c r="OF8" s="28">
        <v>9.3483000000000001</v>
      </c>
      <c r="OG8" s="28">
        <v>9.625</v>
      </c>
      <c r="OH8" s="28">
        <v>9.4320000000000004</v>
      </c>
      <c r="OI8" s="22">
        <v>2</v>
      </c>
      <c r="OL8" s="22">
        <v>2</v>
      </c>
      <c r="OM8" s="28">
        <v>8.0640000000000001</v>
      </c>
      <c r="ON8" s="28">
        <v>8.4640000000000004</v>
      </c>
      <c r="OO8" s="28">
        <v>8.5582999999999991</v>
      </c>
      <c r="OP8" s="28">
        <v>8.5191999999999997</v>
      </c>
      <c r="OQ8" s="28">
        <v>8.5029000000000003</v>
      </c>
      <c r="OR8" s="28">
        <v>8.8163999999999998</v>
      </c>
      <c r="OS8" s="28">
        <v>8.9852000000000007</v>
      </c>
      <c r="OT8" s="28">
        <v>8.9008000000000003</v>
      </c>
      <c r="OU8" s="28">
        <v>10.0275</v>
      </c>
      <c r="OV8" s="28">
        <v>10.193300000000001</v>
      </c>
      <c r="OW8" s="28">
        <v>10.219799999999999</v>
      </c>
      <c r="OX8" s="28">
        <v>9.9994999999999994</v>
      </c>
      <c r="OY8" s="22">
        <v>2</v>
      </c>
      <c r="PB8" s="22">
        <v>2</v>
      </c>
      <c r="PC8" s="28">
        <v>7.8556999999999997</v>
      </c>
      <c r="PD8" s="28">
        <v>7.8409000000000004</v>
      </c>
      <c r="PE8" s="28">
        <v>7.8357999999999999</v>
      </c>
      <c r="PF8" s="28">
        <v>7.9313000000000002</v>
      </c>
      <c r="PG8" s="28">
        <v>7.9743000000000004</v>
      </c>
      <c r="PH8" s="28">
        <v>7.9081999999999999</v>
      </c>
      <c r="PI8" s="28">
        <v>7.9504000000000001</v>
      </c>
      <c r="PJ8" s="28">
        <v>7.8247999999999998</v>
      </c>
      <c r="PK8" s="28">
        <v>7.7746000000000004</v>
      </c>
      <c r="PL8" s="28">
        <v>7.7706999999999997</v>
      </c>
      <c r="PM8" s="28">
        <v>8.3432999999999993</v>
      </c>
      <c r="PN8" s="28">
        <v>8.2134999999999998</v>
      </c>
      <c r="PO8" s="22">
        <v>2</v>
      </c>
      <c r="PR8" s="22">
        <v>2</v>
      </c>
      <c r="PS8" s="28">
        <v>7.6841999999999997</v>
      </c>
      <c r="PT8" s="28">
        <v>7.4211999999999998</v>
      </c>
      <c r="PU8" s="28">
        <v>7.6295999999999999</v>
      </c>
      <c r="PV8" s="28">
        <v>7.5374999999999996</v>
      </c>
      <c r="PW8" s="28">
        <v>7.4526000000000003</v>
      </c>
      <c r="PX8" s="28">
        <v>7.4367000000000001</v>
      </c>
      <c r="PY8" s="28">
        <v>7.5814000000000004</v>
      </c>
      <c r="PZ8" s="28">
        <v>7.5892999999999997</v>
      </c>
      <c r="QA8" s="28">
        <v>7.5205000000000002</v>
      </c>
      <c r="QB8" s="28">
        <v>7.5518999999999998</v>
      </c>
      <c r="QC8" s="28">
        <v>8.0478000000000005</v>
      </c>
      <c r="QD8" s="28">
        <v>7.8857999999999997</v>
      </c>
      <c r="QE8" s="22">
        <v>2</v>
      </c>
      <c r="QH8" s="22">
        <v>2</v>
      </c>
      <c r="QI8" s="28">
        <v>4.9400000000000004</v>
      </c>
      <c r="QJ8" s="28">
        <v>5.9</v>
      </c>
      <c r="QK8" s="28">
        <v>6.0049999999999999</v>
      </c>
      <c r="QL8" s="28">
        <v>6.78</v>
      </c>
      <c r="QM8" s="28">
        <v>5.8982999999999999</v>
      </c>
      <c r="QN8" s="28">
        <v>6.1807999999999996</v>
      </c>
      <c r="QO8" s="28">
        <v>6.2621000000000002</v>
      </c>
      <c r="QP8" s="28">
        <v>6.1142000000000003</v>
      </c>
      <c r="QQ8" s="28">
        <v>6.28</v>
      </c>
      <c r="QR8" s="28">
        <v>6.4042000000000003</v>
      </c>
      <c r="QS8" s="28">
        <v>7.1471</v>
      </c>
      <c r="QT8" s="28">
        <v>7.5467000000000004</v>
      </c>
      <c r="QU8" s="22">
        <v>2</v>
      </c>
      <c r="QX8" s="22">
        <v>2</v>
      </c>
      <c r="QY8" s="28">
        <v>3.1099000000000001</v>
      </c>
      <c r="QZ8" s="28">
        <v>3.1053999999999999</v>
      </c>
      <c r="RA8" s="28">
        <v>3.1932999999999998</v>
      </c>
      <c r="RB8" s="28">
        <v>3.35</v>
      </c>
      <c r="RC8" s="28">
        <v>3.2763</v>
      </c>
      <c r="RD8" s="28">
        <v>3.3214000000000001</v>
      </c>
      <c r="RE8" s="28">
        <v>3.3938000000000001</v>
      </c>
      <c r="RF8" s="28">
        <v>3.4005999999999998</v>
      </c>
      <c r="RG8" s="28">
        <v>3.3902999999999999</v>
      </c>
      <c r="RH8" s="28">
        <v>3.3980000000000001</v>
      </c>
      <c r="RI8" s="28">
        <v>3.4359999999999999</v>
      </c>
      <c r="RJ8" s="28">
        <v>3.4409999999999998</v>
      </c>
      <c r="RK8" s="22">
        <v>2</v>
      </c>
      <c r="RN8" s="22">
        <v>2</v>
      </c>
      <c r="RO8" s="28">
        <v>3.1230000000000002</v>
      </c>
      <c r="RP8" s="28">
        <v>3.1139999999999999</v>
      </c>
      <c r="RQ8" s="28">
        <v>3.0987</v>
      </c>
      <c r="RR8" s="28">
        <v>3.0937000000000001</v>
      </c>
      <c r="RS8" s="28">
        <v>3.1152000000000002</v>
      </c>
      <c r="RT8" s="28">
        <v>3.1190000000000002</v>
      </c>
      <c r="RU8" s="28">
        <v>3.1179999999999999</v>
      </c>
      <c r="RV8" s="28">
        <v>3.1204000000000001</v>
      </c>
      <c r="RW8" s="28">
        <v>3.1141999999999999</v>
      </c>
      <c r="RX8" s="28">
        <v>3.1179000000000001</v>
      </c>
      <c r="RY8" s="28">
        <v>3.1293000000000002</v>
      </c>
      <c r="RZ8" s="28">
        <v>3.1042000000000001</v>
      </c>
      <c r="SA8" s="22">
        <v>2</v>
      </c>
      <c r="SD8" s="22">
        <v>2</v>
      </c>
      <c r="SE8" s="28">
        <v>3.0739000000000001</v>
      </c>
      <c r="SF8" s="28">
        <v>3.0684999999999998</v>
      </c>
      <c r="SG8" s="28">
        <v>3.0608</v>
      </c>
      <c r="SH8" s="28">
        <v>3.0619999999999998</v>
      </c>
      <c r="SI8" s="28">
        <v>3.0794000000000001</v>
      </c>
      <c r="SJ8" s="28">
        <v>3.1150000000000002</v>
      </c>
      <c r="SK8" s="28">
        <v>3.1230000000000002</v>
      </c>
      <c r="SL8" s="28">
        <v>3.1113</v>
      </c>
      <c r="SM8" s="28">
        <v>3.0764999999999998</v>
      </c>
      <c r="SN8" s="28">
        <v>3.109</v>
      </c>
      <c r="SO8" s="28">
        <v>3.1309</v>
      </c>
      <c r="SP8" s="28">
        <v>3.1141000000000001</v>
      </c>
      <c r="SQ8" s="22">
        <v>2</v>
      </c>
      <c r="ST8" s="22">
        <v>2</v>
      </c>
      <c r="SU8" s="28">
        <v>2.9466000000000001</v>
      </c>
      <c r="SV8" s="28">
        <v>2.9590000000000001</v>
      </c>
      <c r="SW8" s="28">
        <v>2.9702000000000002</v>
      </c>
      <c r="SX8" s="28">
        <v>2.9817999999999998</v>
      </c>
      <c r="SY8" s="28">
        <v>2.9946000000000002</v>
      </c>
      <c r="SZ8" s="28">
        <v>3.0066000000000002</v>
      </c>
      <c r="TA8" s="28">
        <v>3.0182000000000002</v>
      </c>
      <c r="TB8" s="28">
        <v>3.0314000000000001</v>
      </c>
      <c r="TC8" s="28">
        <v>3.0430000000000001</v>
      </c>
      <c r="TD8" s="28">
        <v>3.0566</v>
      </c>
      <c r="TE8" s="28">
        <v>3.069</v>
      </c>
      <c r="TF8" s="28">
        <v>3.0676899999999998</v>
      </c>
      <c r="TG8" s="22">
        <v>2</v>
      </c>
      <c r="TJ8" s="22">
        <v>2</v>
      </c>
      <c r="TK8" s="28">
        <v>2.6440000000000001</v>
      </c>
      <c r="TL8" s="28">
        <v>2.6749999999999998</v>
      </c>
      <c r="TM8" s="28">
        <v>2.7029999999999998</v>
      </c>
      <c r="TN8" s="28">
        <v>2.7320000000000002</v>
      </c>
      <c r="TO8" s="28">
        <v>2.762</v>
      </c>
      <c r="TP8" s="28">
        <v>2.7946</v>
      </c>
      <c r="TQ8" s="28">
        <v>2.8170000000000002</v>
      </c>
      <c r="TR8" s="28">
        <v>2.8433999999999999</v>
      </c>
      <c r="TS8" s="28">
        <v>2.8673999999999999</v>
      </c>
      <c r="TT8" s="28">
        <v>2.8906000000000001</v>
      </c>
      <c r="TU8" s="28">
        <v>2.9169999999999998</v>
      </c>
      <c r="TV8" s="28">
        <v>2.9338000000000002</v>
      </c>
      <c r="TW8" s="22">
        <v>2</v>
      </c>
      <c r="TZ8" s="22">
        <v>2</v>
      </c>
      <c r="UA8" s="28">
        <v>2.278</v>
      </c>
      <c r="UB8" s="28">
        <v>2.31</v>
      </c>
      <c r="UC8" s="28">
        <v>2.3380000000000001</v>
      </c>
      <c r="UD8" s="28">
        <v>2.3679999999999999</v>
      </c>
      <c r="UE8" s="28">
        <v>2.3969999999999998</v>
      </c>
      <c r="UF8" s="28">
        <v>2.4300000000000002</v>
      </c>
      <c r="UG8" s="28">
        <v>2.4590000000000001</v>
      </c>
      <c r="UH8" s="28">
        <v>2.4910000000000001</v>
      </c>
      <c r="UI8" s="28">
        <v>2.5219999999999998</v>
      </c>
      <c r="UJ8" s="28">
        <v>2.5499999999999998</v>
      </c>
      <c r="UK8" s="28">
        <v>2.5830000000000002</v>
      </c>
      <c r="UL8" s="28">
        <v>2.613</v>
      </c>
      <c r="UM8" s="22">
        <v>2</v>
      </c>
    </row>
    <row r="9" spans="2:559" s="7" customFormat="1" ht="19.2">
      <c r="B9" s="22">
        <v>3</v>
      </c>
      <c r="C9" s="28">
        <v>19.471499999999999</v>
      </c>
      <c r="D9" s="28">
        <v>18.739000000000001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2">
        <v>3</v>
      </c>
      <c r="R9" s="22">
        <v>3</v>
      </c>
      <c r="S9" s="28">
        <v>20.515699999999999</v>
      </c>
      <c r="T9" s="28">
        <v>20.58</v>
      </c>
      <c r="U9" s="28">
        <v>20.527200000000001</v>
      </c>
      <c r="V9" s="28">
        <v>19.911200000000001</v>
      </c>
      <c r="W9" s="28">
        <v>20.372800000000002</v>
      </c>
      <c r="X9" s="28">
        <v>19.738800000000001</v>
      </c>
      <c r="Y9" s="28">
        <v>20.133500000000002</v>
      </c>
      <c r="Z9" s="28">
        <v>20.263300000000001</v>
      </c>
      <c r="AA9" s="28">
        <v>20.247299999999999</v>
      </c>
      <c r="AB9" s="28">
        <v>20.192699999999999</v>
      </c>
      <c r="AC9" s="28">
        <v>19.8245</v>
      </c>
      <c r="AD9" s="28">
        <v>19.1433</v>
      </c>
      <c r="AE9" s="22">
        <v>3</v>
      </c>
      <c r="AH9" s="22">
        <v>3</v>
      </c>
      <c r="AI9" s="28">
        <v>19.935199999999998</v>
      </c>
      <c r="AJ9" s="28">
        <v>20.224799999999998</v>
      </c>
      <c r="AK9" s="28">
        <v>20.612300000000001</v>
      </c>
      <c r="AL9" s="28">
        <v>20.602499999999999</v>
      </c>
      <c r="AM9" s="28">
        <v>20.097799999999999</v>
      </c>
      <c r="AN9" s="28">
        <v>19.892700000000001</v>
      </c>
      <c r="AO9" s="28">
        <v>20.036799999999999</v>
      </c>
      <c r="AP9" s="28">
        <v>19.845500000000001</v>
      </c>
      <c r="AQ9" s="28">
        <v>19.961500000000001</v>
      </c>
      <c r="AR9" s="28">
        <v>20.5623</v>
      </c>
      <c r="AS9" s="28">
        <v>20.529699999999998</v>
      </c>
      <c r="AT9" s="28">
        <v>21.271000000000001</v>
      </c>
      <c r="AU9" s="22">
        <v>3</v>
      </c>
      <c r="AV9" s="8"/>
      <c r="AW9" s="8"/>
      <c r="AX9" s="22">
        <v>3</v>
      </c>
      <c r="AY9" s="28">
        <v>18.8642</v>
      </c>
      <c r="AZ9" s="28">
        <v>18.785299999999999</v>
      </c>
      <c r="BA9" s="28">
        <v>19.776</v>
      </c>
      <c r="BB9" s="28">
        <v>24.491800000000001</v>
      </c>
      <c r="BC9" s="28">
        <v>24.0002</v>
      </c>
      <c r="BD9" s="28">
        <v>22.0168</v>
      </c>
      <c r="BE9" s="28">
        <v>22.8078</v>
      </c>
      <c r="BF9" s="28">
        <v>22.172699999999999</v>
      </c>
      <c r="BG9" s="28">
        <v>21.744499999999999</v>
      </c>
      <c r="BH9" s="28">
        <v>21.956199999999999</v>
      </c>
      <c r="BI9" s="28">
        <v>21.376999999999999</v>
      </c>
      <c r="BJ9" s="28">
        <v>20.050799999999999</v>
      </c>
      <c r="BK9" s="22">
        <v>3</v>
      </c>
      <c r="BN9" s="22">
        <v>3</v>
      </c>
      <c r="BO9" s="28">
        <v>19.651199999999999</v>
      </c>
      <c r="BP9" s="28">
        <v>19.038799999999998</v>
      </c>
      <c r="BQ9" s="28">
        <v>19.2607</v>
      </c>
      <c r="BR9" s="28">
        <v>19.216899999999999</v>
      </c>
      <c r="BS9" s="28">
        <v>19.009899999999998</v>
      </c>
      <c r="BT9" s="28">
        <v>19.068300000000001</v>
      </c>
      <c r="BU9" s="28">
        <v>19.076000000000001</v>
      </c>
      <c r="BV9" s="28">
        <v>19.162700000000001</v>
      </c>
      <c r="BW9" s="28">
        <v>20.069600000000001</v>
      </c>
      <c r="BX9" s="28">
        <v>19.779199999999999</v>
      </c>
      <c r="BY9" s="28">
        <v>19.194800000000001</v>
      </c>
      <c r="BZ9" s="28">
        <v>19.5352</v>
      </c>
      <c r="CA9" s="22">
        <v>3</v>
      </c>
      <c r="CD9" s="22">
        <v>3</v>
      </c>
      <c r="CE9" s="28">
        <v>19.6629</v>
      </c>
      <c r="CF9" s="28">
        <v>18.400400000000001</v>
      </c>
      <c r="CG9" s="29">
        <v>18.861000000000001</v>
      </c>
      <c r="CH9" s="28">
        <v>18.270900000000001</v>
      </c>
      <c r="CI9" s="28">
        <v>18.787800000000001</v>
      </c>
      <c r="CJ9" s="28">
        <v>19.975899999999999</v>
      </c>
      <c r="CK9" s="28">
        <v>19.691199999999998</v>
      </c>
      <c r="CL9" s="28">
        <v>18.5899</v>
      </c>
      <c r="CM9" s="28">
        <v>19.125800000000002</v>
      </c>
      <c r="CN9" s="28">
        <v>18.653099999999998</v>
      </c>
      <c r="CO9" s="28">
        <v>20.317699999999999</v>
      </c>
      <c r="CP9" s="28">
        <v>20.221699999999998</v>
      </c>
      <c r="CQ9" s="22">
        <v>3</v>
      </c>
      <c r="CT9" s="22">
        <v>3</v>
      </c>
      <c r="CU9" s="28">
        <v>20.619399999999999</v>
      </c>
      <c r="CV9" s="28">
        <v>20.775200000000002</v>
      </c>
      <c r="CW9" s="28">
        <v>19.900700000000001</v>
      </c>
      <c r="CX9" s="28">
        <v>18.707899999999999</v>
      </c>
      <c r="CY9" s="28">
        <v>18.959399999999999</v>
      </c>
      <c r="CZ9" s="28">
        <v>18.594100000000001</v>
      </c>
      <c r="DA9" s="28">
        <v>18.027899999999999</v>
      </c>
      <c r="DB9" s="28">
        <v>17.8108</v>
      </c>
      <c r="DC9" s="28">
        <v>17.814499999999999</v>
      </c>
      <c r="DD9" s="28">
        <v>18.158999999999999</v>
      </c>
      <c r="DE9" s="28">
        <v>19.1478</v>
      </c>
      <c r="DF9" s="28">
        <v>18.622900000000001</v>
      </c>
      <c r="DG9" s="22">
        <v>3</v>
      </c>
      <c r="DJ9" s="22">
        <v>3</v>
      </c>
      <c r="DK9" s="28">
        <v>17.3398</v>
      </c>
      <c r="DL9" s="28">
        <v>18.1935</v>
      </c>
      <c r="DM9" s="28">
        <v>17.943200000000001</v>
      </c>
      <c r="DN9" s="28">
        <v>17.236999999999998</v>
      </c>
      <c r="DO9" s="28">
        <v>17.1767</v>
      </c>
      <c r="DP9" s="28">
        <v>18.529900000000001</v>
      </c>
      <c r="DQ9" s="28">
        <v>18.464600000000001</v>
      </c>
      <c r="DR9" s="28">
        <v>18.8504</v>
      </c>
      <c r="DS9" s="28">
        <v>18.8523</v>
      </c>
      <c r="DT9" s="28">
        <v>19.4086</v>
      </c>
      <c r="DU9" s="28">
        <v>18.8887</v>
      </c>
      <c r="DV9" s="28">
        <v>20.748799999999999</v>
      </c>
      <c r="DW9" s="22">
        <v>3</v>
      </c>
      <c r="DZ9" s="22">
        <v>3</v>
      </c>
      <c r="EA9" s="28">
        <v>14.741400000000001</v>
      </c>
      <c r="EB9" s="28">
        <v>14.8414</v>
      </c>
      <c r="EC9" s="28">
        <v>14.955299999999999</v>
      </c>
      <c r="ED9" s="28">
        <v>15.264699999999999</v>
      </c>
      <c r="EE9" s="28">
        <v>15.2043</v>
      </c>
      <c r="EF9" s="28">
        <v>15.484500000000001</v>
      </c>
      <c r="EG9" s="28">
        <v>15.7829</v>
      </c>
      <c r="EH9" s="28">
        <v>16.4512</v>
      </c>
      <c r="EI9" s="28">
        <v>16.869199999999999</v>
      </c>
      <c r="EJ9" s="28">
        <v>16.9053</v>
      </c>
      <c r="EK9" s="28">
        <v>16.6219</v>
      </c>
      <c r="EL9" s="28">
        <v>16.510400000000001</v>
      </c>
      <c r="EM9" s="22">
        <v>3</v>
      </c>
      <c r="EP9" s="22">
        <v>3</v>
      </c>
      <c r="EQ9" s="28">
        <v>13.084300000000001</v>
      </c>
      <c r="ER9" s="28">
        <v>13.3207</v>
      </c>
      <c r="ES9" s="28">
        <v>13.3066</v>
      </c>
      <c r="ET9" s="28">
        <v>13.0313</v>
      </c>
      <c r="EU9" s="28">
        <v>13.0901</v>
      </c>
      <c r="EV9" s="28">
        <v>12.860900000000001</v>
      </c>
      <c r="EW9" s="28">
        <v>12.9605</v>
      </c>
      <c r="EX9" s="28">
        <v>13.226900000000001</v>
      </c>
      <c r="EY9" s="28">
        <v>13.083299999999999</v>
      </c>
      <c r="EZ9" s="28">
        <v>13.445499999999999</v>
      </c>
      <c r="FA9" s="28">
        <v>13.4316</v>
      </c>
      <c r="FB9" s="28">
        <v>13.9262</v>
      </c>
      <c r="FC9" s="22">
        <v>3</v>
      </c>
      <c r="FF9" s="22">
        <v>3</v>
      </c>
      <c r="FG9" s="28">
        <v>12.9658</v>
      </c>
      <c r="FH9" s="28">
        <v>12.7094</v>
      </c>
      <c r="FI9" s="28">
        <v>12.779500000000001</v>
      </c>
      <c r="FJ9" s="28">
        <v>12.3438</v>
      </c>
      <c r="FK9" s="28">
        <v>12.1456</v>
      </c>
      <c r="FL9" s="28">
        <v>12.7781</v>
      </c>
      <c r="FM9" s="28">
        <v>12.9131</v>
      </c>
      <c r="FN9" s="28">
        <v>12.806800000000001</v>
      </c>
      <c r="FO9" s="28">
        <v>13.3415</v>
      </c>
      <c r="FP9" s="28">
        <v>13.1294</v>
      </c>
      <c r="FQ9" s="28">
        <v>13.0067</v>
      </c>
      <c r="FR9" s="28">
        <v>13.110099999999999</v>
      </c>
      <c r="FS9" s="22">
        <v>3</v>
      </c>
      <c r="FV9" s="22">
        <v>3</v>
      </c>
      <c r="FW9" s="28">
        <v>13.9476</v>
      </c>
      <c r="FX9" s="28">
        <v>12.89</v>
      </c>
      <c r="FY9" s="28">
        <v>12.776400000000001</v>
      </c>
      <c r="FZ9" s="28">
        <v>12.8093</v>
      </c>
      <c r="GA9" s="28">
        <v>12.994199999999999</v>
      </c>
      <c r="GB9" s="28">
        <v>14.3047</v>
      </c>
      <c r="GC9" s="28">
        <v>13.4084</v>
      </c>
      <c r="GD9" s="28">
        <v>13.2867</v>
      </c>
      <c r="GE9" s="28">
        <v>13.417199999999999</v>
      </c>
      <c r="GF9" s="28">
        <v>12.8178</v>
      </c>
      <c r="GG9" s="28">
        <v>13.091100000000001</v>
      </c>
      <c r="GH9" s="28">
        <v>12.9617</v>
      </c>
      <c r="GI9" s="22">
        <v>3</v>
      </c>
      <c r="GL9" s="22">
        <v>3</v>
      </c>
      <c r="GM9" s="28">
        <v>12.3817</v>
      </c>
      <c r="GN9" s="28">
        <v>12.016999999999999</v>
      </c>
      <c r="GO9" s="28">
        <v>12.0929</v>
      </c>
      <c r="GP9" s="28">
        <v>11.9084</v>
      </c>
      <c r="GQ9" s="28">
        <v>11.527799999999999</v>
      </c>
      <c r="GR9" s="28">
        <v>11.627700000000001</v>
      </c>
      <c r="GS9" s="28">
        <v>11.723000000000001</v>
      </c>
      <c r="GT9" s="28">
        <v>11.7514</v>
      </c>
      <c r="GU9" s="28">
        <v>12.2616</v>
      </c>
      <c r="GV9" s="28">
        <v>13.4567</v>
      </c>
      <c r="GW9" s="28">
        <v>13.180199999999999</v>
      </c>
      <c r="GX9" s="28">
        <v>13.589399999999999</v>
      </c>
      <c r="GY9" s="22">
        <v>3</v>
      </c>
      <c r="HB9" s="22">
        <v>3</v>
      </c>
      <c r="HC9" s="28">
        <v>13.043699999999999</v>
      </c>
      <c r="HD9" s="28">
        <v>13.0098</v>
      </c>
      <c r="HE9" s="28">
        <v>12.7454</v>
      </c>
      <c r="HF9" s="28">
        <v>12.4145</v>
      </c>
      <c r="HG9" s="28">
        <v>12.246499999999999</v>
      </c>
      <c r="HH9" s="28">
        <v>12.901199999999999</v>
      </c>
      <c r="HI9" s="28">
        <v>13.032500000000001</v>
      </c>
      <c r="HJ9" s="28">
        <v>12.6455</v>
      </c>
      <c r="HK9" s="28">
        <v>13.053800000000001</v>
      </c>
      <c r="HL9" s="28">
        <v>12.5998</v>
      </c>
      <c r="HM9" s="28">
        <v>12.338699999999999</v>
      </c>
      <c r="HN9" s="28">
        <v>12.396699999999999</v>
      </c>
      <c r="HO9" s="22">
        <v>3</v>
      </c>
      <c r="HR9" s="22">
        <v>3</v>
      </c>
      <c r="HS9" s="28">
        <v>13.8325</v>
      </c>
      <c r="HT9" s="28">
        <v>14.1975</v>
      </c>
      <c r="HU9" s="28">
        <v>15.069800000000001</v>
      </c>
      <c r="HV9" s="28">
        <v>13.9108</v>
      </c>
      <c r="HW9" s="28">
        <v>13.6485</v>
      </c>
      <c r="HX9" s="28">
        <v>13.154999999999999</v>
      </c>
      <c r="HY9" s="28">
        <v>13.097200000000001</v>
      </c>
      <c r="HZ9" s="28">
        <v>13.222300000000001</v>
      </c>
      <c r="IA9" s="28">
        <v>13.5246</v>
      </c>
      <c r="IB9" s="28">
        <v>13.6242</v>
      </c>
      <c r="IC9" s="28">
        <v>13.0825</v>
      </c>
      <c r="ID9" s="28">
        <v>12.855700000000001</v>
      </c>
      <c r="IE9" s="22">
        <v>3</v>
      </c>
      <c r="IH9" s="22">
        <v>3</v>
      </c>
      <c r="II9" s="28">
        <v>10.915699999999999</v>
      </c>
      <c r="IJ9" s="28">
        <v>10.8262</v>
      </c>
      <c r="IK9" s="28">
        <v>10.6813</v>
      </c>
      <c r="IL9" s="28">
        <v>10.5985</v>
      </c>
      <c r="IM9" s="28">
        <v>10.509499999999999</v>
      </c>
      <c r="IN9" s="28">
        <v>10.3306</v>
      </c>
      <c r="IO9" s="28">
        <v>10.3908</v>
      </c>
      <c r="IP9" s="28">
        <v>10.035299999999999</v>
      </c>
      <c r="IQ9" s="28">
        <v>10.3423</v>
      </c>
      <c r="IR9" s="28">
        <v>10.9811</v>
      </c>
      <c r="IS9" s="28">
        <v>12.834199999999999</v>
      </c>
      <c r="IT9" s="28">
        <v>13.58</v>
      </c>
      <c r="IU9" s="22">
        <v>3</v>
      </c>
      <c r="IX9" s="22">
        <v>3</v>
      </c>
      <c r="IY9" s="28">
        <v>10.8116</v>
      </c>
      <c r="IZ9" s="28">
        <v>10.981999999999999</v>
      </c>
      <c r="JA9" s="28">
        <v>11.191700000000001</v>
      </c>
      <c r="JB9" s="28">
        <v>11.0322</v>
      </c>
      <c r="JC9" s="28">
        <v>10.9278</v>
      </c>
      <c r="JD9" s="28">
        <v>10.7445</v>
      </c>
      <c r="JE9" s="28">
        <v>10.794600000000001</v>
      </c>
      <c r="JF9" s="28">
        <v>10.9663</v>
      </c>
      <c r="JG9" s="28">
        <v>11.0848</v>
      </c>
      <c r="JH9" s="28">
        <v>10.9224</v>
      </c>
      <c r="JI9" s="28">
        <v>10.702299999999999</v>
      </c>
      <c r="JJ9" s="28">
        <v>10.941700000000001</v>
      </c>
      <c r="JK9" s="22">
        <v>3</v>
      </c>
      <c r="JN9" s="22">
        <v>3</v>
      </c>
      <c r="JO9" s="28">
        <v>10.634399999999999</v>
      </c>
      <c r="JP9" s="28">
        <v>10.430300000000001</v>
      </c>
      <c r="JQ9" s="28">
        <v>10.4673</v>
      </c>
      <c r="JR9" s="28">
        <v>10.922800000000001</v>
      </c>
      <c r="JS9" s="28">
        <v>11.090299999999999</v>
      </c>
      <c r="JT9" s="28">
        <v>11.2843</v>
      </c>
      <c r="JU9" s="28">
        <v>11.4009</v>
      </c>
      <c r="JV9" s="28">
        <v>11.020300000000001</v>
      </c>
      <c r="JW9" s="28">
        <v>10.903700000000001</v>
      </c>
      <c r="JX9" s="28">
        <v>10.993499999999999</v>
      </c>
      <c r="JY9" s="28">
        <v>10.763999999999999</v>
      </c>
      <c r="JZ9" s="28">
        <v>10.9983</v>
      </c>
      <c r="KA9" s="22">
        <v>3</v>
      </c>
      <c r="KD9" s="22">
        <v>3</v>
      </c>
      <c r="KE9" s="28">
        <v>11.218299999999999</v>
      </c>
      <c r="KF9" s="28">
        <v>11.1714</v>
      </c>
      <c r="KG9" s="28">
        <v>11.103999999999999</v>
      </c>
      <c r="KH9" s="28">
        <v>11.1783</v>
      </c>
      <c r="KI9" s="28">
        <v>11.0832</v>
      </c>
      <c r="KJ9" s="28">
        <v>10.844200000000001</v>
      </c>
      <c r="KK9" s="28">
        <v>10.7752</v>
      </c>
      <c r="KL9" s="28">
        <v>10.599399999999999</v>
      </c>
      <c r="KM9" s="28">
        <v>10.7234</v>
      </c>
      <c r="KN9" s="28">
        <v>10.8131</v>
      </c>
      <c r="KO9" s="28">
        <v>10.764699999999999</v>
      </c>
      <c r="KP9" s="28">
        <v>10.524699999999999</v>
      </c>
      <c r="KQ9" s="22">
        <v>3</v>
      </c>
      <c r="KT9" s="22">
        <v>3</v>
      </c>
      <c r="KU9" s="28">
        <v>11.2372</v>
      </c>
      <c r="KV9" s="28">
        <v>11.0214</v>
      </c>
      <c r="KW9" s="28">
        <v>10.9794</v>
      </c>
      <c r="KX9" s="28">
        <v>11.1828</v>
      </c>
      <c r="KY9" s="28">
        <v>11.4068</v>
      </c>
      <c r="KZ9" s="28">
        <v>11.484500000000001</v>
      </c>
      <c r="LA9" s="28">
        <v>11.4922</v>
      </c>
      <c r="LB9" s="28">
        <v>11.4079</v>
      </c>
      <c r="LC9" s="28">
        <v>11.4145</v>
      </c>
      <c r="LD9" s="28">
        <v>11.388400000000001</v>
      </c>
      <c r="LE9" s="28">
        <v>11.533099999999999</v>
      </c>
      <c r="LF9" s="28">
        <v>11.1713</v>
      </c>
      <c r="LG9" s="22">
        <v>3</v>
      </c>
      <c r="LJ9" s="22">
        <v>3</v>
      </c>
      <c r="LK9" s="28">
        <v>10.439299999999999</v>
      </c>
      <c r="LL9" s="28">
        <v>10.8636</v>
      </c>
      <c r="LM9" s="28">
        <v>11.033300000000001</v>
      </c>
      <c r="LN9" s="28">
        <v>10.7362</v>
      </c>
      <c r="LO9" s="28">
        <v>10.3</v>
      </c>
      <c r="LP9" s="28">
        <v>10.3377</v>
      </c>
      <c r="LQ9" s="28">
        <v>10.4495</v>
      </c>
      <c r="LR9" s="28">
        <v>10.5243</v>
      </c>
      <c r="LS9" s="28">
        <v>11.045999999999999</v>
      </c>
      <c r="LT9" s="28">
        <v>10.961399999999999</v>
      </c>
      <c r="LU9" s="28">
        <v>11.1058</v>
      </c>
      <c r="LV9" s="28">
        <v>11.378299999999999</v>
      </c>
      <c r="LW9" s="22">
        <v>3</v>
      </c>
      <c r="LZ9" s="22">
        <v>3</v>
      </c>
      <c r="MA9" s="28">
        <v>9.1694999999999993</v>
      </c>
      <c r="MB9" s="28">
        <v>9.1463000000000001</v>
      </c>
      <c r="MC9" s="28">
        <v>9.1303000000000001</v>
      </c>
      <c r="MD9" s="28">
        <v>9.0048999999999992</v>
      </c>
      <c r="ME9" s="28">
        <v>9.3719999999999999</v>
      </c>
      <c r="MF9" s="28">
        <v>9.7148000000000003</v>
      </c>
      <c r="MG9" s="28">
        <v>9.9283000000000001</v>
      </c>
      <c r="MH9" s="28">
        <v>9.8768999999999991</v>
      </c>
      <c r="MI9" s="28">
        <v>9.9108999999999998</v>
      </c>
      <c r="MJ9" s="28">
        <v>10.157299999999999</v>
      </c>
      <c r="MK9" s="28">
        <v>10.155200000000001</v>
      </c>
      <c r="ML9" s="28">
        <v>10.1465</v>
      </c>
      <c r="MM9" s="22">
        <v>3</v>
      </c>
      <c r="MP9" s="22">
        <v>3</v>
      </c>
      <c r="MQ9" s="28">
        <v>9.6097999999999999</v>
      </c>
      <c r="MR9" s="28">
        <v>9.7327999999999992</v>
      </c>
      <c r="MS9" s="28">
        <v>9.7051999999999996</v>
      </c>
      <c r="MT9" s="28">
        <v>9.4932999999999996</v>
      </c>
      <c r="MU9" s="28">
        <v>9.2537000000000003</v>
      </c>
      <c r="MV9" s="28">
        <v>9.1835000000000004</v>
      </c>
      <c r="MW9" s="28">
        <v>9.0708000000000002</v>
      </c>
      <c r="MX9" s="28">
        <v>9.2111000000000001</v>
      </c>
      <c r="MY9" s="28">
        <v>9.1692</v>
      </c>
      <c r="MZ9" s="28">
        <v>9.5037000000000003</v>
      </c>
      <c r="NA9" s="28">
        <v>9.2891999999999992</v>
      </c>
      <c r="NB9" s="28">
        <v>9.2814999999999994</v>
      </c>
      <c r="NC9" s="22">
        <v>3</v>
      </c>
      <c r="NF9" s="22">
        <v>3</v>
      </c>
      <c r="NG9" s="28">
        <v>9.5221999999999998</v>
      </c>
      <c r="NH9" s="28">
        <v>9.5955999999999992</v>
      </c>
      <c r="NI9" s="28">
        <v>9.3633000000000006</v>
      </c>
      <c r="NJ9" s="28">
        <v>9.3015000000000008</v>
      </c>
      <c r="NK9" s="28">
        <v>9.4126999999999992</v>
      </c>
      <c r="NL9" s="28">
        <v>9.4987999999999992</v>
      </c>
      <c r="NM9" s="28">
        <v>9.9002999999999997</v>
      </c>
      <c r="NN9" s="28">
        <v>9.3428000000000004</v>
      </c>
      <c r="NO9" s="28">
        <v>9.1995000000000005</v>
      </c>
      <c r="NP9" s="28">
        <v>9.4459</v>
      </c>
      <c r="NQ9" s="28">
        <v>9.5641999999999996</v>
      </c>
      <c r="NR9" s="28">
        <v>9.3972999999999995</v>
      </c>
      <c r="NS9" s="22">
        <v>3</v>
      </c>
      <c r="NV9" s="22">
        <v>3</v>
      </c>
      <c r="NW9" s="28">
        <v>9.9395000000000007</v>
      </c>
      <c r="NX9" s="28">
        <v>10.098599999999999</v>
      </c>
      <c r="NY9" s="28">
        <v>9.9071999999999996</v>
      </c>
      <c r="NZ9" s="28">
        <v>9.5375999999999994</v>
      </c>
      <c r="OA9" s="28">
        <v>9.2622</v>
      </c>
      <c r="OB9" s="28">
        <v>9.8155999999999999</v>
      </c>
      <c r="OC9" s="28">
        <v>9.3773</v>
      </c>
      <c r="OD9" s="28">
        <v>9.4009999999999998</v>
      </c>
      <c r="OE9" s="28">
        <v>9.3849999999999998</v>
      </c>
      <c r="OF9" s="28">
        <v>9.3483000000000001</v>
      </c>
      <c r="OG9" s="28">
        <v>9.625</v>
      </c>
      <c r="OH9" s="28">
        <v>9.4682999999999993</v>
      </c>
      <c r="OI9" s="22">
        <v>3</v>
      </c>
      <c r="OL9" s="22">
        <v>3</v>
      </c>
      <c r="OM9" s="28">
        <v>8.0680999999999994</v>
      </c>
      <c r="ON9" s="28">
        <v>8.4642999999999997</v>
      </c>
      <c r="OO9" s="28">
        <v>8.5252999999999997</v>
      </c>
      <c r="OP9" s="28">
        <v>8.5096000000000007</v>
      </c>
      <c r="OQ9" s="28">
        <v>8.5029000000000003</v>
      </c>
      <c r="OR9" s="28">
        <v>8.8983000000000008</v>
      </c>
      <c r="OS9" s="28">
        <v>8.9375</v>
      </c>
      <c r="OT9" s="28">
        <v>8.9008000000000003</v>
      </c>
      <c r="OU9" s="28">
        <v>9.9717000000000002</v>
      </c>
      <c r="OV9" s="28">
        <v>10.313700000000001</v>
      </c>
      <c r="OW9" s="28">
        <v>10.219799999999999</v>
      </c>
      <c r="OX9" s="28">
        <v>10.0318</v>
      </c>
      <c r="OY9" s="22">
        <v>3</v>
      </c>
      <c r="PB9" s="22">
        <v>3</v>
      </c>
      <c r="PC9" s="28">
        <v>7.8703000000000003</v>
      </c>
      <c r="PD9" s="28">
        <v>7.8409000000000004</v>
      </c>
      <c r="PE9" s="28">
        <v>7.8357999999999999</v>
      </c>
      <c r="PF9" s="28">
        <v>7.9116999999999997</v>
      </c>
      <c r="PG9" s="28">
        <v>7.9519000000000002</v>
      </c>
      <c r="PH9" s="28">
        <v>7.9166999999999996</v>
      </c>
      <c r="PI9" s="28">
        <v>7.9298000000000002</v>
      </c>
      <c r="PJ9" s="28">
        <v>7.8247999999999998</v>
      </c>
      <c r="PK9" s="28">
        <v>7.7853000000000003</v>
      </c>
      <c r="PL9" s="28">
        <v>7.7535999999999996</v>
      </c>
      <c r="PM9" s="28">
        <v>8.3432999999999993</v>
      </c>
      <c r="PN9" s="28">
        <v>8.1809999999999992</v>
      </c>
      <c r="PO9" s="22">
        <v>3</v>
      </c>
      <c r="PR9" s="22">
        <v>3</v>
      </c>
      <c r="PS9" s="28">
        <v>7.7396000000000003</v>
      </c>
      <c r="PT9" s="28">
        <v>7.4169999999999998</v>
      </c>
      <c r="PU9" s="28">
        <v>7.6295999999999999</v>
      </c>
      <c r="PV9" s="28">
        <v>7.5126999999999997</v>
      </c>
      <c r="PW9" s="28">
        <v>7.4462000000000002</v>
      </c>
      <c r="PX9" s="28">
        <v>7.4367000000000001</v>
      </c>
      <c r="PY9" s="28">
        <v>7.6215000000000002</v>
      </c>
      <c r="PZ9" s="28">
        <v>7.5709</v>
      </c>
      <c r="QA9" s="28">
        <v>7.5831</v>
      </c>
      <c r="QB9" s="28">
        <v>7.5316999999999998</v>
      </c>
      <c r="QC9" s="28">
        <v>8.0478000000000005</v>
      </c>
      <c r="QD9" s="28">
        <v>7.8929999999999998</v>
      </c>
      <c r="QE9" s="22">
        <v>3</v>
      </c>
      <c r="QH9" s="22">
        <v>3</v>
      </c>
      <c r="QI9" s="28">
        <v>4.9950000000000001</v>
      </c>
      <c r="QJ9" s="28">
        <v>5.5125000000000002</v>
      </c>
      <c r="QK9" s="28">
        <v>5.9775</v>
      </c>
      <c r="QL9" s="28">
        <v>6.78</v>
      </c>
      <c r="QM9" s="28">
        <v>6.0517000000000003</v>
      </c>
      <c r="QN9" s="28">
        <v>6.2167000000000003</v>
      </c>
      <c r="QO9" s="28">
        <v>6.2621000000000002</v>
      </c>
      <c r="QP9" s="28">
        <v>6.1295999999999999</v>
      </c>
      <c r="QQ9" s="28">
        <v>6.28</v>
      </c>
      <c r="QR9" s="28">
        <v>6.3848000000000003</v>
      </c>
      <c r="QS9" s="28">
        <v>7.1471</v>
      </c>
      <c r="QT9" s="28">
        <v>7.5467000000000004</v>
      </c>
      <c r="QU9" s="22">
        <v>3</v>
      </c>
      <c r="QX9" s="22">
        <v>3</v>
      </c>
      <c r="QY9" s="28">
        <v>3.1099000000000001</v>
      </c>
      <c r="QZ9" s="28">
        <v>3.105</v>
      </c>
      <c r="RA9" s="28">
        <v>3.1943999999999999</v>
      </c>
      <c r="RB9" s="28">
        <v>3.35</v>
      </c>
      <c r="RC9" s="28">
        <v>3.2747999999999999</v>
      </c>
      <c r="RD9" s="28">
        <v>3.3269000000000002</v>
      </c>
      <c r="RE9" s="28">
        <v>3.3938000000000001</v>
      </c>
      <c r="RF9" s="28">
        <v>3.3988999999999998</v>
      </c>
      <c r="RG9" s="28">
        <v>3.3908</v>
      </c>
      <c r="RH9" s="28">
        <v>3.3980000000000001</v>
      </c>
      <c r="RI9" s="28">
        <v>3.4359999999999999</v>
      </c>
      <c r="RJ9" s="28">
        <v>3.4386000000000001</v>
      </c>
      <c r="RK9" s="22">
        <v>3</v>
      </c>
      <c r="RN9" s="22">
        <v>3</v>
      </c>
      <c r="RO9" s="28">
        <v>3.1230000000000002</v>
      </c>
      <c r="RP9" s="28">
        <v>3.1019000000000001</v>
      </c>
      <c r="RQ9" s="28">
        <v>3.0939000000000001</v>
      </c>
      <c r="RR9" s="28">
        <v>3.0939999999999999</v>
      </c>
      <c r="RS9" s="28">
        <v>3.1152000000000002</v>
      </c>
      <c r="RT9" s="28">
        <v>3.1263999999999998</v>
      </c>
      <c r="RU9" s="28">
        <v>3.1292</v>
      </c>
      <c r="RV9" s="28">
        <v>3.1179000000000001</v>
      </c>
      <c r="RW9" s="28">
        <v>3.1137000000000001</v>
      </c>
      <c r="RX9" s="28">
        <v>3.1179000000000001</v>
      </c>
      <c r="RY9" s="28">
        <v>3.1293000000000002</v>
      </c>
      <c r="RZ9" s="28">
        <v>3.1034000000000002</v>
      </c>
      <c r="SA9" s="22">
        <v>3</v>
      </c>
      <c r="SD9" s="22">
        <v>3</v>
      </c>
      <c r="SE9" s="28">
        <v>3.0779999999999998</v>
      </c>
      <c r="SF9" s="28">
        <v>3.0684999999999998</v>
      </c>
      <c r="SG9" s="28">
        <v>3.0609000000000002</v>
      </c>
      <c r="SH9" s="28">
        <v>3.0609000000000002</v>
      </c>
      <c r="SI9" s="28">
        <v>3.0794000000000001</v>
      </c>
      <c r="SJ9" s="28">
        <v>3.1105999999999998</v>
      </c>
      <c r="SK9" s="28">
        <v>3.1223999999999998</v>
      </c>
      <c r="SL9" s="28">
        <v>3.1113</v>
      </c>
      <c r="SM9" s="28">
        <v>3.0714999999999999</v>
      </c>
      <c r="SN9" s="28">
        <v>3.1110000000000002</v>
      </c>
      <c r="SO9" s="28">
        <v>3.1309</v>
      </c>
      <c r="SP9" s="28">
        <v>3.117</v>
      </c>
      <c r="SQ9" s="22">
        <v>3</v>
      </c>
      <c r="ST9" s="22">
        <v>3</v>
      </c>
      <c r="SU9" s="28">
        <v>2.9470000000000001</v>
      </c>
      <c r="SV9" s="28">
        <v>2.9590000000000001</v>
      </c>
      <c r="SW9" s="28">
        <v>2.9702000000000002</v>
      </c>
      <c r="SX9" s="28">
        <v>2.9830000000000001</v>
      </c>
      <c r="SY9" s="28">
        <v>2.9950000000000001</v>
      </c>
      <c r="SZ9" s="28">
        <v>3.0066000000000002</v>
      </c>
      <c r="TA9" s="28">
        <v>3.0194000000000001</v>
      </c>
      <c r="TB9" s="28">
        <v>3.0318000000000001</v>
      </c>
      <c r="TC9" s="28">
        <v>3.0434000000000001</v>
      </c>
      <c r="TD9" s="28">
        <v>3.0569999999999999</v>
      </c>
      <c r="TE9" s="28">
        <v>3.069</v>
      </c>
      <c r="TF9" s="28">
        <v>3.0671900000000001</v>
      </c>
      <c r="TG9" s="22">
        <v>3</v>
      </c>
      <c r="TJ9" s="22">
        <v>3</v>
      </c>
      <c r="TK9" s="28">
        <v>2.645</v>
      </c>
      <c r="TL9" s="28">
        <v>2.6760000000000002</v>
      </c>
      <c r="TM9" s="28">
        <v>2.7040000000000002</v>
      </c>
      <c r="TN9" s="28">
        <v>2.7330000000000001</v>
      </c>
      <c r="TO9" s="28">
        <v>2.7650000000000001</v>
      </c>
      <c r="TP9" s="28">
        <v>2.7946</v>
      </c>
      <c r="TQ9" s="28">
        <v>2.8178000000000001</v>
      </c>
      <c r="TR9" s="28">
        <v>2.8441999999999998</v>
      </c>
      <c r="TS9" s="28">
        <v>2.8673999999999999</v>
      </c>
      <c r="TT9" s="28">
        <v>2.8929999999999998</v>
      </c>
      <c r="TU9" s="28">
        <v>2.9178000000000002</v>
      </c>
      <c r="TV9" s="28">
        <v>2.9338000000000002</v>
      </c>
      <c r="TW9" s="22">
        <v>3</v>
      </c>
      <c r="TZ9" s="22">
        <v>3</v>
      </c>
      <c r="UA9" s="28">
        <v>2.278</v>
      </c>
      <c r="UB9" s="28">
        <v>2.3109999999999999</v>
      </c>
      <c r="UC9" s="28">
        <v>2.339</v>
      </c>
      <c r="UD9" s="28">
        <v>2.3679999999999999</v>
      </c>
      <c r="UE9" s="28">
        <v>2.4</v>
      </c>
      <c r="UF9" s="28">
        <v>2.431</v>
      </c>
      <c r="UG9" s="28">
        <v>2.4590000000000001</v>
      </c>
      <c r="UH9" s="28">
        <v>2.492</v>
      </c>
      <c r="UI9" s="28">
        <v>2.5219999999999998</v>
      </c>
      <c r="UJ9" s="28">
        <v>2.5510000000000002</v>
      </c>
      <c r="UK9" s="28">
        <v>2.5840000000000001</v>
      </c>
      <c r="UL9" s="28">
        <v>2.613</v>
      </c>
      <c r="UM9" s="22">
        <v>3</v>
      </c>
    </row>
    <row r="10" spans="2:559" s="7" customFormat="1" ht="19.2">
      <c r="B10" s="22">
        <v>4</v>
      </c>
      <c r="C10" s="28">
        <v>19.488299999999999</v>
      </c>
      <c r="D10" s="28">
        <v>18.623200000000001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2">
        <v>4</v>
      </c>
      <c r="R10" s="22">
        <v>4</v>
      </c>
      <c r="S10" s="28">
        <v>20.467199999999998</v>
      </c>
      <c r="T10" s="28">
        <v>20.600300000000001</v>
      </c>
      <c r="U10" s="28">
        <v>20.7193</v>
      </c>
      <c r="V10" s="28">
        <v>19.911200000000001</v>
      </c>
      <c r="W10" s="28">
        <v>20.407499999999999</v>
      </c>
      <c r="X10" s="28">
        <v>19.558499999999999</v>
      </c>
      <c r="Y10" s="28">
        <v>20.133500000000002</v>
      </c>
      <c r="Z10" s="28">
        <v>20.5152</v>
      </c>
      <c r="AA10" s="28">
        <v>20.247299999999999</v>
      </c>
      <c r="AB10" s="28">
        <v>20.092500000000001</v>
      </c>
      <c r="AC10" s="28">
        <v>19.746300000000002</v>
      </c>
      <c r="AD10" s="28">
        <v>19.1433</v>
      </c>
      <c r="AE10" s="22">
        <v>4</v>
      </c>
      <c r="AH10" s="22">
        <v>4</v>
      </c>
      <c r="AI10" s="28">
        <v>19.935199999999998</v>
      </c>
      <c r="AJ10" s="28">
        <v>20.1722</v>
      </c>
      <c r="AK10" s="28">
        <v>20.690300000000001</v>
      </c>
      <c r="AL10" s="28">
        <v>20.602499999999999</v>
      </c>
      <c r="AM10" s="28">
        <v>20.182200000000002</v>
      </c>
      <c r="AN10" s="28">
        <v>19.927700000000002</v>
      </c>
      <c r="AO10" s="28">
        <v>20.036799999999999</v>
      </c>
      <c r="AP10" s="28">
        <v>19.852</v>
      </c>
      <c r="AQ10" s="28">
        <v>19.970300000000002</v>
      </c>
      <c r="AR10" s="28">
        <v>20.5623</v>
      </c>
      <c r="AS10" s="28">
        <v>20.8598</v>
      </c>
      <c r="AT10" s="28">
        <v>21.3033</v>
      </c>
      <c r="AU10" s="22">
        <v>4</v>
      </c>
      <c r="AV10" s="8"/>
      <c r="AW10" s="8"/>
      <c r="AX10" s="22">
        <v>4</v>
      </c>
      <c r="AY10" s="28">
        <v>18.881699999999999</v>
      </c>
      <c r="AZ10" s="28">
        <v>18.785299999999999</v>
      </c>
      <c r="BA10" s="28">
        <v>19.698499999999999</v>
      </c>
      <c r="BB10" s="28">
        <v>24.108699999999999</v>
      </c>
      <c r="BC10" s="28">
        <v>24.0002</v>
      </c>
      <c r="BD10" s="28">
        <v>21.682700000000001</v>
      </c>
      <c r="BE10" s="28">
        <v>22.522500000000001</v>
      </c>
      <c r="BF10" s="28">
        <v>22.2012</v>
      </c>
      <c r="BG10" s="28">
        <v>21.839300000000001</v>
      </c>
      <c r="BH10" s="28">
        <v>21.956199999999999</v>
      </c>
      <c r="BI10" s="28">
        <v>21.250800000000002</v>
      </c>
      <c r="BJ10" s="28">
        <v>20.049700000000001</v>
      </c>
      <c r="BK10" s="22">
        <v>4</v>
      </c>
      <c r="BN10" s="22">
        <v>4</v>
      </c>
      <c r="BO10" s="28">
        <v>19.587800000000001</v>
      </c>
      <c r="BP10" s="28">
        <v>19.038799999999998</v>
      </c>
      <c r="BQ10" s="28">
        <v>19.2607</v>
      </c>
      <c r="BR10" s="28">
        <v>19.227900000000002</v>
      </c>
      <c r="BS10" s="28">
        <v>19.101400000000002</v>
      </c>
      <c r="BT10" s="28">
        <v>19.642600000000002</v>
      </c>
      <c r="BU10" s="28">
        <v>19.069400000000002</v>
      </c>
      <c r="BV10" s="28">
        <v>19.162700000000001</v>
      </c>
      <c r="BW10" s="28">
        <v>20.125299999999999</v>
      </c>
      <c r="BX10" s="28">
        <v>19.798500000000001</v>
      </c>
      <c r="BY10" s="28">
        <v>19.194800000000001</v>
      </c>
      <c r="BZ10" s="28">
        <v>19.5717</v>
      </c>
      <c r="CA10" s="22">
        <v>4</v>
      </c>
      <c r="CD10" s="22">
        <v>4</v>
      </c>
      <c r="CE10" s="28">
        <v>19.489899999999999</v>
      </c>
      <c r="CF10" s="28">
        <v>18.400400000000001</v>
      </c>
      <c r="CG10" s="29">
        <v>18.861000000000001</v>
      </c>
      <c r="CH10" s="28">
        <v>18.296700000000001</v>
      </c>
      <c r="CI10" s="28">
        <v>19.0943</v>
      </c>
      <c r="CJ10" s="28">
        <v>19.975899999999999</v>
      </c>
      <c r="CK10" s="28">
        <v>20.145299999999999</v>
      </c>
      <c r="CL10" s="28">
        <v>18.634899999999998</v>
      </c>
      <c r="CM10" s="28">
        <v>19.179200000000002</v>
      </c>
      <c r="CN10" s="28">
        <v>18.750299999999999</v>
      </c>
      <c r="CO10" s="28">
        <v>20.317699999999999</v>
      </c>
      <c r="CP10" s="28">
        <v>20.345500000000001</v>
      </c>
      <c r="CQ10" s="22">
        <v>4</v>
      </c>
      <c r="CT10" s="22">
        <v>4</v>
      </c>
      <c r="CU10" s="28">
        <v>20.732299999999999</v>
      </c>
      <c r="CV10" s="28">
        <v>20.575700000000001</v>
      </c>
      <c r="CW10" s="28">
        <v>19.9373</v>
      </c>
      <c r="CX10" s="28">
        <v>18.795500000000001</v>
      </c>
      <c r="CY10" s="28">
        <v>18.773099999999999</v>
      </c>
      <c r="CZ10" s="28">
        <v>18.594100000000001</v>
      </c>
      <c r="DA10" s="28">
        <v>18.0626</v>
      </c>
      <c r="DB10" s="28">
        <v>17.869599999999998</v>
      </c>
      <c r="DC10" s="28">
        <v>17.814499999999999</v>
      </c>
      <c r="DD10" s="28">
        <v>18.233699999999999</v>
      </c>
      <c r="DE10" s="28">
        <v>19.124099999999999</v>
      </c>
      <c r="DF10" s="28">
        <v>18.622900000000001</v>
      </c>
      <c r="DG10" s="22">
        <v>4</v>
      </c>
      <c r="DJ10" s="22">
        <v>4</v>
      </c>
      <c r="DK10" s="28">
        <v>17.3398</v>
      </c>
      <c r="DL10" s="28">
        <v>18.490200000000002</v>
      </c>
      <c r="DM10" s="28">
        <v>17.856100000000001</v>
      </c>
      <c r="DN10" s="28">
        <v>17.236999999999998</v>
      </c>
      <c r="DO10" s="28">
        <v>17.227900000000002</v>
      </c>
      <c r="DP10" s="28">
        <v>18.6097</v>
      </c>
      <c r="DQ10" s="28">
        <v>18.464600000000001</v>
      </c>
      <c r="DR10" s="28">
        <v>18.896599999999999</v>
      </c>
      <c r="DS10" s="28">
        <v>18.8523</v>
      </c>
      <c r="DT10" s="28">
        <v>19.377600000000001</v>
      </c>
      <c r="DU10" s="28">
        <v>19.130600000000001</v>
      </c>
      <c r="DV10" s="28">
        <v>20.748799999999999</v>
      </c>
      <c r="DW10" s="22">
        <v>4</v>
      </c>
      <c r="DZ10" s="22">
        <v>4</v>
      </c>
      <c r="EA10" s="28">
        <v>14.741400000000001</v>
      </c>
      <c r="EB10" s="28">
        <v>14.9885</v>
      </c>
      <c r="EC10" s="28">
        <v>14.9862</v>
      </c>
      <c r="ED10" s="28">
        <v>15.264699999999999</v>
      </c>
      <c r="EE10" s="28">
        <v>15.2043</v>
      </c>
      <c r="EF10" s="28">
        <v>15.412800000000001</v>
      </c>
      <c r="EG10" s="28">
        <v>15.7829</v>
      </c>
      <c r="EH10" s="28">
        <v>16.077200000000001</v>
      </c>
      <c r="EI10" s="28">
        <v>16.944400000000002</v>
      </c>
      <c r="EJ10" s="28">
        <v>16.9053</v>
      </c>
      <c r="EK10" s="28">
        <v>16.5244</v>
      </c>
      <c r="EL10" s="28">
        <v>16.593299999999999</v>
      </c>
      <c r="EM10" s="22">
        <v>4</v>
      </c>
      <c r="EP10" s="22">
        <v>4</v>
      </c>
      <c r="EQ10" s="28">
        <v>13.101100000000001</v>
      </c>
      <c r="ER10" s="28">
        <v>13.3207</v>
      </c>
      <c r="ES10" s="28">
        <v>13.2379</v>
      </c>
      <c r="ET10" s="28">
        <v>13.0991</v>
      </c>
      <c r="EU10" s="28">
        <v>13.0901</v>
      </c>
      <c r="EV10" s="28">
        <v>12.9108</v>
      </c>
      <c r="EW10" s="28">
        <v>12.9673</v>
      </c>
      <c r="EX10" s="28">
        <v>13.226900000000001</v>
      </c>
      <c r="EY10" s="28">
        <v>13.129899999999999</v>
      </c>
      <c r="EZ10" s="28">
        <v>13.4026</v>
      </c>
      <c r="FA10" s="28">
        <v>13.4773</v>
      </c>
      <c r="FB10" s="28">
        <v>14.076000000000001</v>
      </c>
      <c r="FC10" s="22">
        <v>4</v>
      </c>
      <c r="FF10" s="22">
        <v>4</v>
      </c>
      <c r="FG10" s="28">
        <v>12.748799999999999</v>
      </c>
      <c r="FH10" s="28">
        <v>12.7094</v>
      </c>
      <c r="FI10" s="28">
        <v>12.779500000000001</v>
      </c>
      <c r="FJ10" s="28">
        <v>12.2728</v>
      </c>
      <c r="FK10" s="28">
        <v>12.175599999999999</v>
      </c>
      <c r="FL10" s="28">
        <v>12.8035</v>
      </c>
      <c r="FM10" s="28">
        <v>12.984999999999999</v>
      </c>
      <c r="FN10" s="28">
        <v>12.806800000000001</v>
      </c>
      <c r="FO10" s="28">
        <v>13.307</v>
      </c>
      <c r="FP10" s="28">
        <v>13.1593</v>
      </c>
      <c r="FQ10" s="28">
        <v>13.0067</v>
      </c>
      <c r="FR10" s="28">
        <v>13.2041</v>
      </c>
      <c r="FS10" s="22">
        <v>4</v>
      </c>
      <c r="FV10" s="22">
        <v>4</v>
      </c>
      <c r="FW10" s="28">
        <v>13.934200000000001</v>
      </c>
      <c r="FX10" s="28">
        <v>12.803800000000001</v>
      </c>
      <c r="FY10" s="28">
        <v>12.776400000000001</v>
      </c>
      <c r="FZ10" s="28">
        <v>12.7691</v>
      </c>
      <c r="GA10" s="28">
        <v>12.962899999999999</v>
      </c>
      <c r="GB10" s="28">
        <v>14.3047</v>
      </c>
      <c r="GC10" s="28">
        <v>13.397</v>
      </c>
      <c r="GD10" s="28">
        <v>13.3927</v>
      </c>
      <c r="GE10" s="28">
        <v>13.257099999999999</v>
      </c>
      <c r="GF10" s="28">
        <v>12.8375</v>
      </c>
      <c r="GG10" s="28">
        <v>13.091100000000001</v>
      </c>
      <c r="GH10" s="28">
        <v>12.9268</v>
      </c>
      <c r="GI10" s="22">
        <v>4</v>
      </c>
      <c r="GL10" s="22">
        <v>4</v>
      </c>
      <c r="GM10" s="28">
        <v>12.349600000000001</v>
      </c>
      <c r="GN10" s="28">
        <v>12.019</v>
      </c>
      <c r="GO10" s="28">
        <v>12.098100000000001</v>
      </c>
      <c r="GP10" s="28">
        <v>11.9084</v>
      </c>
      <c r="GQ10" s="28">
        <v>11.5023</v>
      </c>
      <c r="GR10" s="28">
        <v>11.6739</v>
      </c>
      <c r="GS10" s="28">
        <v>11.723000000000001</v>
      </c>
      <c r="GT10" s="28">
        <v>11.765700000000001</v>
      </c>
      <c r="GU10" s="28">
        <v>12.2616</v>
      </c>
      <c r="GV10" s="28">
        <v>13.7994</v>
      </c>
      <c r="GW10" s="28">
        <v>13.6282</v>
      </c>
      <c r="GX10" s="28">
        <v>13.589399999999999</v>
      </c>
      <c r="GY10" s="22">
        <v>4</v>
      </c>
      <c r="HB10" s="22">
        <v>4</v>
      </c>
      <c r="HC10" s="28">
        <v>13.043699999999999</v>
      </c>
      <c r="HD10" s="28">
        <v>12.869899999999999</v>
      </c>
      <c r="HE10" s="28">
        <v>12.725899999999999</v>
      </c>
      <c r="HF10" s="28">
        <v>12.4145</v>
      </c>
      <c r="HG10" s="28">
        <v>12.262600000000001</v>
      </c>
      <c r="HH10" s="28">
        <v>12.862500000000001</v>
      </c>
      <c r="HI10" s="28">
        <v>13.032500000000001</v>
      </c>
      <c r="HJ10" s="28">
        <v>12.572800000000001</v>
      </c>
      <c r="HK10" s="28">
        <v>13.055</v>
      </c>
      <c r="HL10" s="28">
        <v>12.5998</v>
      </c>
      <c r="HM10" s="28">
        <v>12.3452</v>
      </c>
      <c r="HN10" s="28">
        <v>12.3546</v>
      </c>
      <c r="HO10" s="22">
        <v>4</v>
      </c>
      <c r="HR10" s="22">
        <v>4</v>
      </c>
      <c r="HS10" s="28">
        <v>13.8325</v>
      </c>
      <c r="HT10" s="28">
        <v>14.309699999999999</v>
      </c>
      <c r="HU10" s="28">
        <v>15.365</v>
      </c>
      <c r="HV10" s="28">
        <v>13.792400000000001</v>
      </c>
      <c r="HW10" s="28">
        <v>13.6485</v>
      </c>
      <c r="HX10" s="28">
        <v>13.260899999999999</v>
      </c>
      <c r="HY10" s="28">
        <v>13.169499999999999</v>
      </c>
      <c r="HZ10" s="28">
        <v>13.2125</v>
      </c>
      <c r="IA10" s="28">
        <v>13.6427</v>
      </c>
      <c r="IB10" s="28">
        <v>13.6242</v>
      </c>
      <c r="IC10" s="28">
        <v>13.1479</v>
      </c>
      <c r="ID10" s="28">
        <v>12.8026</v>
      </c>
      <c r="IE10" s="22">
        <v>4</v>
      </c>
      <c r="IH10" s="22">
        <v>4</v>
      </c>
      <c r="II10" s="28">
        <v>10.8972</v>
      </c>
      <c r="IJ10" s="28">
        <v>10.8262</v>
      </c>
      <c r="IK10" s="28">
        <v>10.724299999999999</v>
      </c>
      <c r="IL10" s="28">
        <v>10.5557</v>
      </c>
      <c r="IM10" s="28">
        <v>10.509499999999999</v>
      </c>
      <c r="IN10" s="28">
        <v>10.341699999999999</v>
      </c>
      <c r="IO10" s="28">
        <v>10.372199999999999</v>
      </c>
      <c r="IP10" s="28">
        <v>10.035299999999999</v>
      </c>
      <c r="IQ10" s="28">
        <v>10.3781</v>
      </c>
      <c r="IR10" s="28">
        <v>11.1296</v>
      </c>
      <c r="IS10" s="28">
        <v>12.7125</v>
      </c>
      <c r="IT10" s="28">
        <v>13.53</v>
      </c>
      <c r="IU10" s="22">
        <v>4</v>
      </c>
      <c r="IX10" s="22">
        <v>4</v>
      </c>
      <c r="IY10" s="28">
        <v>10.781499999999999</v>
      </c>
      <c r="IZ10" s="28">
        <v>10.981999999999999</v>
      </c>
      <c r="JA10" s="28">
        <v>11.191700000000001</v>
      </c>
      <c r="JB10" s="28">
        <v>11.0336</v>
      </c>
      <c r="JC10" s="28">
        <v>10.9262</v>
      </c>
      <c r="JD10" s="28">
        <v>10.7445</v>
      </c>
      <c r="JE10" s="28">
        <v>10.7697</v>
      </c>
      <c r="JF10" s="28">
        <v>10.940200000000001</v>
      </c>
      <c r="JG10" s="28">
        <v>11.037800000000001</v>
      </c>
      <c r="JH10" s="28">
        <v>10.920999999999999</v>
      </c>
      <c r="JI10" s="28">
        <v>10.702299999999999</v>
      </c>
      <c r="JJ10" s="28">
        <v>10.896800000000001</v>
      </c>
      <c r="JK10" s="22">
        <v>4</v>
      </c>
      <c r="JN10" s="22">
        <v>4</v>
      </c>
      <c r="JO10" s="28">
        <v>10.625299999999999</v>
      </c>
      <c r="JP10" s="28">
        <v>10.480499999999999</v>
      </c>
      <c r="JQ10" s="28">
        <v>10.5113</v>
      </c>
      <c r="JR10" s="28">
        <v>10.8935</v>
      </c>
      <c r="JS10" s="28">
        <v>11.032299999999999</v>
      </c>
      <c r="JT10" s="28">
        <v>11.2843</v>
      </c>
      <c r="JU10" s="28">
        <v>11.2723</v>
      </c>
      <c r="JV10" s="28">
        <v>10.9537</v>
      </c>
      <c r="JW10" s="28">
        <v>10.903700000000001</v>
      </c>
      <c r="JX10" s="28">
        <v>10.9733</v>
      </c>
      <c r="JY10" s="28">
        <v>10.744899999999999</v>
      </c>
      <c r="JZ10" s="28">
        <v>10.9983</v>
      </c>
      <c r="KA10" s="22">
        <v>4</v>
      </c>
      <c r="KD10" s="22">
        <v>4</v>
      </c>
      <c r="KE10" s="28">
        <v>11.1495</v>
      </c>
      <c r="KF10" s="28">
        <v>11.167</v>
      </c>
      <c r="KG10" s="28">
        <v>11.1073</v>
      </c>
      <c r="KH10" s="28">
        <v>11.1783</v>
      </c>
      <c r="KI10" s="28">
        <v>11.027100000000001</v>
      </c>
      <c r="KJ10" s="28">
        <v>10.814399999999999</v>
      </c>
      <c r="KK10" s="28">
        <v>10.7752</v>
      </c>
      <c r="KL10" s="28">
        <v>10.5968</v>
      </c>
      <c r="KM10" s="28">
        <v>10.7234</v>
      </c>
      <c r="KN10" s="28">
        <v>10.790699999999999</v>
      </c>
      <c r="KO10" s="28">
        <v>10.7613</v>
      </c>
      <c r="KP10" s="28">
        <v>10.524699999999999</v>
      </c>
      <c r="KQ10" s="22">
        <v>4</v>
      </c>
      <c r="KT10" s="22">
        <v>4</v>
      </c>
      <c r="KU10" s="28">
        <v>11.2372</v>
      </c>
      <c r="KV10" s="28">
        <v>10.954499999999999</v>
      </c>
      <c r="KW10" s="28">
        <v>10.962300000000001</v>
      </c>
      <c r="KX10" s="28">
        <v>11.1828</v>
      </c>
      <c r="KY10" s="28">
        <v>11.4093</v>
      </c>
      <c r="KZ10" s="28">
        <v>11.426500000000001</v>
      </c>
      <c r="LA10" s="28">
        <v>11.4922</v>
      </c>
      <c r="LB10" s="28">
        <v>11.4253</v>
      </c>
      <c r="LC10" s="28">
        <v>11.4725</v>
      </c>
      <c r="LD10" s="28">
        <v>11.388400000000001</v>
      </c>
      <c r="LE10" s="28">
        <v>11.499700000000001</v>
      </c>
      <c r="LF10" s="28">
        <v>11.145300000000001</v>
      </c>
      <c r="LG10" s="22">
        <v>4</v>
      </c>
      <c r="LJ10" s="22">
        <v>4</v>
      </c>
      <c r="LK10" s="28">
        <v>10.3626</v>
      </c>
      <c r="LL10" s="28">
        <v>10.9069</v>
      </c>
      <c r="LM10" s="28">
        <v>11.032400000000001</v>
      </c>
      <c r="LN10" s="28">
        <v>10.6676</v>
      </c>
      <c r="LO10" s="28">
        <v>10.3</v>
      </c>
      <c r="LP10" s="28">
        <v>10.2402</v>
      </c>
      <c r="LQ10" s="28">
        <v>10.4779</v>
      </c>
      <c r="LR10" s="28">
        <v>10.5243</v>
      </c>
      <c r="LS10" s="28">
        <v>11.0313</v>
      </c>
      <c r="LT10" s="28">
        <v>11.160299999999999</v>
      </c>
      <c r="LU10" s="28">
        <v>11.0525</v>
      </c>
      <c r="LV10" s="28">
        <v>11.3535</v>
      </c>
      <c r="LW10" s="22">
        <v>4</v>
      </c>
      <c r="LZ10" s="22">
        <v>4</v>
      </c>
      <c r="MA10" s="28">
        <v>9.1036999999999999</v>
      </c>
      <c r="MB10" s="28">
        <v>9.1463000000000001</v>
      </c>
      <c r="MC10" s="28">
        <v>9.1303000000000001</v>
      </c>
      <c r="MD10" s="28">
        <v>8.9979999999999993</v>
      </c>
      <c r="ME10" s="28">
        <v>9.4169999999999998</v>
      </c>
      <c r="MF10" s="28">
        <v>9.6562000000000001</v>
      </c>
      <c r="MG10" s="28">
        <v>9.9611999999999998</v>
      </c>
      <c r="MH10" s="28">
        <v>9.8768999999999991</v>
      </c>
      <c r="MI10" s="28">
        <v>9.9186999999999994</v>
      </c>
      <c r="MJ10" s="28">
        <v>10.1248</v>
      </c>
      <c r="MK10" s="28">
        <v>10.155200000000001</v>
      </c>
      <c r="ML10" s="28">
        <v>10.1036</v>
      </c>
      <c r="MM10" s="22">
        <v>4</v>
      </c>
      <c r="MP10" s="22">
        <v>4</v>
      </c>
      <c r="MQ10" s="28">
        <v>9.7140000000000004</v>
      </c>
      <c r="MR10" s="28">
        <v>9.7327999999999992</v>
      </c>
      <c r="MS10" s="28">
        <v>9.7051999999999996</v>
      </c>
      <c r="MT10" s="28">
        <v>9.4152000000000005</v>
      </c>
      <c r="MU10" s="28">
        <v>9.2829999999999995</v>
      </c>
      <c r="MV10" s="28">
        <v>9.1835000000000004</v>
      </c>
      <c r="MW10" s="28">
        <v>9.0221</v>
      </c>
      <c r="MX10" s="28">
        <v>9.1698000000000004</v>
      </c>
      <c r="MY10" s="28">
        <v>9.1999999999999993</v>
      </c>
      <c r="MZ10" s="28">
        <v>9.5216999999999992</v>
      </c>
      <c r="NA10" s="28">
        <v>9.2891999999999992</v>
      </c>
      <c r="NB10" s="28">
        <v>9.2681000000000004</v>
      </c>
      <c r="NC10" s="22">
        <v>4</v>
      </c>
      <c r="NF10" s="22">
        <v>4</v>
      </c>
      <c r="NG10" s="28">
        <v>9.4985999999999997</v>
      </c>
      <c r="NH10" s="28">
        <v>9.5724</v>
      </c>
      <c r="NI10" s="28">
        <v>9.3382000000000005</v>
      </c>
      <c r="NJ10" s="28">
        <v>9.2844999999999995</v>
      </c>
      <c r="NK10" s="28">
        <v>9.3374000000000006</v>
      </c>
      <c r="NL10" s="28">
        <v>9.4987999999999992</v>
      </c>
      <c r="NM10" s="28">
        <v>9.8242999999999991</v>
      </c>
      <c r="NN10" s="28">
        <v>9.3461999999999996</v>
      </c>
      <c r="NO10" s="28">
        <v>9.1995000000000005</v>
      </c>
      <c r="NP10" s="28">
        <v>9.4141999999999992</v>
      </c>
      <c r="NQ10" s="28">
        <v>9.5823999999999998</v>
      </c>
      <c r="NR10" s="28">
        <v>9.3972999999999995</v>
      </c>
      <c r="NS10" s="22">
        <v>4</v>
      </c>
      <c r="NV10" s="22">
        <v>4</v>
      </c>
      <c r="NW10" s="28">
        <v>9.9395000000000007</v>
      </c>
      <c r="NX10" s="28">
        <v>10.0823</v>
      </c>
      <c r="NY10" s="28">
        <v>9.9527999999999999</v>
      </c>
      <c r="NZ10" s="28">
        <v>9.5375999999999994</v>
      </c>
      <c r="OA10" s="28">
        <v>9.2446999999999999</v>
      </c>
      <c r="OB10" s="28">
        <v>9.7652999999999999</v>
      </c>
      <c r="OC10" s="28">
        <v>9.3773</v>
      </c>
      <c r="OD10" s="28">
        <v>9.4057999999999993</v>
      </c>
      <c r="OE10" s="28">
        <v>9.3739000000000008</v>
      </c>
      <c r="OF10" s="28">
        <v>9.3483000000000001</v>
      </c>
      <c r="OG10" s="28">
        <v>9.6207999999999991</v>
      </c>
      <c r="OH10" s="28">
        <v>9.5326000000000004</v>
      </c>
      <c r="OI10" s="22">
        <v>4</v>
      </c>
      <c r="OL10" s="22">
        <v>4</v>
      </c>
      <c r="OM10" s="28">
        <v>8.0680999999999994</v>
      </c>
      <c r="ON10" s="28">
        <v>8.4367000000000001</v>
      </c>
      <c r="OO10" s="28">
        <v>8.4956999999999994</v>
      </c>
      <c r="OP10" s="28">
        <v>8.5213999999999999</v>
      </c>
      <c r="OQ10" s="28">
        <v>8.5029000000000003</v>
      </c>
      <c r="OR10" s="28">
        <v>8.8818000000000001</v>
      </c>
      <c r="OS10" s="28">
        <v>8.9863</v>
      </c>
      <c r="OT10" s="28">
        <v>8.9215</v>
      </c>
      <c r="OU10" s="28">
        <v>9.9458000000000002</v>
      </c>
      <c r="OV10" s="28">
        <v>10.313700000000001</v>
      </c>
      <c r="OW10" s="28">
        <v>10.1137</v>
      </c>
      <c r="OX10" s="28">
        <v>9.9681999999999995</v>
      </c>
      <c r="OY10" s="22">
        <v>4</v>
      </c>
      <c r="PB10" s="22">
        <v>4</v>
      </c>
      <c r="PC10" s="28">
        <v>7.9027000000000003</v>
      </c>
      <c r="PD10" s="28">
        <v>7.8216999999999999</v>
      </c>
      <c r="PE10" s="28">
        <v>7.9740000000000002</v>
      </c>
      <c r="PF10" s="28">
        <v>7.9248000000000003</v>
      </c>
      <c r="PG10" s="28">
        <v>7.9519000000000002</v>
      </c>
      <c r="PH10" s="28">
        <v>7.9183000000000003</v>
      </c>
      <c r="PI10" s="28">
        <v>7.9394999999999998</v>
      </c>
      <c r="PJ10" s="28">
        <v>7.8247999999999998</v>
      </c>
      <c r="PK10" s="28">
        <v>7.7770000000000001</v>
      </c>
      <c r="PL10" s="28">
        <v>7.7530000000000001</v>
      </c>
      <c r="PM10" s="28">
        <v>8.3682999999999996</v>
      </c>
      <c r="PN10" s="28">
        <v>8.1538000000000004</v>
      </c>
      <c r="PO10" s="22">
        <v>4</v>
      </c>
      <c r="PR10" s="22">
        <v>4</v>
      </c>
      <c r="PS10" s="28">
        <v>7.6958000000000002</v>
      </c>
      <c r="PT10" s="28">
        <v>7.4169999999999998</v>
      </c>
      <c r="PU10" s="28">
        <v>7.6295999999999999</v>
      </c>
      <c r="PV10" s="28">
        <v>7.5110000000000001</v>
      </c>
      <c r="PW10" s="28">
        <v>7.4691999999999998</v>
      </c>
      <c r="PX10" s="28">
        <v>7.4207999999999998</v>
      </c>
      <c r="PY10" s="28">
        <v>7.5842000000000001</v>
      </c>
      <c r="PZ10" s="28">
        <v>7.5709</v>
      </c>
      <c r="QA10" s="28">
        <v>7.5490000000000004</v>
      </c>
      <c r="QB10" s="28">
        <v>7.5183</v>
      </c>
      <c r="QC10" s="28">
        <v>8.0478000000000005</v>
      </c>
      <c r="QD10" s="28">
        <v>7.8928000000000003</v>
      </c>
      <c r="QE10" s="22">
        <v>4</v>
      </c>
      <c r="QH10" s="22">
        <v>4</v>
      </c>
      <c r="QI10" s="28">
        <v>5.27</v>
      </c>
      <c r="QJ10" s="28">
        <v>5.4550000000000001</v>
      </c>
      <c r="QK10" s="28">
        <v>5.9625000000000004</v>
      </c>
      <c r="QL10" s="28">
        <v>6.8475000000000001</v>
      </c>
      <c r="QM10" s="28">
        <v>5.9566999999999997</v>
      </c>
      <c r="QN10" s="28">
        <v>6.2167000000000003</v>
      </c>
      <c r="QO10" s="28">
        <v>6.2607999999999997</v>
      </c>
      <c r="QP10" s="28">
        <v>6.1143000000000001</v>
      </c>
      <c r="QQ10" s="28">
        <v>6.28</v>
      </c>
      <c r="QR10" s="28">
        <v>6.4341999999999997</v>
      </c>
      <c r="QS10" s="28">
        <v>7.4032999999999998</v>
      </c>
      <c r="QT10" s="28">
        <v>7.5467000000000004</v>
      </c>
      <c r="QU10" s="22">
        <v>4</v>
      </c>
      <c r="QX10" s="22">
        <v>4</v>
      </c>
      <c r="QY10" s="28">
        <v>3.1071</v>
      </c>
      <c r="QZ10" s="28">
        <v>3.1053000000000002</v>
      </c>
      <c r="RA10" s="28">
        <v>3.2663000000000002</v>
      </c>
      <c r="RB10" s="28">
        <v>3.35</v>
      </c>
      <c r="RC10" s="28">
        <v>3.2747999999999999</v>
      </c>
      <c r="RD10" s="28">
        <v>3.3252999999999999</v>
      </c>
      <c r="RE10" s="28">
        <v>3.3938000000000001</v>
      </c>
      <c r="RF10" s="28">
        <v>3.3788999999999998</v>
      </c>
      <c r="RG10" s="28">
        <v>3.3908</v>
      </c>
      <c r="RH10" s="28">
        <v>3.3982999999999999</v>
      </c>
      <c r="RI10" s="28">
        <v>3.4380999999999999</v>
      </c>
      <c r="RJ10" s="28">
        <v>3.4386000000000001</v>
      </c>
      <c r="RK10" s="22">
        <v>4</v>
      </c>
      <c r="RN10" s="22">
        <v>4</v>
      </c>
      <c r="RO10" s="28">
        <v>3.1230000000000002</v>
      </c>
      <c r="RP10" s="28">
        <v>3.0998999999999999</v>
      </c>
      <c r="RQ10" s="28">
        <v>3.0939000000000001</v>
      </c>
      <c r="RR10" s="28">
        <v>3.0939999999999999</v>
      </c>
      <c r="RS10" s="28">
        <v>3.1139000000000001</v>
      </c>
      <c r="RT10" s="28">
        <v>3.1219000000000001</v>
      </c>
      <c r="RU10" s="28">
        <v>3.1292</v>
      </c>
      <c r="RV10" s="28">
        <v>3.1162000000000001</v>
      </c>
      <c r="RW10" s="28">
        <v>3.1139000000000001</v>
      </c>
      <c r="RX10" s="28">
        <v>3.1179000000000001</v>
      </c>
      <c r="RY10" s="28">
        <v>3.1259000000000001</v>
      </c>
      <c r="RZ10" s="28">
        <v>3.1036999999999999</v>
      </c>
      <c r="SA10" s="22">
        <v>4</v>
      </c>
      <c r="SD10" s="22">
        <v>4</v>
      </c>
      <c r="SE10" s="28">
        <v>3.0752999999999999</v>
      </c>
      <c r="SF10" s="28">
        <v>3.0672999999999999</v>
      </c>
      <c r="SG10" s="28">
        <v>3.0611000000000002</v>
      </c>
      <c r="SH10" s="28">
        <v>3.0609000000000002</v>
      </c>
      <c r="SI10" s="28">
        <v>3.0794000000000001</v>
      </c>
      <c r="SJ10" s="28">
        <v>3.1175999999999999</v>
      </c>
      <c r="SK10" s="28">
        <v>3.1204000000000001</v>
      </c>
      <c r="SL10" s="28">
        <v>3.1124000000000001</v>
      </c>
      <c r="SM10" s="28">
        <v>3.0693999999999999</v>
      </c>
      <c r="SN10" s="28">
        <v>3.1110000000000002</v>
      </c>
      <c r="SO10" s="28">
        <v>3.1255999999999999</v>
      </c>
      <c r="SP10" s="28">
        <v>3.1160000000000001</v>
      </c>
      <c r="SQ10" s="22">
        <v>4</v>
      </c>
      <c r="ST10" s="22">
        <v>4</v>
      </c>
      <c r="SU10" s="28">
        <v>2.9474</v>
      </c>
      <c r="SV10" s="28">
        <v>2.9590000000000001</v>
      </c>
      <c r="SW10" s="28">
        <v>2.9702000000000002</v>
      </c>
      <c r="SX10" s="28">
        <v>2.9834000000000001</v>
      </c>
      <c r="SY10" s="28">
        <v>2.9954000000000001</v>
      </c>
      <c r="SZ10" s="28">
        <v>3.0070000000000001</v>
      </c>
      <c r="TA10" s="28">
        <v>3.0198</v>
      </c>
      <c r="TB10" s="28">
        <v>3.0318000000000001</v>
      </c>
      <c r="TC10" s="28">
        <v>3.0446</v>
      </c>
      <c r="TD10" s="28">
        <v>3.0573999999999999</v>
      </c>
      <c r="TE10" s="28">
        <v>3.069</v>
      </c>
      <c r="TF10" s="28">
        <v>3.0661900000000002</v>
      </c>
      <c r="TG10" s="22">
        <v>4</v>
      </c>
      <c r="TJ10" s="22">
        <v>4</v>
      </c>
      <c r="TK10" s="28">
        <v>2.6459999999999999</v>
      </c>
      <c r="TL10" s="28">
        <v>2.6760000000000002</v>
      </c>
      <c r="TM10" s="28">
        <v>2.7040000000000002</v>
      </c>
      <c r="TN10" s="28">
        <v>2.7360000000000002</v>
      </c>
      <c r="TO10" s="28">
        <v>2.766</v>
      </c>
      <c r="TP10" s="28">
        <v>2.7946</v>
      </c>
      <c r="TQ10" s="28">
        <v>2.8201999999999998</v>
      </c>
      <c r="TR10" s="28">
        <v>2.8450000000000002</v>
      </c>
      <c r="TS10" s="28">
        <v>2.8681999999999999</v>
      </c>
      <c r="TT10" s="28">
        <v>2.8938000000000001</v>
      </c>
      <c r="TU10" s="28">
        <v>2.9178000000000002</v>
      </c>
      <c r="TV10" s="28">
        <v>2.9342000000000001</v>
      </c>
      <c r="TW10" s="22">
        <v>4</v>
      </c>
      <c r="TZ10" s="22">
        <v>4</v>
      </c>
      <c r="UA10" s="28">
        <v>2.2810000000000001</v>
      </c>
      <c r="UB10" s="28">
        <v>2.3119999999999998</v>
      </c>
      <c r="UC10" s="28">
        <v>2.34</v>
      </c>
      <c r="UD10" s="28">
        <v>2.3690000000000002</v>
      </c>
      <c r="UE10" s="28">
        <v>2.4009999999999998</v>
      </c>
      <c r="UF10" s="28">
        <v>2.431</v>
      </c>
      <c r="UG10" s="28">
        <v>2.46</v>
      </c>
      <c r="UH10" s="28">
        <v>2.4929999999999999</v>
      </c>
      <c r="UI10" s="28">
        <v>2.5219999999999998</v>
      </c>
      <c r="UJ10" s="28">
        <v>2.5539999999999998</v>
      </c>
      <c r="UK10" s="28">
        <v>2.585</v>
      </c>
      <c r="UL10" s="28">
        <v>2.613</v>
      </c>
      <c r="UM10" s="22">
        <v>4</v>
      </c>
    </row>
    <row r="11" spans="2:559" s="7" customFormat="1" ht="19.2">
      <c r="B11" s="22">
        <v>5</v>
      </c>
      <c r="C11" s="28">
        <v>19.422000000000001</v>
      </c>
      <c r="D11" s="28">
        <v>18.623200000000001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2">
        <v>5</v>
      </c>
      <c r="R11" s="22">
        <v>5</v>
      </c>
      <c r="S11" s="28">
        <v>20.588999999999999</v>
      </c>
      <c r="T11" s="28">
        <v>20.5562</v>
      </c>
      <c r="U11" s="28">
        <v>20.703299999999999</v>
      </c>
      <c r="V11" s="28">
        <v>19.8432</v>
      </c>
      <c r="W11" s="28">
        <v>20.335000000000001</v>
      </c>
      <c r="X11" s="28">
        <v>19.558499999999999</v>
      </c>
      <c r="Y11" s="28">
        <v>20.381699999999999</v>
      </c>
      <c r="Z11" s="28">
        <v>20.630500000000001</v>
      </c>
      <c r="AA11" s="28">
        <v>20.247299999999999</v>
      </c>
      <c r="AB11" s="28">
        <v>20.000800000000002</v>
      </c>
      <c r="AC11" s="28">
        <v>19.667300000000001</v>
      </c>
      <c r="AD11" s="28">
        <v>19.1433</v>
      </c>
      <c r="AE11" s="22">
        <v>5</v>
      </c>
      <c r="AH11" s="22">
        <v>5</v>
      </c>
      <c r="AI11" s="28">
        <v>19.9087</v>
      </c>
      <c r="AJ11" s="28">
        <v>20.1953</v>
      </c>
      <c r="AK11" s="28">
        <v>20.895700000000001</v>
      </c>
      <c r="AL11" s="28">
        <v>20.602499999999999</v>
      </c>
      <c r="AM11" s="28">
        <v>20.190200000000001</v>
      </c>
      <c r="AN11" s="28">
        <v>20.060500000000001</v>
      </c>
      <c r="AO11" s="28">
        <v>20.036799999999999</v>
      </c>
      <c r="AP11" s="28">
        <v>19.891999999999999</v>
      </c>
      <c r="AQ11" s="28">
        <v>19.970300000000002</v>
      </c>
      <c r="AR11" s="28">
        <v>20.510300000000001</v>
      </c>
      <c r="AS11" s="28">
        <v>20.8352</v>
      </c>
      <c r="AT11" s="28">
        <v>21.3033</v>
      </c>
      <c r="AU11" s="22">
        <v>5</v>
      </c>
      <c r="AV11" s="8"/>
      <c r="AW11" s="8"/>
      <c r="AX11" s="22">
        <v>5</v>
      </c>
      <c r="AY11" s="28">
        <v>18.881699999999999</v>
      </c>
      <c r="AZ11" s="28">
        <v>18.908200000000001</v>
      </c>
      <c r="BA11" s="28">
        <v>19.2837</v>
      </c>
      <c r="BB11" s="28">
        <v>24.108699999999999</v>
      </c>
      <c r="BC11" s="28">
        <v>23.9283</v>
      </c>
      <c r="BD11" s="28">
        <v>21.604299999999999</v>
      </c>
      <c r="BE11" s="28">
        <v>22.522500000000001</v>
      </c>
      <c r="BF11" s="28">
        <v>22.614000000000001</v>
      </c>
      <c r="BG11" s="28">
        <v>21.638300000000001</v>
      </c>
      <c r="BH11" s="28">
        <v>21.956199999999999</v>
      </c>
      <c r="BI11" s="28">
        <v>21.1555</v>
      </c>
      <c r="BJ11" s="28">
        <v>19.908300000000001</v>
      </c>
      <c r="BK11" s="22">
        <v>5</v>
      </c>
      <c r="BN11" s="22">
        <v>5</v>
      </c>
      <c r="BO11" s="28">
        <v>19.607299999999999</v>
      </c>
      <c r="BP11" s="28">
        <v>19.038799999999998</v>
      </c>
      <c r="BQ11" s="28">
        <v>19.297799999999999</v>
      </c>
      <c r="BR11" s="28">
        <v>19.180499999999999</v>
      </c>
      <c r="BS11" s="28">
        <v>19.101400000000002</v>
      </c>
      <c r="BT11" s="28">
        <v>19.760899999999999</v>
      </c>
      <c r="BU11" s="28">
        <v>19.0502</v>
      </c>
      <c r="BV11" s="28">
        <v>19.162700000000001</v>
      </c>
      <c r="BW11" s="28">
        <v>20.003900000000002</v>
      </c>
      <c r="BX11" s="28">
        <v>19.736799999999999</v>
      </c>
      <c r="BY11" s="28">
        <v>19.105799999999999</v>
      </c>
      <c r="BZ11" s="28">
        <v>19.567799999999998</v>
      </c>
      <c r="CA11" s="22">
        <v>5</v>
      </c>
      <c r="CD11" s="22">
        <v>5</v>
      </c>
      <c r="CE11" s="28">
        <v>19.371700000000001</v>
      </c>
      <c r="CF11" s="28">
        <v>18.400400000000001</v>
      </c>
      <c r="CG11" s="29">
        <v>18.861000000000001</v>
      </c>
      <c r="CH11" s="28">
        <v>18.2044</v>
      </c>
      <c r="CI11" s="28">
        <v>19.122299999999999</v>
      </c>
      <c r="CJ11" s="28">
        <v>19.866199999999999</v>
      </c>
      <c r="CK11" s="28">
        <v>19.5974</v>
      </c>
      <c r="CL11" s="28">
        <v>18.634899999999998</v>
      </c>
      <c r="CM11" s="28">
        <v>19.213699999999999</v>
      </c>
      <c r="CN11" s="28">
        <v>18.801400000000001</v>
      </c>
      <c r="CO11" s="28">
        <v>20.317699999999999</v>
      </c>
      <c r="CP11" s="28">
        <v>20.2346</v>
      </c>
      <c r="CQ11" s="22">
        <v>5</v>
      </c>
      <c r="CT11" s="22">
        <v>5</v>
      </c>
      <c r="CU11" s="28">
        <v>20.852</v>
      </c>
      <c r="CV11" s="28">
        <v>20.575700000000001</v>
      </c>
      <c r="CW11" s="28">
        <v>19.9373</v>
      </c>
      <c r="CX11" s="28">
        <v>18.731999999999999</v>
      </c>
      <c r="CY11" s="28">
        <v>18.803100000000001</v>
      </c>
      <c r="CZ11" s="28">
        <v>18.594100000000001</v>
      </c>
      <c r="DA11" s="28">
        <v>18.206399999999999</v>
      </c>
      <c r="DB11" s="28">
        <v>17.8733</v>
      </c>
      <c r="DC11" s="28">
        <v>17.786100000000001</v>
      </c>
      <c r="DD11" s="28">
        <v>18.211300000000001</v>
      </c>
      <c r="DE11" s="28">
        <v>19.124099999999999</v>
      </c>
      <c r="DF11" s="28">
        <v>18.639900000000001</v>
      </c>
      <c r="DG11" s="22">
        <v>5</v>
      </c>
      <c r="DJ11" s="22">
        <v>5</v>
      </c>
      <c r="DK11" s="28">
        <v>17.248699999999999</v>
      </c>
      <c r="DL11" s="28">
        <v>18.453700000000001</v>
      </c>
      <c r="DM11" s="28">
        <v>17.897099999999998</v>
      </c>
      <c r="DN11" s="28">
        <v>17.3338</v>
      </c>
      <c r="DO11" s="28">
        <v>17.523399999999999</v>
      </c>
      <c r="DP11" s="28">
        <v>18.6097</v>
      </c>
      <c r="DQ11" s="28">
        <v>18.309000000000001</v>
      </c>
      <c r="DR11" s="28">
        <v>18.9117</v>
      </c>
      <c r="DS11" s="28">
        <v>18.8523</v>
      </c>
      <c r="DT11" s="28">
        <v>19.321100000000001</v>
      </c>
      <c r="DU11" s="28">
        <v>19.2014</v>
      </c>
      <c r="DV11" s="28">
        <v>20.748799999999999</v>
      </c>
      <c r="DW11" s="22">
        <v>5</v>
      </c>
      <c r="DZ11" s="22">
        <v>5</v>
      </c>
      <c r="EA11" s="28">
        <v>14.741400000000001</v>
      </c>
      <c r="EB11" s="28">
        <v>14.756600000000001</v>
      </c>
      <c r="EC11" s="28">
        <v>14.9544</v>
      </c>
      <c r="ED11" s="28">
        <v>15.264699999999999</v>
      </c>
      <c r="EE11" s="28">
        <v>15.3714</v>
      </c>
      <c r="EF11" s="28">
        <v>15.4833</v>
      </c>
      <c r="EG11" s="28">
        <v>15.7829</v>
      </c>
      <c r="EH11" s="28">
        <v>16.1129</v>
      </c>
      <c r="EI11" s="28">
        <v>16.944400000000002</v>
      </c>
      <c r="EJ11" s="28">
        <v>16.8566</v>
      </c>
      <c r="EK11" s="28">
        <v>16.419599999999999</v>
      </c>
      <c r="EL11" s="28">
        <v>16.709499999999998</v>
      </c>
      <c r="EM11" s="22">
        <v>5</v>
      </c>
      <c r="EP11" s="22">
        <v>5</v>
      </c>
      <c r="EQ11" s="28">
        <v>13.101100000000001</v>
      </c>
      <c r="ER11" s="28">
        <v>13.376899999999999</v>
      </c>
      <c r="ES11" s="28">
        <v>13.3201</v>
      </c>
      <c r="ET11" s="28">
        <v>13.132400000000001</v>
      </c>
      <c r="EU11" s="28">
        <v>13.0901</v>
      </c>
      <c r="EV11" s="28">
        <v>12.944699999999999</v>
      </c>
      <c r="EW11" s="28">
        <v>12.982900000000001</v>
      </c>
      <c r="EX11" s="28">
        <v>13.193199999999999</v>
      </c>
      <c r="EY11" s="28">
        <v>13.0892</v>
      </c>
      <c r="EZ11" s="28">
        <v>13.4026</v>
      </c>
      <c r="FA11" s="28">
        <v>13.5503</v>
      </c>
      <c r="FB11" s="28">
        <v>14.091799999999999</v>
      </c>
      <c r="FC11" s="22">
        <v>5</v>
      </c>
      <c r="FF11" s="22">
        <v>5</v>
      </c>
      <c r="FG11" s="28">
        <v>12.743</v>
      </c>
      <c r="FH11" s="28">
        <v>12.7094</v>
      </c>
      <c r="FI11" s="28">
        <v>12.8012</v>
      </c>
      <c r="FJ11" s="28">
        <v>12.326599999999999</v>
      </c>
      <c r="FK11" s="28">
        <v>12.175599999999999</v>
      </c>
      <c r="FL11" s="28">
        <v>12.7882</v>
      </c>
      <c r="FM11" s="28">
        <v>13.037699999999999</v>
      </c>
      <c r="FN11" s="28">
        <v>12.806800000000001</v>
      </c>
      <c r="FO11" s="28">
        <v>13.439399999999999</v>
      </c>
      <c r="FP11" s="28">
        <v>13.266299999999999</v>
      </c>
      <c r="FQ11" s="28">
        <v>13.078900000000001</v>
      </c>
      <c r="FR11" s="28">
        <v>13.2372</v>
      </c>
      <c r="FS11" s="22">
        <v>5</v>
      </c>
      <c r="FV11" s="22">
        <v>5</v>
      </c>
      <c r="FW11" s="28">
        <v>13.6882</v>
      </c>
      <c r="FX11" s="28">
        <v>12.803800000000001</v>
      </c>
      <c r="FY11" s="28">
        <v>12.776400000000001</v>
      </c>
      <c r="FZ11" s="28">
        <v>12.7317</v>
      </c>
      <c r="GA11" s="28">
        <v>12.9725</v>
      </c>
      <c r="GB11" s="28">
        <v>14.3949</v>
      </c>
      <c r="GC11" s="28">
        <v>13.317399999999999</v>
      </c>
      <c r="GD11" s="28">
        <v>13.3927</v>
      </c>
      <c r="GE11" s="28">
        <v>13.191000000000001</v>
      </c>
      <c r="GF11" s="28">
        <v>12.8528</v>
      </c>
      <c r="GG11" s="28">
        <v>13.091100000000001</v>
      </c>
      <c r="GH11" s="28">
        <v>12.9335</v>
      </c>
      <c r="GI11" s="22">
        <v>5</v>
      </c>
      <c r="GL11" s="22">
        <v>5</v>
      </c>
      <c r="GM11" s="28">
        <v>12.257400000000001</v>
      </c>
      <c r="GN11" s="28">
        <v>12.049899999999999</v>
      </c>
      <c r="GO11" s="28">
        <v>12.036799999999999</v>
      </c>
      <c r="GP11" s="28">
        <v>11.841200000000001</v>
      </c>
      <c r="GQ11" s="28">
        <v>11.5665</v>
      </c>
      <c r="GR11" s="28">
        <v>11.6739</v>
      </c>
      <c r="GS11" s="28">
        <v>11.636799999999999</v>
      </c>
      <c r="GT11" s="28">
        <v>11.847300000000001</v>
      </c>
      <c r="GU11" s="28">
        <v>12.2616</v>
      </c>
      <c r="GV11" s="28">
        <v>13.896699999999999</v>
      </c>
      <c r="GW11" s="28">
        <v>13.412800000000001</v>
      </c>
      <c r="GX11" s="28">
        <v>13.589399999999999</v>
      </c>
      <c r="GY11" s="22">
        <v>5</v>
      </c>
      <c r="HB11" s="22">
        <v>5</v>
      </c>
      <c r="HC11" s="28">
        <v>13.065899999999999</v>
      </c>
      <c r="HD11" s="28">
        <v>12.939500000000001</v>
      </c>
      <c r="HE11" s="28">
        <v>12.69</v>
      </c>
      <c r="HF11" s="28">
        <v>12.4145</v>
      </c>
      <c r="HG11" s="28">
        <v>12.2605</v>
      </c>
      <c r="HH11" s="28">
        <v>12.7644</v>
      </c>
      <c r="HI11" s="28">
        <v>13.032500000000001</v>
      </c>
      <c r="HJ11" s="28">
        <v>12.604799999999999</v>
      </c>
      <c r="HK11" s="28">
        <v>13.055</v>
      </c>
      <c r="HL11" s="28">
        <v>12.5511</v>
      </c>
      <c r="HM11" s="28">
        <v>12.3041</v>
      </c>
      <c r="HN11" s="28">
        <v>12.3546</v>
      </c>
      <c r="HO11" s="22">
        <v>5</v>
      </c>
      <c r="HR11" s="22">
        <v>5</v>
      </c>
      <c r="HS11" s="28">
        <v>13.8325</v>
      </c>
      <c r="HT11" s="28">
        <v>14.5404</v>
      </c>
      <c r="HU11" s="28">
        <v>15.337199999999999</v>
      </c>
      <c r="HV11" s="28">
        <v>13.792400000000001</v>
      </c>
      <c r="HW11" s="28">
        <v>13.8443</v>
      </c>
      <c r="HX11" s="28">
        <v>13.3172</v>
      </c>
      <c r="HY11" s="28">
        <v>13.169499999999999</v>
      </c>
      <c r="HZ11" s="28">
        <v>13.129300000000001</v>
      </c>
      <c r="IA11" s="28">
        <v>13.5898</v>
      </c>
      <c r="IB11" s="28">
        <v>13.6242</v>
      </c>
      <c r="IC11" s="28">
        <v>13.290800000000001</v>
      </c>
      <c r="ID11" s="28">
        <v>12.665800000000001</v>
      </c>
      <c r="IE11" s="22">
        <v>5</v>
      </c>
      <c r="IH11" s="22">
        <v>5</v>
      </c>
      <c r="II11" s="28">
        <v>10.8842</v>
      </c>
      <c r="IJ11" s="28">
        <v>10.8262</v>
      </c>
      <c r="IK11" s="28">
        <v>10.704599999999999</v>
      </c>
      <c r="IL11" s="28">
        <v>10.564399999999999</v>
      </c>
      <c r="IM11" s="28">
        <v>10.509499999999999</v>
      </c>
      <c r="IN11" s="28">
        <v>10.299200000000001</v>
      </c>
      <c r="IO11" s="28">
        <v>10.369199999999999</v>
      </c>
      <c r="IP11" s="28">
        <v>9.9704999999999995</v>
      </c>
      <c r="IQ11" s="28">
        <v>10.385199999999999</v>
      </c>
      <c r="IR11" s="28">
        <v>11.1296</v>
      </c>
      <c r="IS11" s="28">
        <v>12.7875</v>
      </c>
      <c r="IT11" s="28">
        <v>13.599600000000001</v>
      </c>
      <c r="IU11" s="22">
        <v>5</v>
      </c>
      <c r="IX11" s="22">
        <v>5</v>
      </c>
      <c r="IY11" s="28">
        <v>10.770799999999999</v>
      </c>
      <c r="IZ11" s="28">
        <v>10.981999999999999</v>
      </c>
      <c r="JA11" s="28">
        <v>11.191700000000001</v>
      </c>
      <c r="JB11" s="28">
        <v>10.979699999999999</v>
      </c>
      <c r="JC11" s="28">
        <v>10.901999999999999</v>
      </c>
      <c r="JD11" s="28">
        <v>10.713100000000001</v>
      </c>
      <c r="JE11" s="28">
        <v>10.7698</v>
      </c>
      <c r="JF11" s="28">
        <v>10.940200000000001</v>
      </c>
      <c r="JG11" s="28">
        <v>11.0169</v>
      </c>
      <c r="JH11" s="28">
        <v>10.868499999999999</v>
      </c>
      <c r="JI11" s="28">
        <v>10.702299999999999</v>
      </c>
      <c r="JJ11" s="28">
        <v>10.9124</v>
      </c>
      <c r="JK11" s="22">
        <v>5</v>
      </c>
      <c r="JN11" s="22">
        <v>5</v>
      </c>
      <c r="JO11" s="28">
        <v>10.6455</v>
      </c>
      <c r="JP11" s="28">
        <v>10.480499999999999</v>
      </c>
      <c r="JQ11" s="28">
        <v>10.5113</v>
      </c>
      <c r="JR11" s="28">
        <v>10.871700000000001</v>
      </c>
      <c r="JS11" s="28">
        <v>10.960800000000001</v>
      </c>
      <c r="JT11" s="28">
        <v>11.2843</v>
      </c>
      <c r="JU11" s="28">
        <v>11.1302</v>
      </c>
      <c r="JV11" s="28">
        <v>10.9802</v>
      </c>
      <c r="JW11" s="28">
        <v>10.895200000000001</v>
      </c>
      <c r="JX11" s="28">
        <v>11.0404</v>
      </c>
      <c r="JY11" s="28">
        <v>10.744899999999999</v>
      </c>
      <c r="JZ11" s="28">
        <v>10.9975</v>
      </c>
      <c r="KA11" s="22">
        <v>5</v>
      </c>
      <c r="KD11" s="22">
        <v>5</v>
      </c>
      <c r="KE11" s="28">
        <v>11.200699999999999</v>
      </c>
      <c r="KF11" s="28">
        <v>11.1683</v>
      </c>
      <c r="KG11" s="28">
        <v>11.0837</v>
      </c>
      <c r="KH11" s="28">
        <v>11.189299999999999</v>
      </c>
      <c r="KI11" s="28">
        <v>11.0284</v>
      </c>
      <c r="KJ11" s="28">
        <v>10.814399999999999</v>
      </c>
      <c r="KK11" s="28">
        <v>10.732699999999999</v>
      </c>
      <c r="KL11" s="28">
        <v>10.613799999999999</v>
      </c>
      <c r="KM11" s="28">
        <v>10.7234</v>
      </c>
      <c r="KN11" s="28">
        <v>10.7683</v>
      </c>
      <c r="KO11" s="28">
        <v>10.7218</v>
      </c>
      <c r="KP11" s="28">
        <v>10.524699999999999</v>
      </c>
      <c r="KQ11" s="22">
        <v>5</v>
      </c>
      <c r="KT11" s="22">
        <v>5</v>
      </c>
      <c r="KU11" s="28">
        <v>11.2372</v>
      </c>
      <c r="KV11" s="28">
        <v>11.082000000000001</v>
      </c>
      <c r="KW11" s="28">
        <v>11.030099999999999</v>
      </c>
      <c r="KX11" s="28">
        <v>11.1828</v>
      </c>
      <c r="KY11" s="28">
        <v>11.430999999999999</v>
      </c>
      <c r="KZ11" s="28">
        <v>11.4373</v>
      </c>
      <c r="LA11" s="28">
        <v>11.4922</v>
      </c>
      <c r="LB11" s="28">
        <v>11.405200000000001</v>
      </c>
      <c r="LC11" s="28">
        <v>11.4725</v>
      </c>
      <c r="LD11" s="28">
        <v>11.350300000000001</v>
      </c>
      <c r="LE11" s="28">
        <v>11.424799999999999</v>
      </c>
      <c r="LF11" s="28">
        <v>11.145300000000001</v>
      </c>
      <c r="LG11" s="22">
        <v>5</v>
      </c>
      <c r="LJ11" s="22">
        <v>5</v>
      </c>
      <c r="LK11" s="28">
        <v>10.3626</v>
      </c>
      <c r="LL11" s="28">
        <v>10.8833</v>
      </c>
      <c r="LM11" s="28">
        <v>10.9902</v>
      </c>
      <c r="LN11" s="28">
        <v>10.661899999999999</v>
      </c>
      <c r="LO11" s="28">
        <v>10.3</v>
      </c>
      <c r="LP11" s="28">
        <v>10.2598</v>
      </c>
      <c r="LQ11" s="28">
        <v>10.446999999999999</v>
      </c>
      <c r="LR11" s="28">
        <v>10.5997</v>
      </c>
      <c r="LS11" s="28">
        <v>10.938599999999999</v>
      </c>
      <c r="LT11" s="28">
        <v>11.160299999999999</v>
      </c>
      <c r="LU11" s="28">
        <v>10.988099999999999</v>
      </c>
      <c r="LV11" s="28">
        <v>11.249599999999999</v>
      </c>
      <c r="LW11" s="22">
        <v>5</v>
      </c>
      <c r="LZ11" s="22">
        <v>5</v>
      </c>
      <c r="MA11" s="28">
        <v>9.1142000000000003</v>
      </c>
      <c r="MB11" s="28">
        <v>9.1544000000000008</v>
      </c>
      <c r="MC11" s="28">
        <v>9.0957000000000008</v>
      </c>
      <c r="MD11" s="28">
        <v>9.0397999999999996</v>
      </c>
      <c r="ME11" s="28">
        <v>9.4169999999999998</v>
      </c>
      <c r="MF11" s="28">
        <v>9.6397999999999993</v>
      </c>
      <c r="MG11" s="28">
        <v>9.9670000000000005</v>
      </c>
      <c r="MH11" s="28">
        <v>9.8768999999999991</v>
      </c>
      <c r="MI11" s="28">
        <v>9.9788999999999994</v>
      </c>
      <c r="MJ11" s="28">
        <v>10.139799999999999</v>
      </c>
      <c r="MK11" s="28">
        <v>10.199199999999999</v>
      </c>
      <c r="ML11" s="28">
        <v>10.142099999999999</v>
      </c>
      <c r="MM11" s="22">
        <v>5</v>
      </c>
      <c r="MP11" s="22">
        <v>5</v>
      </c>
      <c r="MQ11" s="28">
        <v>9.8339999999999996</v>
      </c>
      <c r="MR11" s="28">
        <v>9.7327999999999992</v>
      </c>
      <c r="MS11" s="28">
        <v>9.7051999999999996</v>
      </c>
      <c r="MT11" s="28">
        <v>9.3914000000000009</v>
      </c>
      <c r="MU11" s="28">
        <v>9.2873000000000001</v>
      </c>
      <c r="MV11" s="28">
        <v>9.1735000000000007</v>
      </c>
      <c r="MW11" s="28">
        <v>9.0258000000000003</v>
      </c>
      <c r="MX11" s="28">
        <v>9.1698000000000004</v>
      </c>
      <c r="MY11" s="28">
        <v>9.1936</v>
      </c>
      <c r="MZ11" s="28">
        <v>9.5273000000000003</v>
      </c>
      <c r="NA11" s="28">
        <v>9.2891999999999992</v>
      </c>
      <c r="NB11" s="28">
        <v>9.2050000000000001</v>
      </c>
      <c r="NC11" s="22">
        <v>5</v>
      </c>
      <c r="NF11" s="22">
        <v>5</v>
      </c>
      <c r="NG11" s="28">
        <v>9.3948999999999998</v>
      </c>
      <c r="NH11" s="28">
        <v>9.5010999999999992</v>
      </c>
      <c r="NI11" s="28">
        <v>9.3382000000000005</v>
      </c>
      <c r="NJ11" s="28">
        <v>9.2760999999999996</v>
      </c>
      <c r="NK11" s="28">
        <v>9.3848000000000003</v>
      </c>
      <c r="NL11" s="28">
        <v>9.4987999999999992</v>
      </c>
      <c r="NM11" s="28">
        <v>9.5460999999999991</v>
      </c>
      <c r="NN11" s="28">
        <v>9.3880999999999997</v>
      </c>
      <c r="NO11" s="28">
        <v>9.2013999999999996</v>
      </c>
      <c r="NP11" s="28">
        <v>9.4014000000000006</v>
      </c>
      <c r="NQ11" s="28">
        <v>9.5823999999999998</v>
      </c>
      <c r="NR11" s="28">
        <v>9.4154999999999998</v>
      </c>
      <c r="NS11" s="22">
        <v>5</v>
      </c>
      <c r="NV11" s="22">
        <v>5</v>
      </c>
      <c r="NW11" s="28">
        <v>9.8963000000000001</v>
      </c>
      <c r="NX11" s="28">
        <v>10.113799999999999</v>
      </c>
      <c r="NY11" s="28">
        <v>9.9641000000000002</v>
      </c>
      <c r="NZ11" s="28">
        <v>9.5375999999999994</v>
      </c>
      <c r="OA11" s="28">
        <v>9.2689000000000004</v>
      </c>
      <c r="OB11" s="28">
        <v>9.6545000000000005</v>
      </c>
      <c r="OC11" s="28">
        <v>9.3773</v>
      </c>
      <c r="OD11" s="28">
        <v>9.4551999999999996</v>
      </c>
      <c r="OE11" s="28">
        <v>9.3739000000000008</v>
      </c>
      <c r="OF11" s="28">
        <v>9.4062999999999999</v>
      </c>
      <c r="OG11" s="28">
        <v>9.5551999999999992</v>
      </c>
      <c r="OH11" s="28">
        <v>9.5326000000000004</v>
      </c>
      <c r="OI11" s="22">
        <v>5</v>
      </c>
      <c r="OL11" s="22">
        <v>5</v>
      </c>
      <c r="OM11" s="28">
        <v>8.0680999999999994</v>
      </c>
      <c r="ON11" s="28">
        <v>8.4322999999999997</v>
      </c>
      <c r="OO11" s="28">
        <v>8.5347000000000008</v>
      </c>
      <c r="OP11" s="28">
        <v>8.5213999999999999</v>
      </c>
      <c r="OQ11" s="28">
        <v>8.4898000000000007</v>
      </c>
      <c r="OR11" s="28">
        <v>8.7957999999999998</v>
      </c>
      <c r="OS11" s="28">
        <v>8.9863</v>
      </c>
      <c r="OT11" s="28">
        <v>8.9544999999999995</v>
      </c>
      <c r="OU11" s="28">
        <v>10.107200000000001</v>
      </c>
      <c r="OV11" s="28">
        <v>10.313700000000001</v>
      </c>
      <c r="OW11" s="28">
        <v>10.0312</v>
      </c>
      <c r="OX11" s="28">
        <v>9.9876000000000005</v>
      </c>
      <c r="OY11" s="22">
        <v>5</v>
      </c>
      <c r="PB11" s="22">
        <v>5</v>
      </c>
      <c r="PC11" s="28">
        <v>7.9027000000000003</v>
      </c>
      <c r="PD11" s="28">
        <v>7.8182999999999998</v>
      </c>
      <c r="PE11" s="28">
        <v>8.0116999999999994</v>
      </c>
      <c r="PF11" s="28">
        <v>7.9720000000000004</v>
      </c>
      <c r="PG11" s="28">
        <v>7.9519000000000002</v>
      </c>
      <c r="PH11" s="28">
        <v>7.9118000000000004</v>
      </c>
      <c r="PI11" s="28">
        <v>7.9497</v>
      </c>
      <c r="PJ11" s="28">
        <v>7.8243999999999998</v>
      </c>
      <c r="PK11" s="28">
        <v>7.7686999999999999</v>
      </c>
      <c r="PL11" s="28">
        <v>7.7530000000000001</v>
      </c>
      <c r="PM11" s="28">
        <v>8.2367000000000008</v>
      </c>
      <c r="PN11" s="28">
        <v>8.1305999999999994</v>
      </c>
      <c r="PO11" s="22">
        <v>5</v>
      </c>
      <c r="PR11" s="22">
        <v>5</v>
      </c>
      <c r="PS11" s="28">
        <v>7.5595999999999997</v>
      </c>
      <c r="PT11" s="28">
        <v>7.4169999999999998</v>
      </c>
      <c r="PU11" s="28">
        <v>7.5891000000000002</v>
      </c>
      <c r="PV11" s="28">
        <v>7.5110000000000001</v>
      </c>
      <c r="PW11" s="28">
        <v>7.4691999999999998</v>
      </c>
      <c r="PX11" s="28">
        <v>7.4747000000000003</v>
      </c>
      <c r="PY11" s="28">
        <v>7.5925000000000002</v>
      </c>
      <c r="PZ11" s="28">
        <v>7.5709</v>
      </c>
      <c r="QA11" s="28">
        <v>7.5827999999999998</v>
      </c>
      <c r="QB11" s="28">
        <v>7.5301999999999998</v>
      </c>
      <c r="QC11" s="28">
        <v>7.9653</v>
      </c>
      <c r="QD11" s="28">
        <v>7.8787000000000003</v>
      </c>
      <c r="QE11" s="22">
        <v>5</v>
      </c>
      <c r="QH11" s="22">
        <v>5</v>
      </c>
      <c r="QI11" s="28">
        <v>5.5</v>
      </c>
      <c r="QJ11" s="28">
        <v>5.4550000000000001</v>
      </c>
      <c r="QK11" s="28">
        <v>5.9625000000000004</v>
      </c>
      <c r="QL11" s="28">
        <v>6.8025000000000002</v>
      </c>
      <c r="QM11" s="28">
        <v>5.8692000000000002</v>
      </c>
      <c r="QN11" s="28">
        <v>6.2167000000000003</v>
      </c>
      <c r="QO11" s="28">
        <v>6.2424999999999997</v>
      </c>
      <c r="QP11" s="28">
        <v>6.1257999999999999</v>
      </c>
      <c r="QQ11" s="28">
        <v>6.2763</v>
      </c>
      <c r="QR11" s="28">
        <v>6.5883000000000003</v>
      </c>
      <c r="QS11" s="28">
        <v>7.4032999999999998</v>
      </c>
      <c r="QT11" s="28">
        <v>7.5766999999999998</v>
      </c>
      <c r="QU11" s="22">
        <v>5</v>
      </c>
      <c r="QX11" s="22">
        <v>5</v>
      </c>
      <c r="QY11" s="28">
        <v>3.1074999999999999</v>
      </c>
      <c r="QZ11" s="28">
        <v>3.1055999999999999</v>
      </c>
      <c r="RA11" s="28">
        <v>3.2513000000000001</v>
      </c>
      <c r="RB11" s="28">
        <v>3.3605999999999998</v>
      </c>
      <c r="RC11" s="28">
        <v>3.3144999999999998</v>
      </c>
      <c r="RD11" s="28">
        <v>3.3252999999999999</v>
      </c>
      <c r="RE11" s="28">
        <v>3.3944999999999999</v>
      </c>
      <c r="RF11" s="28">
        <v>3.3753000000000002</v>
      </c>
      <c r="RG11" s="28">
        <v>3.3908</v>
      </c>
      <c r="RH11" s="28">
        <v>3.3984000000000001</v>
      </c>
      <c r="RI11" s="28">
        <v>3.4350000000000001</v>
      </c>
      <c r="RJ11" s="28">
        <v>3.4386000000000001</v>
      </c>
      <c r="RK11" s="22">
        <v>5</v>
      </c>
      <c r="RN11" s="22">
        <v>5</v>
      </c>
      <c r="RO11" s="28">
        <v>3.1208999999999998</v>
      </c>
      <c r="RP11" s="28">
        <v>3.1017000000000001</v>
      </c>
      <c r="RQ11" s="28">
        <v>3.0948000000000002</v>
      </c>
      <c r="RR11" s="28">
        <v>3.0939999999999999</v>
      </c>
      <c r="RS11" s="28">
        <v>3.1078999999999999</v>
      </c>
      <c r="RT11" s="28">
        <v>3.125</v>
      </c>
      <c r="RU11" s="28">
        <v>3.1292</v>
      </c>
      <c r="RV11" s="28">
        <v>3.1107</v>
      </c>
      <c r="RW11" s="28">
        <v>3.1139000000000001</v>
      </c>
      <c r="RX11" s="28">
        <v>3.1162999999999998</v>
      </c>
      <c r="RY11" s="28">
        <v>3.1480999999999999</v>
      </c>
      <c r="RZ11" s="28">
        <v>3.1036999999999999</v>
      </c>
      <c r="SA11" s="22">
        <v>5</v>
      </c>
      <c r="SD11" s="22">
        <v>5</v>
      </c>
      <c r="SE11" s="28">
        <v>3.0752999999999999</v>
      </c>
      <c r="SF11" s="28">
        <v>3.0655999999999999</v>
      </c>
      <c r="SG11" s="28">
        <v>3.0625</v>
      </c>
      <c r="SH11" s="28">
        <v>3.0609000000000002</v>
      </c>
      <c r="SI11" s="28">
        <v>3.0785999999999998</v>
      </c>
      <c r="SJ11" s="28">
        <v>3.1185</v>
      </c>
      <c r="SK11" s="28">
        <v>3.1204000000000001</v>
      </c>
      <c r="SL11" s="28">
        <v>3.1093999999999999</v>
      </c>
      <c r="SM11" s="28">
        <v>3.0699000000000001</v>
      </c>
      <c r="SN11" s="28">
        <v>3.1110000000000002</v>
      </c>
      <c r="SO11" s="28">
        <v>3.1257999999999999</v>
      </c>
      <c r="SP11" s="28">
        <v>3.1139000000000001</v>
      </c>
      <c r="SQ11" s="22">
        <v>5</v>
      </c>
      <c r="ST11" s="22">
        <v>5</v>
      </c>
      <c r="SU11" s="28">
        <v>2.9478</v>
      </c>
      <c r="SV11" s="28">
        <v>2.9594</v>
      </c>
      <c r="SW11" s="28">
        <v>2.9706000000000001</v>
      </c>
      <c r="SX11" s="28">
        <v>2.9838</v>
      </c>
      <c r="SY11" s="28">
        <v>2.9954000000000001</v>
      </c>
      <c r="SZ11" s="28">
        <v>3.0082</v>
      </c>
      <c r="TA11" s="28">
        <v>3.0202</v>
      </c>
      <c r="TB11" s="28">
        <v>3.0318000000000001</v>
      </c>
      <c r="TC11" s="28">
        <v>3.0449999999999999</v>
      </c>
      <c r="TD11" s="28">
        <v>3.0586000000000002</v>
      </c>
      <c r="TE11" s="28">
        <v>3.0701999999999998</v>
      </c>
      <c r="TF11" s="28">
        <v>3.06656</v>
      </c>
      <c r="TG11" s="22">
        <v>5</v>
      </c>
      <c r="TJ11" s="22">
        <v>5</v>
      </c>
      <c r="TK11" s="28">
        <v>2.6469999999999998</v>
      </c>
      <c r="TL11" s="28">
        <v>2.6760000000000002</v>
      </c>
      <c r="TM11" s="28">
        <v>2.7040000000000002</v>
      </c>
      <c r="TN11" s="28">
        <v>2.7370000000000001</v>
      </c>
      <c r="TO11" s="28">
        <v>2.7669999999999999</v>
      </c>
      <c r="TP11" s="28">
        <v>2.7953999999999999</v>
      </c>
      <c r="TQ11" s="28">
        <v>2.8210000000000002</v>
      </c>
      <c r="TR11" s="28">
        <v>2.8450000000000002</v>
      </c>
      <c r="TS11" s="28">
        <v>2.8706</v>
      </c>
      <c r="TT11" s="28">
        <v>2.8946000000000001</v>
      </c>
      <c r="TU11" s="28">
        <v>2.9178000000000002</v>
      </c>
      <c r="TV11" s="28">
        <v>2.9354</v>
      </c>
      <c r="TW11" s="22">
        <v>5</v>
      </c>
      <c r="TZ11" s="22">
        <v>5</v>
      </c>
      <c r="UA11" s="28">
        <v>2.282</v>
      </c>
      <c r="UB11" s="28">
        <v>2.3119999999999998</v>
      </c>
      <c r="UC11" s="28">
        <v>2.34</v>
      </c>
      <c r="UD11" s="28">
        <v>2.3719999999999999</v>
      </c>
      <c r="UE11" s="28">
        <v>2.4020000000000001</v>
      </c>
      <c r="UF11" s="28">
        <v>2.431</v>
      </c>
      <c r="UG11" s="28">
        <v>2.4630000000000001</v>
      </c>
      <c r="UH11" s="28">
        <v>2.4940000000000002</v>
      </c>
      <c r="UI11" s="28">
        <v>2.5230000000000001</v>
      </c>
      <c r="UJ11" s="28">
        <v>2.5550000000000002</v>
      </c>
      <c r="UK11" s="28">
        <v>2.585</v>
      </c>
      <c r="UL11" s="28">
        <v>2.6139999999999999</v>
      </c>
      <c r="UM11" s="22">
        <v>5</v>
      </c>
    </row>
    <row r="12" spans="2:559" s="7" customFormat="1" ht="19.2">
      <c r="B12" s="22">
        <v>6</v>
      </c>
      <c r="C12" s="28">
        <v>19.3568</v>
      </c>
      <c r="D12" s="28">
        <v>18.623200000000001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2">
        <v>6</v>
      </c>
      <c r="R12" s="22">
        <v>6</v>
      </c>
      <c r="S12" s="28">
        <v>20.4742</v>
      </c>
      <c r="T12" s="28">
        <v>20.5562</v>
      </c>
      <c r="U12" s="28">
        <v>20.703299999999999</v>
      </c>
      <c r="V12" s="28">
        <v>19.744299999999999</v>
      </c>
      <c r="W12" s="28">
        <v>20.335000000000001</v>
      </c>
      <c r="X12" s="28">
        <v>19.558499999999999</v>
      </c>
      <c r="Y12" s="28">
        <v>20.287700000000001</v>
      </c>
      <c r="Z12" s="28">
        <v>20.335799999999999</v>
      </c>
      <c r="AA12" s="28">
        <v>19.975300000000001</v>
      </c>
      <c r="AB12" s="28">
        <v>19.969799999999999</v>
      </c>
      <c r="AC12" s="28">
        <v>19.667300000000001</v>
      </c>
      <c r="AD12" s="28">
        <v>19.342199999999998</v>
      </c>
      <c r="AE12" s="22">
        <v>6</v>
      </c>
      <c r="AH12" s="22">
        <v>6</v>
      </c>
      <c r="AI12" s="28">
        <v>19.845700000000001</v>
      </c>
      <c r="AJ12" s="28">
        <v>20.4435</v>
      </c>
      <c r="AK12" s="28">
        <v>20.849799999999998</v>
      </c>
      <c r="AL12" s="28">
        <v>20.440000000000001</v>
      </c>
      <c r="AM12" s="28">
        <v>20.190200000000001</v>
      </c>
      <c r="AN12" s="28">
        <v>20.060500000000001</v>
      </c>
      <c r="AO12" s="28">
        <v>19.881699999999999</v>
      </c>
      <c r="AP12" s="28">
        <v>19.954699999999999</v>
      </c>
      <c r="AQ12" s="28">
        <v>19.970300000000002</v>
      </c>
      <c r="AR12" s="28">
        <v>20.5747</v>
      </c>
      <c r="AS12" s="28">
        <v>20.624199999999998</v>
      </c>
      <c r="AT12" s="28">
        <v>21.3033</v>
      </c>
      <c r="AU12" s="22">
        <v>6</v>
      </c>
      <c r="AV12" s="8"/>
      <c r="AW12" s="8"/>
      <c r="AX12" s="22">
        <v>6</v>
      </c>
      <c r="AY12" s="28">
        <v>18.881699999999999</v>
      </c>
      <c r="AZ12" s="28">
        <v>18.6797</v>
      </c>
      <c r="BA12" s="28">
        <v>19.5335</v>
      </c>
      <c r="BB12" s="28">
        <v>24.108699999999999</v>
      </c>
      <c r="BC12" s="28">
        <v>24.3812</v>
      </c>
      <c r="BD12" s="28">
        <v>21.838799999999999</v>
      </c>
      <c r="BE12" s="28">
        <v>22.522500000000001</v>
      </c>
      <c r="BF12" s="28">
        <v>22.784500000000001</v>
      </c>
      <c r="BG12" s="28">
        <v>21.638300000000001</v>
      </c>
      <c r="BH12" s="28">
        <v>21.702500000000001</v>
      </c>
      <c r="BI12" s="28">
        <v>21.034500000000001</v>
      </c>
      <c r="BJ12" s="28">
        <v>19.908300000000001</v>
      </c>
      <c r="BK12" s="22">
        <v>6</v>
      </c>
      <c r="BN12" s="22">
        <v>6</v>
      </c>
      <c r="BO12" s="28">
        <v>19.607299999999999</v>
      </c>
      <c r="BP12" s="28">
        <v>19.1098</v>
      </c>
      <c r="BQ12" s="28">
        <v>19.303899999999999</v>
      </c>
      <c r="BR12" s="28">
        <v>19.172799999999999</v>
      </c>
      <c r="BS12" s="28">
        <v>19.101400000000002</v>
      </c>
      <c r="BT12" s="28">
        <v>19.6007</v>
      </c>
      <c r="BU12" s="28">
        <v>18.994700000000002</v>
      </c>
      <c r="BV12" s="28">
        <v>19.311599999999999</v>
      </c>
      <c r="BW12" s="28">
        <v>19.7806</v>
      </c>
      <c r="BX12" s="28">
        <v>19.736799999999999</v>
      </c>
      <c r="BY12" s="28">
        <v>19.1525</v>
      </c>
      <c r="BZ12" s="28">
        <v>19.470700000000001</v>
      </c>
      <c r="CA12" s="22">
        <v>6</v>
      </c>
      <c r="CD12" s="22">
        <v>6</v>
      </c>
      <c r="CE12" s="28">
        <v>19.242699999999999</v>
      </c>
      <c r="CF12" s="28">
        <v>18.400400000000001</v>
      </c>
      <c r="CG12" s="29">
        <v>18.890899999999998</v>
      </c>
      <c r="CH12" s="28">
        <v>18.224399999999999</v>
      </c>
      <c r="CI12" s="28">
        <v>19.122299999999999</v>
      </c>
      <c r="CJ12" s="28">
        <v>19.993400000000001</v>
      </c>
      <c r="CK12" s="28">
        <v>19.4284</v>
      </c>
      <c r="CL12" s="28">
        <v>18.634899999999998</v>
      </c>
      <c r="CM12" s="28">
        <v>19.360900000000001</v>
      </c>
      <c r="CN12" s="28">
        <v>19.1328</v>
      </c>
      <c r="CO12" s="28">
        <v>20.132899999999999</v>
      </c>
      <c r="CP12" s="28">
        <v>20.5123</v>
      </c>
      <c r="CQ12" s="22">
        <v>6</v>
      </c>
      <c r="CT12" s="22">
        <v>6</v>
      </c>
      <c r="CU12" s="28">
        <v>21.379899999999999</v>
      </c>
      <c r="CV12" s="28">
        <v>20.575700000000001</v>
      </c>
      <c r="CW12" s="28">
        <v>19.9373</v>
      </c>
      <c r="CX12" s="28">
        <v>18.833400000000001</v>
      </c>
      <c r="CY12" s="28">
        <v>18.803100000000001</v>
      </c>
      <c r="CZ12" s="28">
        <v>18.6204</v>
      </c>
      <c r="DA12" s="28">
        <v>18.203600000000002</v>
      </c>
      <c r="DB12" s="28">
        <v>17.8733</v>
      </c>
      <c r="DC12" s="28">
        <v>17.868300000000001</v>
      </c>
      <c r="DD12" s="28">
        <v>18.228200000000001</v>
      </c>
      <c r="DE12" s="28">
        <v>19.124099999999999</v>
      </c>
      <c r="DF12" s="28">
        <v>18.641999999999999</v>
      </c>
      <c r="DG12" s="22">
        <v>6</v>
      </c>
      <c r="DJ12" s="22">
        <v>6</v>
      </c>
      <c r="DK12" s="28">
        <v>17.352900000000002</v>
      </c>
      <c r="DL12" s="28">
        <v>18.1891</v>
      </c>
      <c r="DM12" s="28">
        <v>17.897099999999998</v>
      </c>
      <c r="DN12" s="28">
        <v>17.448399999999999</v>
      </c>
      <c r="DO12" s="28">
        <v>17.523399999999999</v>
      </c>
      <c r="DP12" s="28">
        <v>18.6097</v>
      </c>
      <c r="DQ12" s="28">
        <v>18.3858</v>
      </c>
      <c r="DR12" s="28">
        <v>18.8612</v>
      </c>
      <c r="DS12" s="28">
        <v>18.658899999999999</v>
      </c>
      <c r="DT12" s="28">
        <v>19.213799999999999</v>
      </c>
      <c r="DU12" s="28">
        <v>19.2014</v>
      </c>
      <c r="DV12" s="28">
        <v>20.614899999999999</v>
      </c>
      <c r="DW12" s="22">
        <v>6</v>
      </c>
      <c r="DZ12" s="22">
        <v>6</v>
      </c>
      <c r="EA12" s="28">
        <v>14.829000000000001</v>
      </c>
      <c r="EB12" s="28">
        <v>14.8011</v>
      </c>
      <c r="EC12" s="28">
        <v>15.0756</v>
      </c>
      <c r="ED12" s="28">
        <v>15.264699999999999</v>
      </c>
      <c r="EE12" s="28">
        <v>15.494</v>
      </c>
      <c r="EF12" s="28">
        <v>15.4833</v>
      </c>
      <c r="EG12" s="28">
        <v>15.6821</v>
      </c>
      <c r="EH12" s="28">
        <v>16.1736</v>
      </c>
      <c r="EI12" s="28">
        <v>16.944400000000002</v>
      </c>
      <c r="EJ12" s="28">
        <v>16.816199999999998</v>
      </c>
      <c r="EK12" s="28">
        <v>16.514700000000001</v>
      </c>
      <c r="EL12" s="28">
        <v>16.709499999999998</v>
      </c>
      <c r="EM12" s="22">
        <v>6</v>
      </c>
      <c r="EP12" s="22">
        <v>6</v>
      </c>
      <c r="EQ12" s="28">
        <v>13.101100000000001</v>
      </c>
      <c r="ER12" s="28">
        <v>13.392799999999999</v>
      </c>
      <c r="ES12" s="28">
        <v>13.2752</v>
      </c>
      <c r="ET12" s="28">
        <v>13.132400000000001</v>
      </c>
      <c r="EU12" s="28">
        <v>12.998100000000001</v>
      </c>
      <c r="EV12" s="28">
        <v>12.9527</v>
      </c>
      <c r="EW12" s="28">
        <v>12.982900000000001</v>
      </c>
      <c r="EX12" s="28">
        <v>13.196199999999999</v>
      </c>
      <c r="EY12" s="28">
        <v>13.0959</v>
      </c>
      <c r="EZ12" s="28">
        <v>13.4026</v>
      </c>
      <c r="FA12" s="28">
        <v>13.592499999999999</v>
      </c>
      <c r="FB12" s="28">
        <v>14.1165</v>
      </c>
      <c r="FC12" s="22">
        <v>6</v>
      </c>
      <c r="FF12" s="22">
        <v>6</v>
      </c>
      <c r="FG12" s="28">
        <v>12.743</v>
      </c>
      <c r="FH12" s="28">
        <v>12.637700000000001</v>
      </c>
      <c r="FI12" s="28">
        <v>12.7814</v>
      </c>
      <c r="FJ12" s="28">
        <v>12.319699999999999</v>
      </c>
      <c r="FK12" s="28">
        <v>12.175599999999999</v>
      </c>
      <c r="FL12" s="28">
        <v>12.7317</v>
      </c>
      <c r="FM12" s="28">
        <v>12.8902</v>
      </c>
      <c r="FN12" s="28">
        <v>12.6904</v>
      </c>
      <c r="FO12" s="28">
        <v>13.3065</v>
      </c>
      <c r="FP12" s="28">
        <v>13.266299999999999</v>
      </c>
      <c r="FQ12" s="28">
        <v>12.9869</v>
      </c>
      <c r="FR12" s="28">
        <v>13.082599999999999</v>
      </c>
      <c r="FS12" s="22">
        <v>6</v>
      </c>
      <c r="FV12" s="22">
        <v>6</v>
      </c>
      <c r="FW12" s="28">
        <v>13.714399999999999</v>
      </c>
      <c r="FX12" s="28">
        <v>12.803800000000001</v>
      </c>
      <c r="FY12" s="28">
        <v>12.7723</v>
      </c>
      <c r="FZ12" s="28">
        <v>12.7317</v>
      </c>
      <c r="GA12" s="28">
        <v>12.9725</v>
      </c>
      <c r="GB12" s="28">
        <v>14.244300000000001</v>
      </c>
      <c r="GC12" s="28">
        <v>13.361700000000001</v>
      </c>
      <c r="GD12" s="28">
        <v>13.3927</v>
      </c>
      <c r="GE12" s="28">
        <v>13.1793</v>
      </c>
      <c r="GF12" s="28">
        <v>12.758900000000001</v>
      </c>
      <c r="GG12" s="28">
        <v>13.0387</v>
      </c>
      <c r="GH12" s="28">
        <v>12.96</v>
      </c>
      <c r="GI12" s="22">
        <v>6</v>
      </c>
      <c r="GL12" s="22">
        <v>6</v>
      </c>
      <c r="GM12" s="28">
        <v>12.261900000000001</v>
      </c>
      <c r="GN12" s="28">
        <v>12.049899999999999</v>
      </c>
      <c r="GO12" s="28">
        <v>12.036799999999999</v>
      </c>
      <c r="GP12" s="28">
        <v>11.853300000000001</v>
      </c>
      <c r="GQ12" s="28">
        <v>11.6214</v>
      </c>
      <c r="GR12" s="28">
        <v>11.6739</v>
      </c>
      <c r="GS12" s="28">
        <v>11.592499999999999</v>
      </c>
      <c r="GT12" s="28">
        <v>11.952299999999999</v>
      </c>
      <c r="GU12" s="28">
        <v>12.3735</v>
      </c>
      <c r="GV12" s="28">
        <v>13.971399999999999</v>
      </c>
      <c r="GW12" s="28">
        <v>13.412800000000001</v>
      </c>
      <c r="GX12" s="28">
        <v>13.5488</v>
      </c>
      <c r="GY12" s="22">
        <v>6</v>
      </c>
      <c r="HB12" s="22">
        <v>6</v>
      </c>
      <c r="HC12" s="28">
        <v>12.922599999999999</v>
      </c>
      <c r="HD12" s="28">
        <v>13.0687</v>
      </c>
      <c r="HE12" s="28">
        <v>12.7182</v>
      </c>
      <c r="HF12" s="28">
        <v>12.3306</v>
      </c>
      <c r="HG12" s="28">
        <v>12.428800000000001</v>
      </c>
      <c r="HH12" s="28">
        <v>12.7644</v>
      </c>
      <c r="HI12" s="28">
        <v>13.058999999999999</v>
      </c>
      <c r="HJ12" s="28">
        <v>12.5535</v>
      </c>
      <c r="HK12" s="28">
        <v>13.055</v>
      </c>
      <c r="HL12" s="28">
        <v>12.5875</v>
      </c>
      <c r="HM12" s="28">
        <v>12.238099999999999</v>
      </c>
      <c r="HN12" s="28">
        <v>12.3546</v>
      </c>
      <c r="HO12" s="22">
        <v>6</v>
      </c>
      <c r="HR12" s="22">
        <v>6</v>
      </c>
      <c r="HS12" s="28">
        <v>13.767799999999999</v>
      </c>
      <c r="HT12" s="28">
        <v>14.466699999999999</v>
      </c>
      <c r="HU12" s="28">
        <v>15.2178</v>
      </c>
      <c r="HV12" s="28">
        <v>13.792400000000001</v>
      </c>
      <c r="HW12" s="28">
        <v>13.35</v>
      </c>
      <c r="HX12" s="28">
        <v>13.2675</v>
      </c>
      <c r="HY12" s="28">
        <v>13.169499999999999</v>
      </c>
      <c r="HZ12" s="28">
        <v>13.1073</v>
      </c>
      <c r="IA12" s="28">
        <v>13.5898</v>
      </c>
      <c r="IB12" s="28">
        <v>13.677300000000001</v>
      </c>
      <c r="IC12" s="28">
        <v>13.270799999999999</v>
      </c>
      <c r="ID12" s="28">
        <v>12.665800000000001</v>
      </c>
      <c r="IE12" s="22">
        <v>6</v>
      </c>
      <c r="IH12" s="22">
        <v>6</v>
      </c>
      <c r="II12" s="28">
        <v>10.8842</v>
      </c>
      <c r="IJ12" s="28">
        <v>10.813800000000001</v>
      </c>
      <c r="IK12" s="28">
        <v>10.7098</v>
      </c>
      <c r="IL12" s="28">
        <v>10.564399999999999</v>
      </c>
      <c r="IM12" s="28">
        <v>10.458500000000001</v>
      </c>
      <c r="IN12" s="28">
        <v>10.321099999999999</v>
      </c>
      <c r="IO12" s="28">
        <v>10.369199999999999</v>
      </c>
      <c r="IP12" s="28">
        <v>9.9335000000000004</v>
      </c>
      <c r="IQ12" s="28">
        <v>10.4658</v>
      </c>
      <c r="IR12" s="28">
        <v>11.1296</v>
      </c>
      <c r="IS12" s="28">
        <v>12.4862</v>
      </c>
      <c r="IT12" s="28">
        <v>13.5358</v>
      </c>
      <c r="IU12" s="22">
        <v>6</v>
      </c>
      <c r="IX12" s="22">
        <v>6</v>
      </c>
      <c r="IY12" s="28">
        <v>10.865</v>
      </c>
      <c r="IZ12" s="28">
        <v>10.981999999999999</v>
      </c>
      <c r="JA12" s="28">
        <v>11.181699999999999</v>
      </c>
      <c r="JB12" s="28">
        <v>10.979699999999999</v>
      </c>
      <c r="JC12" s="28">
        <v>10.901999999999999</v>
      </c>
      <c r="JD12" s="28">
        <v>10.7441</v>
      </c>
      <c r="JE12" s="28">
        <v>10.76</v>
      </c>
      <c r="JF12" s="28">
        <v>10.940200000000001</v>
      </c>
      <c r="JG12" s="28">
        <v>11.0265</v>
      </c>
      <c r="JH12" s="28">
        <v>10.8963</v>
      </c>
      <c r="JI12" s="28">
        <v>10.6639</v>
      </c>
      <c r="JJ12" s="28">
        <v>10.905900000000001</v>
      </c>
      <c r="JK12" s="22">
        <v>6</v>
      </c>
      <c r="JN12" s="22">
        <v>6</v>
      </c>
      <c r="JO12" s="28">
        <v>10.5815</v>
      </c>
      <c r="JP12" s="28">
        <v>10.480499999999999</v>
      </c>
      <c r="JQ12" s="28">
        <v>10.5113</v>
      </c>
      <c r="JR12" s="28">
        <v>10.854799999999999</v>
      </c>
      <c r="JS12" s="28">
        <v>10.9694</v>
      </c>
      <c r="JT12" s="28">
        <v>11.297000000000001</v>
      </c>
      <c r="JU12" s="28">
        <v>11.0642</v>
      </c>
      <c r="JV12" s="28">
        <v>10.9802</v>
      </c>
      <c r="JW12" s="28">
        <v>10.8476</v>
      </c>
      <c r="JX12" s="28">
        <v>11.0533</v>
      </c>
      <c r="JY12" s="28">
        <v>10.744899999999999</v>
      </c>
      <c r="JZ12" s="28">
        <v>10.9595</v>
      </c>
      <c r="KA12" s="22">
        <v>6</v>
      </c>
      <c r="KD12" s="22">
        <v>6</v>
      </c>
      <c r="KE12" s="28">
        <v>11.3087</v>
      </c>
      <c r="KF12" s="28">
        <v>11.1683</v>
      </c>
      <c r="KG12" s="28">
        <v>11.0837</v>
      </c>
      <c r="KH12" s="28">
        <v>11.217499999999999</v>
      </c>
      <c r="KI12" s="28">
        <v>10.981999999999999</v>
      </c>
      <c r="KJ12" s="28">
        <v>10.814399999999999</v>
      </c>
      <c r="KK12" s="28">
        <v>10.7438</v>
      </c>
      <c r="KL12" s="28">
        <v>10.5831</v>
      </c>
      <c r="KM12" s="28">
        <v>10.683999999999999</v>
      </c>
      <c r="KN12" s="28">
        <v>10.685700000000001</v>
      </c>
      <c r="KO12" s="28">
        <v>10.7218</v>
      </c>
      <c r="KP12" s="28">
        <v>10.4558</v>
      </c>
      <c r="KQ12" s="22">
        <v>6</v>
      </c>
      <c r="KT12" s="22">
        <v>6</v>
      </c>
      <c r="KU12" s="28">
        <v>11.0885</v>
      </c>
      <c r="KV12" s="28">
        <v>11.082000000000001</v>
      </c>
      <c r="KW12" s="28">
        <v>10.9955</v>
      </c>
      <c r="KX12" s="28">
        <v>11.1815</v>
      </c>
      <c r="KY12" s="28">
        <v>11.410500000000001</v>
      </c>
      <c r="KZ12" s="28">
        <v>11.4373</v>
      </c>
      <c r="LA12" s="28">
        <v>11.4763</v>
      </c>
      <c r="LB12" s="28">
        <v>11.4527</v>
      </c>
      <c r="LC12" s="28">
        <v>11.4725</v>
      </c>
      <c r="LD12" s="28">
        <v>11.350199999999999</v>
      </c>
      <c r="LE12" s="28">
        <v>11.411799999999999</v>
      </c>
      <c r="LF12" s="28">
        <v>11.145300000000001</v>
      </c>
      <c r="LG12" s="22">
        <v>6</v>
      </c>
      <c r="LJ12" s="22">
        <v>6</v>
      </c>
      <c r="LK12" s="28">
        <v>10.3626</v>
      </c>
      <c r="LL12" s="28">
        <v>10.8833</v>
      </c>
      <c r="LM12" s="28">
        <v>11.136699999999999</v>
      </c>
      <c r="LN12" s="28">
        <v>10.661899999999999</v>
      </c>
      <c r="LO12" s="28">
        <v>10.2003</v>
      </c>
      <c r="LP12" s="28">
        <v>10.388199999999999</v>
      </c>
      <c r="LQ12" s="28">
        <v>10.446999999999999</v>
      </c>
      <c r="LR12" s="28">
        <v>10.586399999999999</v>
      </c>
      <c r="LS12" s="28">
        <v>10.8575</v>
      </c>
      <c r="LT12" s="28">
        <v>11.160299999999999</v>
      </c>
      <c r="LU12" s="28">
        <v>10.9998</v>
      </c>
      <c r="LV12" s="28">
        <v>11.2224</v>
      </c>
      <c r="LW12" s="22">
        <v>6</v>
      </c>
      <c r="LZ12" s="22">
        <v>6</v>
      </c>
      <c r="MA12" s="28">
        <v>9.1142000000000003</v>
      </c>
      <c r="MB12" s="28">
        <v>9.1544000000000008</v>
      </c>
      <c r="MC12" s="28">
        <v>9.0723000000000003</v>
      </c>
      <c r="MD12" s="28">
        <v>9.0467999999999993</v>
      </c>
      <c r="ME12" s="28">
        <v>9.4169999999999998</v>
      </c>
      <c r="MF12" s="28">
        <v>9.7059999999999995</v>
      </c>
      <c r="MG12" s="28">
        <v>9.9502000000000006</v>
      </c>
      <c r="MH12" s="28">
        <v>9.8412000000000006</v>
      </c>
      <c r="MI12" s="28">
        <v>10.0154</v>
      </c>
      <c r="MJ12" s="28">
        <v>10.139799999999999</v>
      </c>
      <c r="MK12" s="28">
        <v>10.182</v>
      </c>
      <c r="ML12" s="28">
        <v>10.2287</v>
      </c>
      <c r="MM12" s="22">
        <v>6</v>
      </c>
      <c r="MP12" s="22">
        <v>6</v>
      </c>
      <c r="MQ12" s="28">
        <v>9.7080000000000002</v>
      </c>
      <c r="MR12" s="28">
        <v>9.7327999999999992</v>
      </c>
      <c r="MS12" s="28">
        <v>9.6687999999999992</v>
      </c>
      <c r="MT12" s="28">
        <v>9.4200999999999997</v>
      </c>
      <c r="MU12" s="28">
        <v>9.2873000000000001</v>
      </c>
      <c r="MV12" s="28">
        <v>9.1369000000000007</v>
      </c>
      <c r="MW12" s="28">
        <v>9.0707000000000004</v>
      </c>
      <c r="MX12" s="28">
        <v>9.1698000000000004</v>
      </c>
      <c r="MY12" s="28">
        <v>9.1957000000000004</v>
      </c>
      <c r="MZ12" s="28">
        <v>9.5243000000000002</v>
      </c>
      <c r="NA12" s="28">
        <v>9.2782999999999998</v>
      </c>
      <c r="NB12" s="28">
        <v>9.2196999999999996</v>
      </c>
      <c r="NC12" s="22">
        <v>6</v>
      </c>
      <c r="NF12" s="22">
        <v>6</v>
      </c>
      <c r="NG12" s="28">
        <v>9.4564000000000004</v>
      </c>
      <c r="NH12" s="28">
        <v>9.5010999999999992</v>
      </c>
      <c r="NI12" s="28">
        <v>9.3382000000000005</v>
      </c>
      <c r="NJ12" s="28">
        <v>9.2878000000000007</v>
      </c>
      <c r="NK12" s="28">
        <v>9.3848000000000003</v>
      </c>
      <c r="NL12" s="28">
        <v>9.5460999999999991</v>
      </c>
      <c r="NM12" s="28">
        <v>9.4876000000000005</v>
      </c>
      <c r="NN12" s="28">
        <v>9.3880999999999997</v>
      </c>
      <c r="NO12" s="28">
        <v>9.2231000000000005</v>
      </c>
      <c r="NP12" s="28">
        <v>9.4291999999999998</v>
      </c>
      <c r="NQ12" s="28">
        <v>9.5823999999999998</v>
      </c>
      <c r="NR12" s="28">
        <v>9.4131999999999998</v>
      </c>
      <c r="NS12" s="22">
        <v>6</v>
      </c>
      <c r="NV12" s="22">
        <v>6</v>
      </c>
      <c r="NW12" s="28">
        <v>9.8376000000000001</v>
      </c>
      <c r="NX12" s="28">
        <v>10.113799999999999</v>
      </c>
      <c r="NY12" s="28">
        <v>9.9334000000000007</v>
      </c>
      <c r="NZ12" s="28">
        <v>9.5218000000000007</v>
      </c>
      <c r="OA12" s="28">
        <v>9.2689000000000004</v>
      </c>
      <c r="OB12" s="28">
        <v>9.6545000000000005</v>
      </c>
      <c r="OC12" s="28">
        <v>9.3513000000000002</v>
      </c>
      <c r="OD12" s="28">
        <v>9.4364000000000008</v>
      </c>
      <c r="OE12" s="28">
        <v>9.3739000000000008</v>
      </c>
      <c r="OF12" s="28">
        <v>9.4530999999999992</v>
      </c>
      <c r="OG12" s="28">
        <v>9.4711999999999996</v>
      </c>
      <c r="OH12" s="28">
        <v>9.5326000000000004</v>
      </c>
      <c r="OI12" s="22">
        <v>6</v>
      </c>
      <c r="OL12" s="22">
        <v>6</v>
      </c>
      <c r="OM12" s="28">
        <v>8.0585000000000004</v>
      </c>
      <c r="ON12" s="28">
        <v>8.4322999999999997</v>
      </c>
      <c r="OO12" s="28">
        <v>8.5824999999999996</v>
      </c>
      <c r="OP12" s="28">
        <v>8.5213999999999999</v>
      </c>
      <c r="OQ12" s="28">
        <v>8.4898000000000007</v>
      </c>
      <c r="OR12" s="28">
        <v>8.7803000000000004</v>
      </c>
      <c r="OS12" s="28">
        <v>8.9863</v>
      </c>
      <c r="OT12" s="28">
        <v>8.9648000000000003</v>
      </c>
      <c r="OU12" s="28">
        <v>10.107200000000001</v>
      </c>
      <c r="OV12" s="28">
        <v>10.313700000000001</v>
      </c>
      <c r="OW12" s="28">
        <v>9.9365000000000006</v>
      </c>
      <c r="OX12" s="28">
        <v>9.9876000000000005</v>
      </c>
      <c r="OY12" s="22">
        <v>6</v>
      </c>
      <c r="PB12" s="22">
        <v>6</v>
      </c>
      <c r="PC12" s="28">
        <v>7.9027000000000003</v>
      </c>
      <c r="PD12" s="28">
        <v>7.8182999999999998</v>
      </c>
      <c r="PE12" s="28">
        <v>7.9737</v>
      </c>
      <c r="PF12" s="28">
        <v>7.9720000000000004</v>
      </c>
      <c r="PG12" s="28">
        <v>7.9519000000000002</v>
      </c>
      <c r="PH12" s="28">
        <v>7.9283000000000001</v>
      </c>
      <c r="PI12" s="28">
        <v>7.9497</v>
      </c>
      <c r="PJ12" s="28">
        <v>7.8310000000000004</v>
      </c>
      <c r="PK12" s="28">
        <v>7.7881999999999998</v>
      </c>
      <c r="PL12" s="28">
        <v>7.7530000000000001</v>
      </c>
      <c r="PM12" s="28">
        <v>8.2535000000000007</v>
      </c>
      <c r="PN12" s="28">
        <v>8.1057000000000006</v>
      </c>
      <c r="PO12" s="22">
        <v>6</v>
      </c>
      <c r="PR12" s="22">
        <v>6</v>
      </c>
      <c r="PS12" s="28">
        <v>7.57</v>
      </c>
      <c r="PT12" s="28">
        <v>7.4169999999999998</v>
      </c>
      <c r="PU12" s="28">
        <v>7.5747</v>
      </c>
      <c r="PV12" s="28">
        <v>7.5110000000000001</v>
      </c>
      <c r="PW12" s="28">
        <v>7.4691999999999998</v>
      </c>
      <c r="PX12" s="28">
        <v>7.4313000000000002</v>
      </c>
      <c r="PY12" s="28">
        <v>7.6093000000000002</v>
      </c>
      <c r="PZ12" s="28">
        <v>7.5374999999999996</v>
      </c>
      <c r="QA12" s="28">
        <v>7.5620000000000003</v>
      </c>
      <c r="QB12" s="28">
        <v>7.5301999999999998</v>
      </c>
      <c r="QC12" s="28">
        <v>7.9241999999999999</v>
      </c>
      <c r="QD12" s="28">
        <v>7.8625999999999996</v>
      </c>
      <c r="QE12" s="22">
        <v>6</v>
      </c>
      <c r="QH12" s="22">
        <v>6</v>
      </c>
      <c r="QI12" s="28">
        <v>5.53</v>
      </c>
      <c r="QJ12" s="28">
        <v>5.4550000000000001</v>
      </c>
      <c r="QK12" s="28">
        <v>5.9625000000000004</v>
      </c>
      <c r="QL12" s="28">
        <v>6.5883000000000003</v>
      </c>
      <c r="QM12" s="28">
        <v>5.8692000000000002</v>
      </c>
      <c r="QN12" s="28">
        <v>6.2016999999999998</v>
      </c>
      <c r="QO12" s="28">
        <v>6.2683</v>
      </c>
      <c r="QP12" s="28">
        <v>6.1257999999999999</v>
      </c>
      <c r="QQ12" s="28">
        <v>6.2453000000000003</v>
      </c>
      <c r="QR12" s="28">
        <v>6.5425000000000004</v>
      </c>
      <c r="QS12" s="28">
        <v>7.4032999999999998</v>
      </c>
      <c r="QT12" s="28">
        <v>7.6166999999999998</v>
      </c>
      <c r="QU12" s="22">
        <v>6</v>
      </c>
      <c r="QX12" s="22">
        <v>6</v>
      </c>
      <c r="QY12" s="28">
        <v>3.1128999999999998</v>
      </c>
      <c r="QZ12" s="28">
        <v>3.1055999999999999</v>
      </c>
      <c r="RA12" s="28">
        <v>3.2513000000000001</v>
      </c>
      <c r="RB12" s="28">
        <v>3.3626</v>
      </c>
      <c r="RC12" s="28">
        <v>3.3144999999999998</v>
      </c>
      <c r="RD12" s="28">
        <v>3.3252999999999999</v>
      </c>
      <c r="RE12" s="28">
        <v>3.399</v>
      </c>
      <c r="RF12" s="28">
        <v>3.3780999999999999</v>
      </c>
      <c r="RG12" s="28">
        <v>3.3778000000000001</v>
      </c>
      <c r="RH12" s="28">
        <v>3.4142999999999999</v>
      </c>
      <c r="RI12" s="28">
        <v>3.4350000000000001</v>
      </c>
      <c r="RJ12" s="28">
        <v>3.4379</v>
      </c>
      <c r="RK12" s="22">
        <v>6</v>
      </c>
      <c r="RN12" s="22">
        <v>6</v>
      </c>
      <c r="RO12" s="28">
        <v>3.117</v>
      </c>
      <c r="RP12" s="28">
        <v>3.1017000000000001</v>
      </c>
      <c r="RQ12" s="28">
        <v>3.0960999999999999</v>
      </c>
      <c r="RR12" s="28">
        <v>3.0937000000000001</v>
      </c>
      <c r="RS12" s="28">
        <v>3.1078999999999999</v>
      </c>
      <c r="RT12" s="28">
        <v>3.125</v>
      </c>
      <c r="RU12" s="28">
        <v>3.1223999999999998</v>
      </c>
      <c r="RV12" s="28">
        <v>3.1097000000000001</v>
      </c>
      <c r="RW12" s="28">
        <v>3.1139000000000001</v>
      </c>
      <c r="RX12" s="28">
        <v>3.1131000000000002</v>
      </c>
      <c r="RY12" s="28">
        <v>3.1476000000000002</v>
      </c>
      <c r="RZ12" s="28">
        <v>3.1036999999999999</v>
      </c>
      <c r="SA12" s="22">
        <v>6</v>
      </c>
      <c r="SD12" s="22">
        <v>6</v>
      </c>
      <c r="SE12" s="28">
        <v>3.0752999999999999</v>
      </c>
      <c r="SF12" s="28">
        <v>3.0655999999999999</v>
      </c>
      <c r="SG12" s="28">
        <v>3.0606</v>
      </c>
      <c r="SH12" s="28">
        <v>3.0609000000000002</v>
      </c>
      <c r="SI12" s="28">
        <v>3.0785999999999998</v>
      </c>
      <c r="SJ12" s="28">
        <v>3.1179000000000001</v>
      </c>
      <c r="SK12" s="28">
        <v>3.1204000000000001</v>
      </c>
      <c r="SL12" s="28">
        <v>3.1071</v>
      </c>
      <c r="SM12" s="28">
        <v>3.0699000000000001</v>
      </c>
      <c r="SN12" s="28">
        <v>3.1145</v>
      </c>
      <c r="SO12" s="28">
        <v>3.1271</v>
      </c>
      <c r="SP12" s="28">
        <v>3.1139000000000001</v>
      </c>
      <c r="SQ12" s="22">
        <v>6</v>
      </c>
      <c r="ST12" s="22">
        <v>6</v>
      </c>
      <c r="SU12" s="28">
        <v>2.9478</v>
      </c>
      <c r="SV12" s="28">
        <v>2.9605999999999999</v>
      </c>
      <c r="SW12" s="28">
        <v>2.9718</v>
      </c>
      <c r="SX12" s="28">
        <v>2.9842</v>
      </c>
      <c r="SY12" s="28">
        <v>2.9954000000000001</v>
      </c>
      <c r="SZ12" s="28">
        <v>3.0085999999999999</v>
      </c>
      <c r="TA12" s="28">
        <v>3.0206</v>
      </c>
      <c r="TB12" s="28">
        <v>3.0322</v>
      </c>
      <c r="TC12" s="28">
        <v>3.0453999999999999</v>
      </c>
      <c r="TD12" s="28">
        <v>3.0586000000000002</v>
      </c>
      <c r="TE12" s="28">
        <v>3.0706000000000002</v>
      </c>
      <c r="TF12" s="28">
        <v>3.0660400000000001</v>
      </c>
      <c r="TG12" s="22">
        <v>6</v>
      </c>
      <c r="TJ12" s="22">
        <v>6</v>
      </c>
      <c r="TK12" s="28">
        <v>2.6480000000000001</v>
      </c>
      <c r="TL12" s="28">
        <v>2.677</v>
      </c>
      <c r="TM12" s="28">
        <v>2.7050000000000001</v>
      </c>
      <c r="TN12" s="28">
        <v>2.738</v>
      </c>
      <c r="TO12" s="28">
        <v>2.7669999999999999</v>
      </c>
      <c r="TP12" s="28">
        <v>2.7978000000000001</v>
      </c>
      <c r="TQ12" s="28">
        <v>2.8218000000000001</v>
      </c>
      <c r="TR12" s="28">
        <v>2.8450000000000002</v>
      </c>
      <c r="TS12" s="28">
        <v>2.8714</v>
      </c>
      <c r="TT12" s="28">
        <v>2.8954</v>
      </c>
      <c r="TU12" s="28">
        <v>2.9186000000000001</v>
      </c>
      <c r="TV12" s="28">
        <v>2.9358</v>
      </c>
      <c r="TW12" s="22">
        <v>6</v>
      </c>
      <c r="TZ12" s="22">
        <v>6</v>
      </c>
      <c r="UA12" s="28">
        <v>2.2829999999999999</v>
      </c>
      <c r="UB12" s="28">
        <v>2.3119999999999998</v>
      </c>
      <c r="UC12" s="28">
        <v>2.34</v>
      </c>
      <c r="UD12" s="28">
        <v>2.3730000000000002</v>
      </c>
      <c r="UE12" s="28">
        <v>2.403</v>
      </c>
      <c r="UF12" s="28">
        <v>2.4319999999999999</v>
      </c>
      <c r="UG12" s="28">
        <v>2.464</v>
      </c>
      <c r="UH12" s="28">
        <v>2.4940000000000002</v>
      </c>
      <c r="UI12" s="28">
        <v>2.5259999999999998</v>
      </c>
      <c r="UJ12" s="28">
        <v>2.556</v>
      </c>
      <c r="UK12" s="28">
        <v>2.585</v>
      </c>
      <c r="UL12" s="28">
        <v>2.617</v>
      </c>
      <c r="UM12" s="22">
        <v>6</v>
      </c>
    </row>
    <row r="13" spans="2:559" s="7" customFormat="1" ht="19.2">
      <c r="B13" s="22">
        <v>7</v>
      </c>
      <c r="C13" s="28">
        <v>19.3672</v>
      </c>
      <c r="D13" s="28">
        <v>18.623200000000001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2">
        <v>7</v>
      </c>
      <c r="R13" s="22">
        <v>7</v>
      </c>
      <c r="S13" s="28">
        <v>20.3977</v>
      </c>
      <c r="T13" s="28">
        <v>20.5562</v>
      </c>
      <c r="U13" s="28">
        <v>20.703299999999999</v>
      </c>
      <c r="V13" s="28">
        <v>19.901199999999999</v>
      </c>
      <c r="W13" s="28">
        <v>20.253499999999999</v>
      </c>
      <c r="X13" s="28">
        <v>19.574200000000001</v>
      </c>
      <c r="Y13" s="28">
        <v>20.559799999999999</v>
      </c>
      <c r="Z13" s="28">
        <v>20.335799999999999</v>
      </c>
      <c r="AA13" s="28">
        <v>19.962</v>
      </c>
      <c r="AB13" s="28">
        <v>20.1267</v>
      </c>
      <c r="AC13" s="28">
        <v>19.667300000000001</v>
      </c>
      <c r="AD13" s="28">
        <v>19.756699999999999</v>
      </c>
      <c r="AE13" s="22">
        <v>7</v>
      </c>
      <c r="AH13" s="22">
        <v>7</v>
      </c>
      <c r="AI13" s="28">
        <v>19.9437</v>
      </c>
      <c r="AJ13" s="28">
        <v>20.4435</v>
      </c>
      <c r="AK13" s="28">
        <v>20.849799999999998</v>
      </c>
      <c r="AL13" s="28">
        <v>20.2483</v>
      </c>
      <c r="AM13" s="28">
        <v>20.223500000000001</v>
      </c>
      <c r="AN13" s="28">
        <v>20.060500000000001</v>
      </c>
      <c r="AO13" s="28">
        <v>19.853200000000001</v>
      </c>
      <c r="AP13" s="28">
        <v>19.929300000000001</v>
      </c>
      <c r="AQ13" s="28">
        <v>19.8992</v>
      </c>
      <c r="AR13" s="28">
        <v>20.581800000000001</v>
      </c>
      <c r="AS13" s="28">
        <v>20.624199999999998</v>
      </c>
      <c r="AT13" s="28">
        <v>21.4177</v>
      </c>
      <c r="AU13" s="22">
        <v>7</v>
      </c>
      <c r="AV13" s="8"/>
      <c r="AW13" s="8"/>
      <c r="AX13" s="22">
        <v>7</v>
      </c>
      <c r="AY13" s="28">
        <v>18.8673</v>
      </c>
      <c r="AZ13" s="28">
        <v>18.624500000000001</v>
      </c>
      <c r="BA13" s="28">
        <v>19.8095</v>
      </c>
      <c r="BB13" s="28">
        <v>24.6938</v>
      </c>
      <c r="BC13" s="28">
        <v>23.834299999999999</v>
      </c>
      <c r="BD13" s="28">
        <v>21.838799999999999</v>
      </c>
      <c r="BE13" s="28">
        <v>22.4147</v>
      </c>
      <c r="BF13" s="28">
        <v>22.4068</v>
      </c>
      <c r="BG13" s="28">
        <v>21.638300000000001</v>
      </c>
      <c r="BH13" s="28">
        <v>21.396000000000001</v>
      </c>
      <c r="BI13" s="28">
        <v>20.761199999999999</v>
      </c>
      <c r="BJ13" s="28">
        <v>19.908300000000001</v>
      </c>
      <c r="BK13" s="22">
        <v>7</v>
      </c>
      <c r="BN13" s="22">
        <v>7</v>
      </c>
      <c r="BO13" s="28">
        <v>19.607299999999999</v>
      </c>
      <c r="BP13" s="28">
        <v>19.0824</v>
      </c>
      <c r="BQ13" s="29">
        <v>19.259699999999999</v>
      </c>
      <c r="BR13" s="28">
        <v>19.172799999999999</v>
      </c>
      <c r="BS13" s="28">
        <v>19.001200000000001</v>
      </c>
      <c r="BT13" s="28">
        <v>19.541799999999999</v>
      </c>
      <c r="BU13" s="28">
        <v>18.994700000000002</v>
      </c>
      <c r="BV13" s="28">
        <v>19.5731</v>
      </c>
      <c r="BW13" s="28">
        <v>19.683399999999999</v>
      </c>
      <c r="BX13" s="28">
        <v>19.736799999999999</v>
      </c>
      <c r="BY13" s="28">
        <v>19.212499999999999</v>
      </c>
      <c r="BZ13" s="28">
        <v>19.3688</v>
      </c>
      <c r="CA13" s="22">
        <v>7</v>
      </c>
      <c r="CD13" s="22">
        <v>7</v>
      </c>
      <c r="CE13" s="28">
        <v>19.242699999999999</v>
      </c>
      <c r="CF13" s="28">
        <v>18.524799999999999</v>
      </c>
      <c r="CG13" s="29">
        <v>18.883800000000001</v>
      </c>
      <c r="CH13" s="28">
        <v>18.1081</v>
      </c>
      <c r="CI13" s="28">
        <v>19.122299999999999</v>
      </c>
      <c r="CJ13" s="28">
        <v>20.386299999999999</v>
      </c>
      <c r="CK13" s="28">
        <v>19.251300000000001</v>
      </c>
      <c r="CL13" s="28">
        <v>18.572500000000002</v>
      </c>
      <c r="CM13" s="28">
        <v>19.443300000000001</v>
      </c>
      <c r="CN13" s="28">
        <v>19.1328</v>
      </c>
      <c r="CO13" s="28">
        <v>19.9636</v>
      </c>
      <c r="CP13" s="28">
        <v>20.5672</v>
      </c>
      <c r="CQ13" s="22">
        <v>7</v>
      </c>
      <c r="CT13" s="22">
        <v>7</v>
      </c>
      <c r="CU13" s="28">
        <v>21.366099999999999</v>
      </c>
      <c r="CV13" s="28">
        <v>20.575700000000001</v>
      </c>
      <c r="CW13" s="28">
        <v>19.614699999999999</v>
      </c>
      <c r="CX13" s="28">
        <v>18.719200000000001</v>
      </c>
      <c r="CY13" s="28">
        <v>18.803100000000001</v>
      </c>
      <c r="CZ13" s="28">
        <v>18.381900000000002</v>
      </c>
      <c r="DA13" s="28">
        <v>18.355599999999999</v>
      </c>
      <c r="DB13" s="28">
        <v>17.8733</v>
      </c>
      <c r="DC13" s="28">
        <v>17.835999999999999</v>
      </c>
      <c r="DD13" s="28">
        <v>18.306000000000001</v>
      </c>
      <c r="DE13" s="28">
        <v>19.184999999999999</v>
      </c>
      <c r="DF13" s="28">
        <v>18.695799999999998</v>
      </c>
      <c r="DG13" s="22">
        <v>7</v>
      </c>
      <c r="DJ13" s="22">
        <v>7</v>
      </c>
      <c r="DK13" s="28">
        <v>17.345600000000001</v>
      </c>
      <c r="DL13" s="28">
        <v>18.1891</v>
      </c>
      <c r="DM13" s="28">
        <v>17.897099999999998</v>
      </c>
      <c r="DN13" s="28">
        <v>17.725200000000001</v>
      </c>
      <c r="DO13" s="28">
        <v>17.735800000000001</v>
      </c>
      <c r="DP13" s="28">
        <v>18.628299999999999</v>
      </c>
      <c r="DQ13" s="28">
        <v>18.753599999999999</v>
      </c>
      <c r="DR13" s="28">
        <v>18.8612</v>
      </c>
      <c r="DS13" s="28">
        <v>18.5581</v>
      </c>
      <c r="DT13" s="28">
        <v>19.255400000000002</v>
      </c>
      <c r="DU13" s="28">
        <v>19.2014</v>
      </c>
      <c r="DV13" s="28">
        <v>20.592700000000001</v>
      </c>
      <c r="DW13" s="22">
        <v>7</v>
      </c>
      <c r="DZ13" s="22">
        <v>7</v>
      </c>
      <c r="EA13" s="28">
        <v>14.946899999999999</v>
      </c>
      <c r="EB13" s="28">
        <v>14.754799999999999</v>
      </c>
      <c r="EC13" s="28">
        <v>15.1686</v>
      </c>
      <c r="ED13" s="28">
        <v>15.1206</v>
      </c>
      <c r="EE13" s="28">
        <v>15.3225</v>
      </c>
      <c r="EF13" s="28">
        <v>15.4833</v>
      </c>
      <c r="EG13" s="28">
        <v>15.691800000000001</v>
      </c>
      <c r="EH13" s="28">
        <v>16.376200000000001</v>
      </c>
      <c r="EI13" s="28">
        <v>16.791799999999999</v>
      </c>
      <c r="EJ13" s="28">
        <v>16.694099999999999</v>
      </c>
      <c r="EK13" s="28">
        <v>16.5959</v>
      </c>
      <c r="EL13" s="28">
        <v>16.709499999999998</v>
      </c>
      <c r="EM13" s="22">
        <v>7</v>
      </c>
      <c r="EP13" s="22">
        <v>7</v>
      </c>
      <c r="EQ13" s="28">
        <v>13.091100000000001</v>
      </c>
      <c r="ER13" s="28">
        <v>13.3705</v>
      </c>
      <c r="ES13" s="28">
        <v>13.251899999999999</v>
      </c>
      <c r="ET13" s="28">
        <v>13.132400000000001</v>
      </c>
      <c r="EU13" s="28">
        <v>13.010199999999999</v>
      </c>
      <c r="EV13" s="28">
        <v>12.886799999999999</v>
      </c>
      <c r="EW13" s="28">
        <v>12.982900000000001</v>
      </c>
      <c r="EX13" s="28">
        <v>13.271599999999999</v>
      </c>
      <c r="EY13" s="28">
        <v>13.0959</v>
      </c>
      <c r="EZ13" s="28">
        <v>13.483499999999999</v>
      </c>
      <c r="FA13" s="28">
        <v>13.606999999999999</v>
      </c>
      <c r="FB13" s="28">
        <v>14.1165</v>
      </c>
      <c r="FC13" s="22">
        <v>7</v>
      </c>
      <c r="FF13" s="22">
        <v>7</v>
      </c>
      <c r="FG13" s="28">
        <v>12.743</v>
      </c>
      <c r="FH13" s="28">
        <v>12.6294</v>
      </c>
      <c r="FI13" s="28">
        <v>12.7355</v>
      </c>
      <c r="FJ13" s="28">
        <v>12.319699999999999</v>
      </c>
      <c r="FK13" s="28">
        <v>12.085100000000001</v>
      </c>
      <c r="FL13" s="28">
        <v>12.816700000000001</v>
      </c>
      <c r="FM13" s="28">
        <v>12.8902</v>
      </c>
      <c r="FN13" s="28">
        <v>12.6759</v>
      </c>
      <c r="FO13" s="28">
        <v>13.4079</v>
      </c>
      <c r="FP13" s="28">
        <v>13.266299999999999</v>
      </c>
      <c r="FQ13" s="28">
        <v>13.1341</v>
      </c>
      <c r="FR13" s="28">
        <v>13.005699999999999</v>
      </c>
      <c r="FS13" s="22">
        <v>7</v>
      </c>
      <c r="FV13" s="22">
        <v>7</v>
      </c>
      <c r="FW13" s="28">
        <v>13.7409</v>
      </c>
      <c r="FX13" s="28">
        <v>12.803800000000001</v>
      </c>
      <c r="FY13" s="28">
        <v>12.8339</v>
      </c>
      <c r="FZ13" s="28">
        <v>12.7317</v>
      </c>
      <c r="GA13" s="28">
        <v>12.9725</v>
      </c>
      <c r="GB13" s="28">
        <v>14.2319</v>
      </c>
      <c r="GC13" s="28">
        <v>13.3508</v>
      </c>
      <c r="GD13" s="28">
        <v>13.1357</v>
      </c>
      <c r="GE13" s="28">
        <v>13.1221</v>
      </c>
      <c r="GF13" s="28">
        <v>12.758900000000001</v>
      </c>
      <c r="GG13" s="28">
        <v>13.0449</v>
      </c>
      <c r="GH13" s="28">
        <v>12.9284</v>
      </c>
      <c r="GI13" s="22">
        <v>7</v>
      </c>
      <c r="GL13" s="22">
        <v>7</v>
      </c>
      <c r="GM13" s="28">
        <v>12.2064</v>
      </c>
      <c r="GN13" s="28">
        <v>12.049899999999999</v>
      </c>
      <c r="GO13" s="28">
        <v>12.036799999999999</v>
      </c>
      <c r="GP13" s="28">
        <v>11.8322</v>
      </c>
      <c r="GQ13" s="28">
        <v>11.6934</v>
      </c>
      <c r="GR13" s="28">
        <v>11.668900000000001</v>
      </c>
      <c r="GS13" s="28">
        <v>11.619400000000001</v>
      </c>
      <c r="GT13" s="28">
        <v>11.952299999999999</v>
      </c>
      <c r="GU13" s="28">
        <v>12.535299999999999</v>
      </c>
      <c r="GV13" s="28">
        <v>13.6675</v>
      </c>
      <c r="GW13" s="28">
        <v>13.412800000000001</v>
      </c>
      <c r="GX13" s="28">
        <v>13.4786</v>
      </c>
      <c r="GY13" s="22">
        <v>7</v>
      </c>
      <c r="HB13" s="22">
        <v>7</v>
      </c>
      <c r="HC13" s="28">
        <v>12.8241</v>
      </c>
      <c r="HD13" s="28">
        <v>13.0687</v>
      </c>
      <c r="HE13" s="28">
        <v>12.7182</v>
      </c>
      <c r="HF13" s="28">
        <v>12.2658</v>
      </c>
      <c r="HG13" s="28">
        <v>12.663500000000001</v>
      </c>
      <c r="HH13" s="28">
        <v>12.7644</v>
      </c>
      <c r="HI13" s="28">
        <v>13.0953</v>
      </c>
      <c r="HJ13" s="28">
        <v>12.5367</v>
      </c>
      <c r="HK13" s="28">
        <v>12.9526</v>
      </c>
      <c r="HL13" s="28">
        <v>12.5099</v>
      </c>
      <c r="HM13" s="28">
        <v>12.238099999999999</v>
      </c>
      <c r="HN13" s="28">
        <v>12.3597</v>
      </c>
      <c r="HO13" s="22">
        <v>7</v>
      </c>
      <c r="HR13" s="22">
        <v>7</v>
      </c>
      <c r="HS13" s="28">
        <v>13.550700000000001</v>
      </c>
      <c r="HT13" s="28">
        <v>14.294499999999999</v>
      </c>
      <c r="HU13" s="28">
        <v>15.285500000000001</v>
      </c>
      <c r="HV13" s="28">
        <v>13.6137</v>
      </c>
      <c r="HW13" s="28">
        <v>13.2242</v>
      </c>
      <c r="HX13" s="28">
        <v>13.2675</v>
      </c>
      <c r="HY13" s="28">
        <v>13.242800000000001</v>
      </c>
      <c r="HZ13" s="28">
        <v>13.105</v>
      </c>
      <c r="IA13" s="28">
        <v>13.5898</v>
      </c>
      <c r="IB13" s="28">
        <v>13.654999999999999</v>
      </c>
      <c r="IC13" s="28">
        <v>13.343</v>
      </c>
      <c r="ID13" s="28">
        <v>12.665800000000001</v>
      </c>
      <c r="IE13" s="22">
        <v>7</v>
      </c>
      <c r="IH13" s="22">
        <v>7</v>
      </c>
      <c r="II13" s="28">
        <v>10.8842</v>
      </c>
      <c r="IJ13" s="28">
        <v>10.828900000000001</v>
      </c>
      <c r="IK13" s="28">
        <v>10.697800000000001</v>
      </c>
      <c r="IL13" s="28">
        <v>10.564399999999999</v>
      </c>
      <c r="IM13" s="28">
        <v>10.4687</v>
      </c>
      <c r="IN13" s="28">
        <v>10.3108</v>
      </c>
      <c r="IO13" s="28">
        <v>10.369199999999999</v>
      </c>
      <c r="IP13" s="28">
        <v>9.9179999999999993</v>
      </c>
      <c r="IQ13" s="28">
        <v>10.4658</v>
      </c>
      <c r="IR13" s="28">
        <v>11.1188</v>
      </c>
      <c r="IS13" s="28">
        <v>12.604200000000001</v>
      </c>
      <c r="IT13" s="28">
        <v>13.5358</v>
      </c>
      <c r="IU13" s="22">
        <v>7</v>
      </c>
      <c r="IX13" s="22">
        <v>7</v>
      </c>
      <c r="IY13" s="28">
        <v>10.865</v>
      </c>
      <c r="IZ13" s="28">
        <v>10.992100000000001</v>
      </c>
      <c r="JA13" s="28">
        <v>11.1762</v>
      </c>
      <c r="JB13" s="28">
        <v>10.979699999999999</v>
      </c>
      <c r="JC13" s="28">
        <v>10.901999999999999</v>
      </c>
      <c r="JD13" s="28">
        <v>10.780900000000001</v>
      </c>
      <c r="JE13" s="28">
        <v>10.7936</v>
      </c>
      <c r="JF13" s="28">
        <v>10.967700000000001</v>
      </c>
      <c r="JG13" s="28">
        <v>11.0848</v>
      </c>
      <c r="JH13" s="28">
        <v>10.8963</v>
      </c>
      <c r="JI13" s="28">
        <v>10.7308</v>
      </c>
      <c r="JJ13" s="28">
        <v>10.8592</v>
      </c>
      <c r="JK13" s="22">
        <v>7</v>
      </c>
      <c r="JN13" s="22">
        <v>7</v>
      </c>
      <c r="JO13" s="28">
        <v>10.5907</v>
      </c>
      <c r="JP13" s="28">
        <v>10.480499999999999</v>
      </c>
      <c r="JQ13" s="28">
        <v>10.575900000000001</v>
      </c>
      <c r="JR13" s="28">
        <v>10.9467</v>
      </c>
      <c r="JS13" s="28">
        <v>10.9694</v>
      </c>
      <c r="JT13" s="28">
        <v>11.285399999999999</v>
      </c>
      <c r="JU13" s="28">
        <v>11.190099999999999</v>
      </c>
      <c r="JV13" s="28">
        <v>10.9802</v>
      </c>
      <c r="JW13" s="28">
        <v>10.8438</v>
      </c>
      <c r="JX13" s="28">
        <v>11.0185</v>
      </c>
      <c r="JY13" s="28">
        <v>10.7948</v>
      </c>
      <c r="JZ13" s="28">
        <v>10.894</v>
      </c>
      <c r="KA13" s="22">
        <v>7</v>
      </c>
      <c r="KD13" s="22">
        <v>7</v>
      </c>
      <c r="KE13" s="28">
        <v>11.341799999999999</v>
      </c>
      <c r="KF13" s="28">
        <v>11.1683</v>
      </c>
      <c r="KG13" s="28">
        <v>11.0837</v>
      </c>
      <c r="KH13" s="28">
        <v>11.217599999999999</v>
      </c>
      <c r="KI13" s="28">
        <v>10.948700000000001</v>
      </c>
      <c r="KJ13" s="28">
        <v>10.8179</v>
      </c>
      <c r="KK13" s="28">
        <v>10.7555</v>
      </c>
      <c r="KL13" s="28">
        <v>10.5831</v>
      </c>
      <c r="KM13" s="28">
        <v>10.668900000000001</v>
      </c>
      <c r="KN13" s="28">
        <v>10.711499999999999</v>
      </c>
      <c r="KO13" s="28">
        <v>10.7218</v>
      </c>
      <c r="KP13" s="28">
        <v>10.4741</v>
      </c>
      <c r="KQ13" s="22">
        <v>7</v>
      </c>
      <c r="KT13" s="22">
        <v>7</v>
      </c>
      <c r="KU13" s="28">
        <v>10.980499999999999</v>
      </c>
      <c r="KV13" s="28">
        <v>11.0608</v>
      </c>
      <c r="KW13" s="28">
        <v>10.9955</v>
      </c>
      <c r="KX13" s="28">
        <v>11.159800000000001</v>
      </c>
      <c r="KY13" s="28">
        <v>11.3887</v>
      </c>
      <c r="KZ13" s="28">
        <v>11.4373</v>
      </c>
      <c r="LA13" s="28">
        <v>11.443199999999999</v>
      </c>
      <c r="LB13" s="28">
        <v>11.457000000000001</v>
      </c>
      <c r="LC13" s="28">
        <v>11.527900000000001</v>
      </c>
      <c r="LD13" s="28">
        <v>11.3149</v>
      </c>
      <c r="LE13" s="28">
        <v>11.411799999999999</v>
      </c>
      <c r="LF13" s="28">
        <v>11.1213</v>
      </c>
      <c r="LG13" s="22">
        <v>7</v>
      </c>
      <c r="LJ13" s="22">
        <v>7</v>
      </c>
      <c r="LK13" s="28">
        <v>10.3856</v>
      </c>
      <c r="LL13" s="28">
        <v>10.982200000000001</v>
      </c>
      <c r="LM13" s="28">
        <v>11.1927</v>
      </c>
      <c r="LN13" s="28">
        <v>10.661899999999999</v>
      </c>
      <c r="LO13" s="28">
        <v>10.181699999999999</v>
      </c>
      <c r="LP13" s="28">
        <v>10.559799999999999</v>
      </c>
      <c r="LQ13" s="28">
        <v>10.446999999999999</v>
      </c>
      <c r="LR13" s="28">
        <v>10.7117</v>
      </c>
      <c r="LS13" s="28">
        <v>10.8575</v>
      </c>
      <c r="LT13" s="28">
        <v>11.247299999999999</v>
      </c>
      <c r="LU13" s="28">
        <v>10.982900000000001</v>
      </c>
      <c r="LV13" s="28">
        <v>11.2224</v>
      </c>
      <c r="LW13" s="22">
        <v>7</v>
      </c>
      <c r="LZ13" s="22">
        <v>7</v>
      </c>
      <c r="MA13" s="28">
        <v>9.1142000000000003</v>
      </c>
      <c r="MB13" s="28">
        <v>9.1626999999999992</v>
      </c>
      <c r="MC13" s="28">
        <v>9.077</v>
      </c>
      <c r="MD13" s="28">
        <v>9.0467999999999993</v>
      </c>
      <c r="ME13" s="28">
        <v>9.4977999999999998</v>
      </c>
      <c r="MF13" s="28">
        <v>9.7345000000000006</v>
      </c>
      <c r="MG13" s="28">
        <v>9.9502000000000006</v>
      </c>
      <c r="MH13" s="28">
        <v>9.7927999999999997</v>
      </c>
      <c r="MI13" s="28">
        <v>10.008599999999999</v>
      </c>
      <c r="MJ13" s="28">
        <v>10.139799999999999</v>
      </c>
      <c r="MK13" s="28">
        <v>10.209899999999999</v>
      </c>
      <c r="ML13" s="28">
        <v>10.245200000000001</v>
      </c>
      <c r="MM13" s="22">
        <v>7</v>
      </c>
      <c r="MP13" s="22">
        <v>7</v>
      </c>
      <c r="MQ13" s="28">
        <v>9.7080000000000002</v>
      </c>
      <c r="MR13" s="28">
        <v>9.7560000000000002</v>
      </c>
      <c r="MS13" s="28">
        <v>9.6370000000000005</v>
      </c>
      <c r="MT13" s="28">
        <v>9.4139999999999997</v>
      </c>
      <c r="MU13" s="28">
        <v>9.2873000000000001</v>
      </c>
      <c r="MV13" s="28">
        <v>9.1722000000000001</v>
      </c>
      <c r="MW13" s="28">
        <v>9.0312000000000001</v>
      </c>
      <c r="MX13" s="28">
        <v>9.1638000000000002</v>
      </c>
      <c r="MY13" s="28">
        <v>9.2586999999999993</v>
      </c>
      <c r="MZ13" s="28">
        <v>9.5243000000000002</v>
      </c>
      <c r="NA13" s="28">
        <v>9.2220999999999993</v>
      </c>
      <c r="NB13" s="28">
        <v>9.2164999999999999</v>
      </c>
      <c r="NC13" s="22">
        <v>7</v>
      </c>
      <c r="NF13" s="22">
        <v>7</v>
      </c>
      <c r="NG13" s="28">
        <v>9.5455000000000005</v>
      </c>
      <c r="NH13" s="28">
        <v>9.5010999999999992</v>
      </c>
      <c r="NI13" s="28">
        <v>9.3115000000000006</v>
      </c>
      <c r="NJ13" s="28">
        <v>9.3834999999999997</v>
      </c>
      <c r="NK13" s="28">
        <v>9.3848000000000003</v>
      </c>
      <c r="NL13" s="28">
        <v>9.5442</v>
      </c>
      <c r="NM13" s="28">
        <v>9.5383999999999993</v>
      </c>
      <c r="NN13" s="28">
        <v>9.3880999999999997</v>
      </c>
      <c r="NO13" s="28">
        <v>9.2612000000000005</v>
      </c>
      <c r="NP13" s="28">
        <v>9.4514999999999993</v>
      </c>
      <c r="NQ13" s="28">
        <v>9.5990000000000002</v>
      </c>
      <c r="NR13" s="28">
        <v>9.3736999999999995</v>
      </c>
      <c r="NS13" s="22">
        <v>7</v>
      </c>
      <c r="NV13" s="22">
        <v>7</v>
      </c>
      <c r="NW13" s="28">
        <v>9.7920999999999996</v>
      </c>
      <c r="NX13" s="28">
        <v>10.113799999999999</v>
      </c>
      <c r="NY13" s="28">
        <v>9.9334000000000007</v>
      </c>
      <c r="NZ13" s="28">
        <v>9.4817999999999998</v>
      </c>
      <c r="OA13" s="28">
        <v>9.2749000000000006</v>
      </c>
      <c r="OB13" s="28">
        <v>9.6545000000000005</v>
      </c>
      <c r="OC13" s="28">
        <v>9.3167000000000009</v>
      </c>
      <c r="OD13" s="28">
        <v>9.5097000000000005</v>
      </c>
      <c r="OE13" s="28">
        <v>9.3382000000000005</v>
      </c>
      <c r="OF13" s="28">
        <v>9.4757999999999996</v>
      </c>
      <c r="OG13" s="28">
        <v>9.4711999999999996</v>
      </c>
      <c r="OH13" s="28">
        <v>9.4941999999999993</v>
      </c>
      <c r="OI13" s="22">
        <v>7</v>
      </c>
      <c r="OL13" s="22">
        <v>7</v>
      </c>
      <c r="OM13" s="28">
        <v>8.0422999999999991</v>
      </c>
      <c r="ON13" s="28">
        <v>8.4135000000000009</v>
      </c>
      <c r="OO13" s="28">
        <v>8.6202000000000005</v>
      </c>
      <c r="OP13" s="28">
        <v>8.5410000000000004</v>
      </c>
      <c r="OQ13" s="28">
        <v>8.4770000000000003</v>
      </c>
      <c r="OR13" s="28">
        <v>8.7803000000000004</v>
      </c>
      <c r="OS13" s="28">
        <v>8.9497</v>
      </c>
      <c r="OT13" s="28">
        <v>9.0061999999999998</v>
      </c>
      <c r="OU13" s="28">
        <v>10.107200000000001</v>
      </c>
      <c r="OV13" s="28">
        <v>10.218</v>
      </c>
      <c r="OW13" s="28">
        <v>9.9885999999999999</v>
      </c>
      <c r="OX13" s="28">
        <v>9.9876000000000005</v>
      </c>
      <c r="OY13" s="22">
        <v>7</v>
      </c>
      <c r="PB13" s="22">
        <v>7</v>
      </c>
      <c r="PC13" s="28">
        <v>7.8663999999999996</v>
      </c>
      <c r="PD13" s="28">
        <v>7.8322000000000003</v>
      </c>
      <c r="PE13" s="28">
        <v>8.0437999999999992</v>
      </c>
      <c r="PF13" s="28">
        <v>7.9720000000000004</v>
      </c>
      <c r="PG13" s="28">
        <v>7.9112999999999998</v>
      </c>
      <c r="PH13" s="28">
        <v>7.9481999999999999</v>
      </c>
      <c r="PI13" s="28">
        <v>7.9497</v>
      </c>
      <c r="PJ13" s="28">
        <v>7.8051000000000004</v>
      </c>
      <c r="PK13" s="28">
        <v>7.7881999999999998</v>
      </c>
      <c r="PL13" s="28">
        <v>7.7561999999999998</v>
      </c>
      <c r="PM13" s="28">
        <v>8.1659000000000006</v>
      </c>
      <c r="PN13" s="28">
        <v>8.1057000000000006</v>
      </c>
      <c r="PO13" s="22">
        <v>7</v>
      </c>
      <c r="PR13" s="22">
        <v>7</v>
      </c>
      <c r="PS13" s="28">
        <v>7.57</v>
      </c>
      <c r="PT13" s="28">
        <v>7.4241000000000001</v>
      </c>
      <c r="PU13" s="28">
        <v>7.5862999999999996</v>
      </c>
      <c r="PV13" s="28">
        <v>7.5110000000000001</v>
      </c>
      <c r="PW13" s="28">
        <v>7.4748999999999999</v>
      </c>
      <c r="PX13" s="28">
        <v>7.4650999999999996</v>
      </c>
      <c r="PY13" s="28">
        <v>7.6093000000000002</v>
      </c>
      <c r="PZ13" s="28">
        <v>7.5503999999999998</v>
      </c>
      <c r="QA13" s="28">
        <v>7.5995999999999997</v>
      </c>
      <c r="QB13" s="28">
        <v>7.5301999999999998</v>
      </c>
      <c r="QC13" s="28">
        <v>7.8920000000000003</v>
      </c>
      <c r="QD13" s="28">
        <v>7.8884999999999996</v>
      </c>
      <c r="QE13" s="22">
        <v>7</v>
      </c>
      <c r="QH13" s="22">
        <v>7</v>
      </c>
      <c r="QI13" s="28">
        <v>5.39</v>
      </c>
      <c r="QJ13" s="28">
        <v>5.3775000000000004</v>
      </c>
      <c r="QK13" s="28">
        <v>6.0724999999999998</v>
      </c>
      <c r="QL13" s="28">
        <v>6.4850000000000003</v>
      </c>
      <c r="QM13" s="28">
        <v>5.8692000000000002</v>
      </c>
      <c r="QN13" s="28">
        <v>6.1407999999999996</v>
      </c>
      <c r="QO13" s="28">
        <v>6.2633000000000001</v>
      </c>
      <c r="QP13" s="28">
        <v>6.1257999999999999</v>
      </c>
      <c r="QQ13" s="28">
        <v>6.2336999999999998</v>
      </c>
      <c r="QR13" s="28">
        <v>6.5425000000000004</v>
      </c>
      <c r="QS13" s="28">
        <v>7.6849999999999996</v>
      </c>
      <c r="QT13" s="28">
        <v>7.6707999999999998</v>
      </c>
      <c r="QU13" s="22">
        <v>7</v>
      </c>
      <c r="QX13" s="22">
        <v>7</v>
      </c>
      <c r="QY13" s="28">
        <v>3.1059999999999999</v>
      </c>
      <c r="QZ13" s="28">
        <v>3.1055999999999999</v>
      </c>
      <c r="RA13" s="28">
        <v>3.2513000000000001</v>
      </c>
      <c r="RB13" s="28">
        <v>3.363</v>
      </c>
      <c r="RC13" s="28">
        <v>3.3052999999999999</v>
      </c>
      <c r="RD13" s="28">
        <v>3.3243</v>
      </c>
      <c r="RE13" s="28">
        <v>3.3994</v>
      </c>
      <c r="RF13" s="28">
        <v>3.3780999999999999</v>
      </c>
      <c r="RG13" s="28">
        <v>3.3896000000000002</v>
      </c>
      <c r="RH13" s="28">
        <v>3.4127999999999998</v>
      </c>
      <c r="RI13" s="28">
        <v>3.4350000000000001</v>
      </c>
      <c r="RJ13" s="28">
        <v>3.4418000000000002</v>
      </c>
      <c r="RK13" s="22">
        <v>7</v>
      </c>
      <c r="RN13" s="22">
        <v>7</v>
      </c>
      <c r="RO13" s="28">
        <v>3.1179999999999999</v>
      </c>
      <c r="RP13" s="28">
        <v>3.1017000000000001</v>
      </c>
      <c r="RQ13" s="28">
        <v>3.0960999999999999</v>
      </c>
      <c r="RR13" s="28">
        <v>3.0937000000000001</v>
      </c>
      <c r="RS13" s="28">
        <v>3.1246</v>
      </c>
      <c r="RT13" s="28">
        <v>3.125</v>
      </c>
      <c r="RU13" s="28">
        <v>3.1223999999999998</v>
      </c>
      <c r="RV13" s="28">
        <v>3.1149</v>
      </c>
      <c r="RW13" s="28">
        <v>3.1139000000000001</v>
      </c>
      <c r="RX13" s="28">
        <v>3.1147999999999998</v>
      </c>
      <c r="RY13" s="28">
        <v>3.1476000000000002</v>
      </c>
      <c r="RZ13" s="28">
        <v>3.1036000000000001</v>
      </c>
      <c r="SA13" s="22">
        <v>7</v>
      </c>
      <c r="SD13" s="22">
        <v>7</v>
      </c>
      <c r="SE13" s="28">
        <v>3.0743999999999998</v>
      </c>
      <c r="SF13" s="28">
        <v>3.0644999999999998</v>
      </c>
      <c r="SG13" s="28">
        <v>3.0609000000000002</v>
      </c>
      <c r="SH13" s="28">
        <v>3.0609000000000002</v>
      </c>
      <c r="SI13" s="28">
        <v>3.0815999999999999</v>
      </c>
      <c r="SJ13" s="28">
        <v>3.1179000000000001</v>
      </c>
      <c r="SK13" s="28">
        <v>3.1179000000000001</v>
      </c>
      <c r="SL13" s="28">
        <v>3.1084000000000001</v>
      </c>
      <c r="SM13" s="28">
        <v>3.0699000000000001</v>
      </c>
      <c r="SN13" s="28">
        <v>3.113</v>
      </c>
      <c r="SO13" s="28">
        <v>3.1253000000000002</v>
      </c>
      <c r="SP13" s="28">
        <v>3.1139000000000001</v>
      </c>
      <c r="SQ13" s="22">
        <v>7</v>
      </c>
      <c r="ST13" s="22">
        <v>7</v>
      </c>
      <c r="SU13" s="28">
        <v>2.9478</v>
      </c>
      <c r="SV13" s="28">
        <v>2.9609999999999999</v>
      </c>
      <c r="SW13" s="28">
        <v>2.9722</v>
      </c>
      <c r="SX13" s="28">
        <v>2.9842</v>
      </c>
      <c r="SY13" s="28">
        <v>2.9958</v>
      </c>
      <c r="SZ13" s="28">
        <v>3.0089999999999999</v>
      </c>
      <c r="TA13" s="28">
        <v>3.0206</v>
      </c>
      <c r="TB13" s="28">
        <v>3.0333999999999999</v>
      </c>
      <c r="TC13" s="28">
        <v>3.0457999999999998</v>
      </c>
      <c r="TD13" s="28">
        <v>3.0586000000000002</v>
      </c>
      <c r="TE13" s="28">
        <v>3.0710000000000002</v>
      </c>
      <c r="TF13" s="28">
        <v>3.0653800000000002</v>
      </c>
      <c r="TG13" s="22">
        <v>7</v>
      </c>
      <c r="TJ13" s="22">
        <v>7</v>
      </c>
      <c r="TK13" s="28">
        <v>2.6480000000000001</v>
      </c>
      <c r="TL13" s="28">
        <v>2.68</v>
      </c>
      <c r="TM13" s="28">
        <v>2.7080000000000002</v>
      </c>
      <c r="TN13" s="28">
        <v>2.7389999999999999</v>
      </c>
      <c r="TO13" s="28">
        <v>2.7669999999999999</v>
      </c>
      <c r="TP13" s="28">
        <v>2.7986</v>
      </c>
      <c r="TQ13" s="28">
        <v>2.8226</v>
      </c>
      <c r="TR13" s="28">
        <v>2.8458000000000001</v>
      </c>
      <c r="TS13" s="28">
        <v>2.8721999999999999</v>
      </c>
      <c r="TT13" s="28">
        <v>2.8954</v>
      </c>
      <c r="TU13" s="28">
        <v>2.9209999999999998</v>
      </c>
      <c r="TV13" s="28">
        <v>2.9361999999999999</v>
      </c>
      <c r="TW13" s="22">
        <v>7</v>
      </c>
      <c r="TZ13" s="22">
        <v>7</v>
      </c>
      <c r="UA13" s="28">
        <v>2.2839999999999998</v>
      </c>
      <c r="UB13" s="28">
        <v>2.3130000000000002</v>
      </c>
      <c r="UC13" s="28">
        <v>2.3410000000000002</v>
      </c>
      <c r="UD13" s="28">
        <v>2.3740000000000001</v>
      </c>
      <c r="UE13" s="28">
        <v>2.403</v>
      </c>
      <c r="UF13" s="28">
        <v>2.4350000000000001</v>
      </c>
      <c r="UG13" s="28">
        <v>2.4649999999999999</v>
      </c>
      <c r="UH13" s="28">
        <v>2.4940000000000002</v>
      </c>
      <c r="UI13" s="28">
        <v>2.5270000000000001</v>
      </c>
      <c r="UJ13" s="28">
        <v>2.5569999999999999</v>
      </c>
      <c r="UK13" s="28">
        <v>2.5859999999999999</v>
      </c>
      <c r="UL13" s="28">
        <v>2.6179999999999999</v>
      </c>
      <c r="UM13" s="22">
        <v>7</v>
      </c>
    </row>
    <row r="14" spans="2:559" s="7" customFormat="1" ht="19.2">
      <c r="B14" s="22">
        <v>8</v>
      </c>
      <c r="C14" s="28">
        <v>19.3672</v>
      </c>
      <c r="D14" s="28">
        <v>18.889500000000002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2">
        <v>8</v>
      </c>
      <c r="R14" s="22">
        <v>8</v>
      </c>
      <c r="S14" s="28">
        <v>20.4588</v>
      </c>
      <c r="T14" s="28">
        <v>20.5562</v>
      </c>
      <c r="U14" s="28">
        <v>20.926200000000001</v>
      </c>
      <c r="V14" s="28">
        <v>20.066500000000001</v>
      </c>
      <c r="W14" s="28">
        <v>20.253499999999999</v>
      </c>
      <c r="X14" s="28">
        <v>19.5547</v>
      </c>
      <c r="Y14" s="28">
        <v>20.722799999999999</v>
      </c>
      <c r="Z14" s="28">
        <v>20.335799999999999</v>
      </c>
      <c r="AA14" s="28">
        <v>20.138000000000002</v>
      </c>
      <c r="AB14" s="28">
        <v>20.108699999999999</v>
      </c>
      <c r="AC14" s="28">
        <v>19.520199999999999</v>
      </c>
      <c r="AD14" s="28">
        <v>19.803000000000001</v>
      </c>
      <c r="AE14" s="22">
        <v>8</v>
      </c>
      <c r="AH14" s="22">
        <v>8</v>
      </c>
      <c r="AI14" s="28">
        <v>19.725000000000001</v>
      </c>
      <c r="AJ14" s="28">
        <v>20.4435</v>
      </c>
      <c r="AK14" s="28">
        <v>20.849799999999998</v>
      </c>
      <c r="AL14" s="28">
        <v>20.161200000000001</v>
      </c>
      <c r="AM14" s="28">
        <v>20.183800000000002</v>
      </c>
      <c r="AN14" s="28">
        <v>19.9328</v>
      </c>
      <c r="AO14" s="28">
        <v>19.965800000000002</v>
      </c>
      <c r="AP14" s="28">
        <v>19.929300000000001</v>
      </c>
      <c r="AQ14" s="28">
        <v>19.887799999999999</v>
      </c>
      <c r="AR14" s="28">
        <v>20.694700000000001</v>
      </c>
      <c r="AS14" s="28">
        <v>20.624199999999998</v>
      </c>
      <c r="AT14" s="28">
        <v>21.204699999999999</v>
      </c>
      <c r="AU14" s="22">
        <v>8</v>
      </c>
      <c r="AV14" s="8"/>
      <c r="AW14" s="8"/>
      <c r="AX14" s="22">
        <v>8</v>
      </c>
      <c r="AY14" s="28">
        <v>18.827000000000002</v>
      </c>
      <c r="AZ14" s="28">
        <v>18.6645</v>
      </c>
      <c r="BA14" s="28">
        <v>19.8095</v>
      </c>
      <c r="BB14" s="28">
        <v>24.689499999999999</v>
      </c>
      <c r="BC14" s="28">
        <v>24.2942</v>
      </c>
      <c r="BD14" s="28">
        <v>21.838799999999999</v>
      </c>
      <c r="BE14" s="28">
        <v>22.280799999999999</v>
      </c>
      <c r="BF14" s="28">
        <v>22.365200000000002</v>
      </c>
      <c r="BG14" s="28">
        <v>21.611499999999999</v>
      </c>
      <c r="BH14" s="28">
        <v>21.450700000000001</v>
      </c>
      <c r="BI14" s="28">
        <v>20.761199999999999</v>
      </c>
      <c r="BJ14" s="28">
        <v>19.783799999999999</v>
      </c>
      <c r="BK14" s="22">
        <v>8</v>
      </c>
      <c r="BN14" s="22">
        <v>8</v>
      </c>
      <c r="BO14" s="28">
        <v>19.490200000000002</v>
      </c>
      <c r="BP14" s="28">
        <v>19.105799999999999</v>
      </c>
      <c r="BQ14" s="28">
        <v>19.370799999999999</v>
      </c>
      <c r="BR14" s="28">
        <v>19.172799999999999</v>
      </c>
      <c r="BS14" s="28">
        <v>18.978100000000001</v>
      </c>
      <c r="BT14" s="28">
        <v>19.708400000000001</v>
      </c>
      <c r="BU14" s="28">
        <v>18.994700000000002</v>
      </c>
      <c r="BV14" s="28">
        <v>19.629100000000001</v>
      </c>
      <c r="BW14" s="28">
        <v>19.683399999999999</v>
      </c>
      <c r="BX14" s="28">
        <v>19.525500000000001</v>
      </c>
      <c r="BY14" s="28">
        <v>19.1953</v>
      </c>
      <c r="BZ14" s="28">
        <v>19.3688</v>
      </c>
      <c r="CA14" s="22">
        <v>8</v>
      </c>
      <c r="CD14" s="22">
        <v>8</v>
      </c>
      <c r="CE14" s="28">
        <v>19.242699999999999</v>
      </c>
      <c r="CF14" s="28">
        <v>18.700900000000001</v>
      </c>
      <c r="CG14" s="29">
        <v>18.724599999999999</v>
      </c>
      <c r="CH14" s="28">
        <v>18.1081</v>
      </c>
      <c r="CI14" s="28">
        <v>19.201699999999999</v>
      </c>
      <c r="CJ14" s="28">
        <v>20.312899999999999</v>
      </c>
      <c r="CK14" s="28">
        <v>19.251300000000001</v>
      </c>
      <c r="CL14" s="28">
        <v>18.543299999999999</v>
      </c>
      <c r="CM14" s="28">
        <v>19.354600000000001</v>
      </c>
      <c r="CN14" s="28">
        <v>19.1328</v>
      </c>
      <c r="CO14" s="28">
        <v>19.860900000000001</v>
      </c>
      <c r="CP14" s="28">
        <v>20.470500000000001</v>
      </c>
      <c r="CQ14" s="22">
        <v>8</v>
      </c>
      <c r="CT14" s="22">
        <v>8</v>
      </c>
      <c r="CU14" s="28">
        <v>21.366099999999999</v>
      </c>
      <c r="CV14" s="28">
        <v>20.343900000000001</v>
      </c>
      <c r="CW14" s="28">
        <v>19.553799999999999</v>
      </c>
      <c r="CX14" s="28">
        <v>18.769600000000001</v>
      </c>
      <c r="CY14" s="28">
        <v>18.803100000000001</v>
      </c>
      <c r="CZ14" s="28">
        <v>18.276199999999999</v>
      </c>
      <c r="DA14" s="28">
        <v>18.322700000000001</v>
      </c>
      <c r="DB14" s="28">
        <v>17.879799999999999</v>
      </c>
      <c r="DC14" s="28">
        <v>17.813600000000001</v>
      </c>
      <c r="DD14" s="28">
        <v>18.306000000000001</v>
      </c>
      <c r="DE14" s="28">
        <v>19.081399999999999</v>
      </c>
      <c r="DF14" s="28">
        <v>18.889700000000001</v>
      </c>
      <c r="DG14" s="22">
        <v>8</v>
      </c>
      <c r="DJ14" s="22">
        <v>8</v>
      </c>
      <c r="DK14" s="28">
        <v>17.441099999999999</v>
      </c>
      <c r="DL14" s="28">
        <v>18.1891</v>
      </c>
      <c r="DM14" s="28">
        <v>17.772300000000001</v>
      </c>
      <c r="DN14" s="28">
        <v>17.7286</v>
      </c>
      <c r="DO14" s="28">
        <v>17.735800000000001</v>
      </c>
      <c r="DP14" s="28">
        <v>18.588899999999999</v>
      </c>
      <c r="DQ14" s="28">
        <v>18.816099999999999</v>
      </c>
      <c r="DR14" s="28">
        <v>18.8612</v>
      </c>
      <c r="DS14" s="28">
        <v>18.352399999999999</v>
      </c>
      <c r="DT14" s="28">
        <v>19.243300000000001</v>
      </c>
      <c r="DU14" s="28">
        <v>19.0792</v>
      </c>
      <c r="DV14" s="28">
        <v>20.386299999999999</v>
      </c>
      <c r="DW14" s="22">
        <v>8</v>
      </c>
      <c r="DZ14" s="22">
        <v>8</v>
      </c>
      <c r="EA14" s="28">
        <v>14.847899999999999</v>
      </c>
      <c r="EB14" s="28">
        <v>14.754799999999999</v>
      </c>
      <c r="EC14" s="28">
        <v>15.1686</v>
      </c>
      <c r="ED14" s="28">
        <v>14.8003</v>
      </c>
      <c r="EE14" s="28">
        <v>15.282500000000001</v>
      </c>
      <c r="EF14" s="28">
        <v>15.534700000000001</v>
      </c>
      <c r="EG14" s="28">
        <v>15.753</v>
      </c>
      <c r="EH14" s="28">
        <v>16.376200000000001</v>
      </c>
      <c r="EI14" s="28">
        <v>16.845400000000001</v>
      </c>
      <c r="EJ14" s="28">
        <v>16.687799999999999</v>
      </c>
      <c r="EK14" s="28">
        <v>16.5959</v>
      </c>
      <c r="EL14" s="28">
        <v>16.675699999999999</v>
      </c>
      <c r="EM14" s="22">
        <v>8</v>
      </c>
      <c r="EP14" s="22">
        <v>8</v>
      </c>
      <c r="EQ14" s="28">
        <v>13.0905</v>
      </c>
      <c r="ER14" s="28">
        <v>13.2211</v>
      </c>
      <c r="ES14" s="28">
        <v>13.147600000000001</v>
      </c>
      <c r="ET14" s="28">
        <v>13.0345</v>
      </c>
      <c r="EU14" s="28">
        <v>13.0129</v>
      </c>
      <c r="EV14" s="28">
        <v>12.886799999999999</v>
      </c>
      <c r="EW14" s="28">
        <v>12.976800000000001</v>
      </c>
      <c r="EX14" s="28">
        <v>13.257999999999999</v>
      </c>
      <c r="EY14" s="28">
        <v>13.0959</v>
      </c>
      <c r="EZ14" s="28">
        <v>13.408899999999999</v>
      </c>
      <c r="FA14" s="28">
        <v>13.6173</v>
      </c>
      <c r="FB14" s="28">
        <v>14.1165</v>
      </c>
      <c r="FC14" s="22">
        <v>8</v>
      </c>
      <c r="FF14" s="22">
        <v>8</v>
      </c>
      <c r="FG14" s="28">
        <v>12.7597</v>
      </c>
      <c r="FH14" s="28">
        <v>12.666399999999999</v>
      </c>
      <c r="FI14" s="28">
        <v>12.734500000000001</v>
      </c>
      <c r="FJ14" s="28">
        <v>12.319699999999999</v>
      </c>
      <c r="FK14" s="28">
        <v>12.1074</v>
      </c>
      <c r="FL14" s="28">
        <v>12.9079</v>
      </c>
      <c r="FM14" s="28">
        <v>12.8902</v>
      </c>
      <c r="FN14" s="28">
        <v>12.644500000000001</v>
      </c>
      <c r="FO14" s="28">
        <v>13.4079</v>
      </c>
      <c r="FP14" s="28">
        <v>13.0976</v>
      </c>
      <c r="FQ14" s="28">
        <v>13.1388</v>
      </c>
      <c r="FR14" s="28">
        <v>13.005699999999999</v>
      </c>
      <c r="FS14" s="22">
        <v>8</v>
      </c>
      <c r="FV14" s="22">
        <v>8</v>
      </c>
      <c r="FW14" s="28">
        <v>13.7409</v>
      </c>
      <c r="FX14" s="28">
        <v>12.712</v>
      </c>
      <c r="FY14" s="28">
        <v>12.9777</v>
      </c>
      <c r="FZ14" s="28">
        <v>12.7317</v>
      </c>
      <c r="GA14" s="28">
        <v>13.134399999999999</v>
      </c>
      <c r="GB14" s="28">
        <v>14.111599999999999</v>
      </c>
      <c r="GC14" s="28">
        <v>13.3508</v>
      </c>
      <c r="GD14" s="28">
        <v>13.0708</v>
      </c>
      <c r="GE14" s="28">
        <v>13.048299999999999</v>
      </c>
      <c r="GF14" s="28">
        <v>12.758900000000001</v>
      </c>
      <c r="GG14" s="28">
        <v>12.976900000000001</v>
      </c>
      <c r="GH14" s="28">
        <v>12.9102</v>
      </c>
      <c r="GI14" s="22">
        <v>8</v>
      </c>
      <c r="GL14" s="22">
        <v>8</v>
      </c>
      <c r="GM14" s="28">
        <v>12.2256</v>
      </c>
      <c r="GN14" s="28">
        <v>12.049899999999999</v>
      </c>
      <c r="GO14" s="28">
        <v>12.006399999999999</v>
      </c>
      <c r="GP14" s="28">
        <v>11.7836</v>
      </c>
      <c r="GQ14" s="28">
        <v>11.6934</v>
      </c>
      <c r="GR14" s="28">
        <v>11.6983</v>
      </c>
      <c r="GS14" s="28">
        <v>11.654400000000001</v>
      </c>
      <c r="GT14" s="28">
        <v>11.952299999999999</v>
      </c>
      <c r="GU14" s="28">
        <v>12.510199999999999</v>
      </c>
      <c r="GV14" s="28">
        <v>13.5341</v>
      </c>
      <c r="GW14" s="28">
        <v>13.469799999999999</v>
      </c>
      <c r="GX14" s="28">
        <v>13.497</v>
      </c>
      <c r="GY14" s="22">
        <v>8</v>
      </c>
      <c r="HB14" s="22">
        <v>8</v>
      </c>
      <c r="HC14" s="28">
        <v>12.748900000000001</v>
      </c>
      <c r="HD14" s="28">
        <v>13.0687</v>
      </c>
      <c r="HE14" s="28">
        <v>12.7182</v>
      </c>
      <c r="HF14" s="28">
        <v>12.2454</v>
      </c>
      <c r="HG14" s="28">
        <v>12.788399999999999</v>
      </c>
      <c r="HH14" s="28">
        <v>12.860300000000001</v>
      </c>
      <c r="HI14" s="28">
        <v>12.9308</v>
      </c>
      <c r="HJ14" s="28">
        <v>12.5367</v>
      </c>
      <c r="HK14" s="28">
        <v>12.939500000000001</v>
      </c>
      <c r="HL14" s="28">
        <v>12.4779</v>
      </c>
      <c r="HM14" s="28">
        <v>12.238099999999999</v>
      </c>
      <c r="HN14" s="28">
        <v>12.388400000000001</v>
      </c>
      <c r="HO14" s="22">
        <v>8</v>
      </c>
      <c r="HR14" s="22">
        <v>8</v>
      </c>
      <c r="HS14" s="28">
        <v>13.345800000000001</v>
      </c>
      <c r="HT14" s="28">
        <v>14.294499999999999</v>
      </c>
      <c r="HU14" s="28">
        <v>15.285500000000001</v>
      </c>
      <c r="HV14" s="28">
        <v>13.6325</v>
      </c>
      <c r="HW14" s="28">
        <v>13.226800000000001</v>
      </c>
      <c r="HX14" s="28">
        <v>13.2675</v>
      </c>
      <c r="HY14" s="28">
        <v>13.2547</v>
      </c>
      <c r="HZ14" s="28">
        <v>12.992599999999999</v>
      </c>
      <c r="IA14" s="28">
        <v>13.4658</v>
      </c>
      <c r="IB14" s="28">
        <v>13.494300000000001</v>
      </c>
      <c r="IC14" s="28">
        <v>13.343</v>
      </c>
      <c r="ID14" s="28">
        <v>12.5969</v>
      </c>
      <c r="IE14" s="22">
        <v>8</v>
      </c>
      <c r="IH14" s="22">
        <v>8</v>
      </c>
      <c r="II14" s="28">
        <v>10.9277</v>
      </c>
      <c r="IJ14" s="28">
        <v>10.822699999999999</v>
      </c>
      <c r="IK14" s="28">
        <v>10.764900000000001</v>
      </c>
      <c r="IL14" s="28">
        <v>10.558999999999999</v>
      </c>
      <c r="IM14" s="28">
        <v>10.4937</v>
      </c>
      <c r="IN14" s="28">
        <v>10.3108</v>
      </c>
      <c r="IO14" s="28">
        <v>10.341100000000001</v>
      </c>
      <c r="IP14" s="28">
        <v>9.9484999999999992</v>
      </c>
      <c r="IQ14" s="28">
        <v>10.4658</v>
      </c>
      <c r="IR14" s="28">
        <v>11.7667</v>
      </c>
      <c r="IS14" s="28">
        <v>12.95</v>
      </c>
      <c r="IT14" s="28">
        <v>13.5358</v>
      </c>
      <c r="IU14" s="22">
        <v>8</v>
      </c>
      <c r="IX14" s="22">
        <v>8</v>
      </c>
      <c r="IY14" s="28">
        <v>10.865</v>
      </c>
      <c r="IZ14" s="28">
        <v>10.9192</v>
      </c>
      <c r="JA14" s="28">
        <v>11.1473</v>
      </c>
      <c r="JB14" s="28">
        <v>10.979699999999999</v>
      </c>
      <c r="JC14" s="28">
        <v>10.885199999999999</v>
      </c>
      <c r="JD14" s="28">
        <v>10.845000000000001</v>
      </c>
      <c r="JE14" s="28">
        <v>10.7936</v>
      </c>
      <c r="JF14" s="28">
        <v>10.9886</v>
      </c>
      <c r="JG14" s="28">
        <v>11.065799999999999</v>
      </c>
      <c r="JH14" s="28">
        <v>10.8963</v>
      </c>
      <c r="JI14" s="28">
        <v>10.704599999999999</v>
      </c>
      <c r="JJ14" s="28">
        <v>10.8367</v>
      </c>
      <c r="JK14" s="22">
        <v>8</v>
      </c>
      <c r="JN14" s="22">
        <v>8</v>
      </c>
      <c r="JO14" s="28">
        <v>10.5907</v>
      </c>
      <c r="JP14" s="28">
        <v>10.498100000000001</v>
      </c>
      <c r="JQ14" s="28">
        <v>10.611800000000001</v>
      </c>
      <c r="JR14" s="28">
        <v>11.0557</v>
      </c>
      <c r="JS14" s="28">
        <v>10.9694</v>
      </c>
      <c r="JT14" s="28">
        <v>11.3667</v>
      </c>
      <c r="JU14" s="28">
        <v>11.1061</v>
      </c>
      <c r="JV14" s="28">
        <v>10.8908</v>
      </c>
      <c r="JW14" s="28">
        <v>10.938000000000001</v>
      </c>
      <c r="JX14" s="28">
        <v>11.0185</v>
      </c>
      <c r="JY14" s="28">
        <v>10.8344</v>
      </c>
      <c r="JZ14" s="28">
        <v>10.862</v>
      </c>
      <c r="KA14" s="22">
        <v>8</v>
      </c>
      <c r="KD14" s="22">
        <v>8</v>
      </c>
      <c r="KE14" s="28">
        <v>11.4018</v>
      </c>
      <c r="KF14" s="28">
        <v>11.141400000000001</v>
      </c>
      <c r="KG14" s="28">
        <v>11.0458</v>
      </c>
      <c r="KH14" s="28">
        <v>11.230700000000001</v>
      </c>
      <c r="KI14" s="28">
        <v>10.948700000000001</v>
      </c>
      <c r="KJ14" s="28">
        <v>10.879200000000001</v>
      </c>
      <c r="KK14" s="28">
        <v>10.7689</v>
      </c>
      <c r="KL14" s="28">
        <v>10.5831</v>
      </c>
      <c r="KM14" s="28">
        <v>10.6868</v>
      </c>
      <c r="KN14" s="28">
        <v>10.768700000000001</v>
      </c>
      <c r="KO14" s="28">
        <v>10.749499999999999</v>
      </c>
      <c r="KP14" s="28">
        <v>10.409700000000001</v>
      </c>
      <c r="KQ14" s="22">
        <v>8</v>
      </c>
      <c r="KT14" s="22">
        <v>8</v>
      </c>
      <c r="KU14" s="28">
        <v>10.9686</v>
      </c>
      <c r="KV14" s="28">
        <v>11.0608</v>
      </c>
      <c r="KW14" s="28">
        <v>10.9955</v>
      </c>
      <c r="KX14" s="28">
        <v>11.1631</v>
      </c>
      <c r="KY14" s="28">
        <v>11.4358</v>
      </c>
      <c r="KZ14" s="28">
        <v>11.4224</v>
      </c>
      <c r="LA14" s="28">
        <v>11.4948</v>
      </c>
      <c r="LB14" s="28">
        <v>11.457000000000001</v>
      </c>
      <c r="LC14" s="28">
        <v>11.519299999999999</v>
      </c>
      <c r="LD14" s="28">
        <v>11.2745</v>
      </c>
      <c r="LE14" s="28">
        <v>11.411799999999999</v>
      </c>
      <c r="LF14" s="28">
        <v>11.1355</v>
      </c>
      <c r="LG14" s="22">
        <v>8</v>
      </c>
      <c r="LJ14" s="22">
        <v>8</v>
      </c>
      <c r="LK14" s="28">
        <v>10.419499999999999</v>
      </c>
      <c r="LL14" s="28">
        <v>10.873100000000001</v>
      </c>
      <c r="LM14" s="28">
        <v>11.225</v>
      </c>
      <c r="LN14" s="28">
        <v>10.6823</v>
      </c>
      <c r="LO14" s="28">
        <v>10.267799999999999</v>
      </c>
      <c r="LP14" s="28">
        <v>10.559799999999999</v>
      </c>
      <c r="LQ14" s="28">
        <v>10.4087</v>
      </c>
      <c r="LR14" s="28">
        <v>10.7058</v>
      </c>
      <c r="LS14" s="28">
        <v>10.8575</v>
      </c>
      <c r="LT14" s="28">
        <v>11.2193</v>
      </c>
      <c r="LU14" s="28">
        <v>10.9903</v>
      </c>
      <c r="LV14" s="28">
        <v>11.2224</v>
      </c>
      <c r="LW14" s="22">
        <v>8</v>
      </c>
      <c r="LZ14" s="22">
        <v>8</v>
      </c>
      <c r="MA14" s="28">
        <v>9.1367999999999991</v>
      </c>
      <c r="MB14" s="28">
        <v>9.1294000000000004</v>
      </c>
      <c r="MC14" s="28">
        <v>9.0797000000000008</v>
      </c>
      <c r="MD14" s="28">
        <v>9.0467999999999993</v>
      </c>
      <c r="ME14" s="28">
        <v>9.4913000000000007</v>
      </c>
      <c r="MF14" s="28">
        <v>9.7759999999999998</v>
      </c>
      <c r="MG14" s="28">
        <v>9.9502000000000006</v>
      </c>
      <c r="MH14" s="28">
        <v>9.7472999999999992</v>
      </c>
      <c r="MI14" s="28">
        <v>10.008599999999999</v>
      </c>
      <c r="MJ14" s="28">
        <v>10.183999999999999</v>
      </c>
      <c r="MK14" s="28">
        <v>10.1698</v>
      </c>
      <c r="ML14" s="28">
        <v>10.245200000000001</v>
      </c>
      <c r="MM14" s="22">
        <v>8</v>
      </c>
      <c r="MP14" s="22">
        <v>8</v>
      </c>
      <c r="MQ14" s="28">
        <v>9.7080000000000002</v>
      </c>
      <c r="MR14" s="28">
        <v>9.6997999999999998</v>
      </c>
      <c r="MS14" s="28">
        <v>9.6409000000000002</v>
      </c>
      <c r="MT14" s="28">
        <v>9.4139999999999997</v>
      </c>
      <c r="MU14" s="28">
        <v>9.2578999999999994</v>
      </c>
      <c r="MV14" s="28">
        <v>9.1207999999999991</v>
      </c>
      <c r="MW14" s="28">
        <v>9.0312000000000001</v>
      </c>
      <c r="MX14" s="28">
        <v>9.1292000000000009</v>
      </c>
      <c r="MY14" s="28">
        <v>9.2897999999999996</v>
      </c>
      <c r="MZ14" s="28">
        <v>9.5243000000000002</v>
      </c>
      <c r="NA14" s="28">
        <v>9.2132000000000005</v>
      </c>
      <c r="NB14" s="28">
        <v>9.2401</v>
      </c>
      <c r="NC14" s="22">
        <v>8</v>
      </c>
      <c r="NF14" s="22">
        <v>8</v>
      </c>
      <c r="NG14" s="28">
        <v>9.5704999999999991</v>
      </c>
      <c r="NH14" s="28">
        <v>9.4802999999999997</v>
      </c>
      <c r="NI14" s="28">
        <v>9.3215000000000003</v>
      </c>
      <c r="NJ14" s="28">
        <v>9.3535000000000004</v>
      </c>
      <c r="NK14" s="28">
        <v>9.3848000000000003</v>
      </c>
      <c r="NL14" s="28">
        <v>9.657</v>
      </c>
      <c r="NM14" s="28">
        <v>9.5459999999999994</v>
      </c>
      <c r="NN14" s="28">
        <v>9.3574000000000002</v>
      </c>
      <c r="NO14" s="28">
        <v>9.3115000000000006</v>
      </c>
      <c r="NP14" s="28">
        <v>9.4514999999999993</v>
      </c>
      <c r="NQ14" s="28">
        <v>9.6438000000000006</v>
      </c>
      <c r="NR14" s="28">
        <v>9.4019999999999992</v>
      </c>
      <c r="NS14" s="22">
        <v>8</v>
      </c>
      <c r="NV14" s="22">
        <v>8</v>
      </c>
      <c r="NW14" s="28">
        <v>9.7754999999999992</v>
      </c>
      <c r="NX14" s="28">
        <v>10.113799999999999</v>
      </c>
      <c r="NY14" s="28">
        <v>9.9334000000000007</v>
      </c>
      <c r="NZ14" s="28">
        <v>9.4846000000000004</v>
      </c>
      <c r="OA14" s="28">
        <v>9.3330000000000002</v>
      </c>
      <c r="OB14" s="28">
        <v>9.6272000000000002</v>
      </c>
      <c r="OC14" s="28">
        <v>9.3314000000000004</v>
      </c>
      <c r="OD14" s="28">
        <v>9.5097000000000005</v>
      </c>
      <c r="OE14" s="28">
        <v>9.3461999999999996</v>
      </c>
      <c r="OF14" s="28">
        <v>9.4322999999999997</v>
      </c>
      <c r="OG14" s="28">
        <v>9.4711999999999996</v>
      </c>
      <c r="OH14" s="28">
        <v>9.4562000000000008</v>
      </c>
      <c r="OI14" s="22">
        <v>8</v>
      </c>
      <c r="OL14" s="22">
        <v>8</v>
      </c>
      <c r="OM14" s="28">
        <v>8.0421999999999993</v>
      </c>
      <c r="ON14" s="28">
        <v>8.4135000000000009</v>
      </c>
      <c r="OO14" s="28">
        <v>8.6202000000000005</v>
      </c>
      <c r="OP14" s="28">
        <v>8.52</v>
      </c>
      <c r="OQ14" s="28">
        <v>8.4793000000000003</v>
      </c>
      <c r="OR14" s="28">
        <v>8.7803000000000004</v>
      </c>
      <c r="OS14" s="28">
        <v>8.9694000000000003</v>
      </c>
      <c r="OT14" s="28">
        <v>9.0254999999999992</v>
      </c>
      <c r="OU14" s="28">
        <v>10.161799999999999</v>
      </c>
      <c r="OV14" s="28">
        <v>10.1729</v>
      </c>
      <c r="OW14" s="28">
        <v>9.9885999999999999</v>
      </c>
      <c r="OX14" s="28">
        <v>9.9896999999999991</v>
      </c>
      <c r="OY14" s="22">
        <v>8</v>
      </c>
      <c r="PB14" s="22">
        <v>8</v>
      </c>
      <c r="PC14" s="28">
        <v>7.8507999999999996</v>
      </c>
      <c r="PD14" s="28">
        <v>7.8281999999999998</v>
      </c>
      <c r="PE14" s="28">
        <v>8.0091999999999999</v>
      </c>
      <c r="PF14" s="28">
        <v>7.9592000000000001</v>
      </c>
      <c r="PG14" s="28">
        <v>7.8780999999999999</v>
      </c>
      <c r="PH14" s="28">
        <v>7.9481999999999999</v>
      </c>
      <c r="PI14" s="28">
        <v>7.9660000000000002</v>
      </c>
      <c r="PJ14" s="28">
        <v>7.7805999999999997</v>
      </c>
      <c r="PK14" s="28">
        <v>7.7881999999999998</v>
      </c>
      <c r="PL14" s="28">
        <v>7.7601000000000004</v>
      </c>
      <c r="PM14" s="28">
        <v>8.3650000000000002</v>
      </c>
      <c r="PN14" s="28">
        <v>8.1057000000000006</v>
      </c>
      <c r="PO14" s="22">
        <v>8</v>
      </c>
      <c r="PR14" s="22">
        <v>8</v>
      </c>
      <c r="PS14" s="28">
        <v>7.57</v>
      </c>
      <c r="PT14" s="28">
        <v>7.4821</v>
      </c>
      <c r="PU14" s="28">
        <v>7.5952000000000002</v>
      </c>
      <c r="PV14" s="28">
        <v>7.5110000000000001</v>
      </c>
      <c r="PW14" s="28">
        <v>7.5282999999999998</v>
      </c>
      <c r="PX14" s="28">
        <v>7.5016999999999996</v>
      </c>
      <c r="PY14" s="28">
        <v>7.6093000000000002</v>
      </c>
      <c r="PZ14" s="28">
        <v>7.5339999999999998</v>
      </c>
      <c r="QA14" s="28">
        <v>7.5995999999999997</v>
      </c>
      <c r="QB14" s="28">
        <v>7.5273000000000003</v>
      </c>
      <c r="QC14" s="28">
        <v>7.9215</v>
      </c>
      <c r="QD14" s="28">
        <v>7.8884999999999996</v>
      </c>
      <c r="QE14" s="22">
        <v>8</v>
      </c>
      <c r="QH14" s="22">
        <v>8</v>
      </c>
      <c r="QI14" s="28">
        <v>5.39</v>
      </c>
      <c r="QJ14" s="28">
        <v>5.3650000000000002</v>
      </c>
      <c r="QK14" s="28">
        <v>6.6349999999999998</v>
      </c>
      <c r="QL14" s="28">
        <v>6.3807999999999998</v>
      </c>
      <c r="QM14" s="28">
        <v>5.8692000000000002</v>
      </c>
      <c r="QN14" s="28">
        <v>6.1108000000000002</v>
      </c>
      <c r="QO14" s="28">
        <v>6.2370999999999999</v>
      </c>
      <c r="QP14" s="28">
        <v>6.1528999999999998</v>
      </c>
      <c r="QQ14" s="28">
        <v>6.2643000000000004</v>
      </c>
      <c r="QR14" s="28">
        <v>6.5425000000000004</v>
      </c>
      <c r="QS14" s="28">
        <v>7.3483000000000001</v>
      </c>
      <c r="QT14" s="28">
        <v>7.6712999999999996</v>
      </c>
      <c r="QU14" s="22">
        <v>8</v>
      </c>
      <c r="QX14" s="22">
        <v>8</v>
      </c>
      <c r="QY14" s="28">
        <v>3.1057000000000001</v>
      </c>
      <c r="QZ14" s="28">
        <v>3.1055999999999999</v>
      </c>
      <c r="RA14" s="28">
        <v>3.2355</v>
      </c>
      <c r="RB14" s="28">
        <v>3.3614999999999999</v>
      </c>
      <c r="RC14" s="28">
        <v>3.3052999999999999</v>
      </c>
      <c r="RD14" s="28">
        <v>3.335</v>
      </c>
      <c r="RE14" s="28">
        <v>3.3997999999999999</v>
      </c>
      <c r="RF14" s="28">
        <v>3.3780999999999999</v>
      </c>
      <c r="RG14" s="28">
        <v>3.4039999999999999</v>
      </c>
      <c r="RH14" s="28">
        <v>3.4159000000000002</v>
      </c>
      <c r="RI14" s="28">
        <v>3.4296000000000002</v>
      </c>
      <c r="RJ14" s="28">
        <v>3.4468999999999999</v>
      </c>
      <c r="RK14" s="22">
        <v>8</v>
      </c>
      <c r="RN14" s="22">
        <v>8</v>
      </c>
      <c r="RO14" s="28">
        <v>3.1124000000000001</v>
      </c>
      <c r="RP14" s="28">
        <v>3.1017000000000001</v>
      </c>
      <c r="RQ14" s="28">
        <v>3.0960999999999999</v>
      </c>
      <c r="RR14" s="28">
        <v>3.0939999999999999</v>
      </c>
      <c r="RS14" s="28">
        <v>3.1328999999999998</v>
      </c>
      <c r="RT14" s="28">
        <v>3.1251000000000002</v>
      </c>
      <c r="RU14" s="28">
        <v>3.1223999999999998</v>
      </c>
      <c r="RV14" s="28">
        <v>3.1149</v>
      </c>
      <c r="RW14" s="28">
        <v>3.1116999999999999</v>
      </c>
      <c r="RX14" s="28">
        <v>3.1141999999999999</v>
      </c>
      <c r="RY14" s="28">
        <v>3.1476000000000002</v>
      </c>
      <c r="RZ14" s="28">
        <v>3.1052</v>
      </c>
      <c r="SA14" s="22">
        <v>8</v>
      </c>
      <c r="SD14" s="22">
        <v>8</v>
      </c>
      <c r="SE14" s="28">
        <v>3.0695000000000001</v>
      </c>
      <c r="SF14" s="28">
        <v>3.0648</v>
      </c>
      <c r="SG14" s="28">
        <v>3.0609000000000002</v>
      </c>
      <c r="SH14" s="28">
        <v>3.0609000000000002</v>
      </c>
      <c r="SI14" s="28">
        <v>3.0884999999999998</v>
      </c>
      <c r="SJ14" s="28">
        <v>3.1179000000000001</v>
      </c>
      <c r="SK14" s="28">
        <v>3.1183000000000001</v>
      </c>
      <c r="SL14" s="28">
        <v>3.1021000000000001</v>
      </c>
      <c r="SM14" s="28">
        <v>3.0680999999999998</v>
      </c>
      <c r="SN14" s="28">
        <v>3.1137000000000001</v>
      </c>
      <c r="SO14" s="28">
        <v>3.1253000000000002</v>
      </c>
      <c r="SP14" s="28">
        <v>3.1158000000000001</v>
      </c>
      <c r="SQ14" s="22">
        <v>8</v>
      </c>
      <c r="ST14" s="22">
        <v>8</v>
      </c>
      <c r="SU14" s="28">
        <v>2.9481999999999999</v>
      </c>
      <c r="SV14" s="28">
        <v>2.9613999999999998</v>
      </c>
      <c r="SW14" s="28">
        <v>2.9725999999999999</v>
      </c>
      <c r="SX14" s="28">
        <v>2.9842</v>
      </c>
      <c r="SY14" s="28">
        <v>2.9969999999999999</v>
      </c>
      <c r="SZ14" s="28">
        <v>3.0093999999999999</v>
      </c>
      <c r="TA14" s="28">
        <v>3.0206</v>
      </c>
      <c r="TB14" s="28">
        <v>3.0337999999999998</v>
      </c>
      <c r="TC14" s="28">
        <v>3.0457999999999998</v>
      </c>
      <c r="TD14" s="28">
        <v>3.0590000000000002</v>
      </c>
      <c r="TE14" s="28">
        <v>3.0714000000000001</v>
      </c>
      <c r="TF14" s="28">
        <v>3.0653800000000002</v>
      </c>
      <c r="TG14" s="22">
        <v>8</v>
      </c>
      <c r="TJ14" s="22">
        <v>8</v>
      </c>
      <c r="TK14" s="28">
        <v>2.6480000000000001</v>
      </c>
      <c r="TL14" s="28">
        <v>2.681</v>
      </c>
      <c r="TM14" s="28">
        <v>2.7090000000000001</v>
      </c>
      <c r="TN14" s="28">
        <v>2.7389999999999999</v>
      </c>
      <c r="TO14" s="28">
        <v>2.7679999999999998</v>
      </c>
      <c r="TP14" s="28">
        <v>2.7993999999999999</v>
      </c>
      <c r="TQ14" s="28">
        <v>2.8226</v>
      </c>
      <c r="TR14" s="28">
        <v>2.8481999999999998</v>
      </c>
      <c r="TS14" s="28">
        <v>2.8730000000000002</v>
      </c>
      <c r="TT14" s="28">
        <v>2.8954</v>
      </c>
      <c r="TU14" s="28">
        <v>2.9218000000000002</v>
      </c>
      <c r="TV14" s="28">
        <v>2.9365999999999999</v>
      </c>
      <c r="TW14" s="22">
        <v>8</v>
      </c>
      <c r="TZ14" s="22">
        <v>8</v>
      </c>
      <c r="UA14" s="28">
        <v>2.2839999999999998</v>
      </c>
      <c r="UB14" s="28">
        <v>2.3159999999999998</v>
      </c>
      <c r="UC14" s="28">
        <v>2.3439999999999999</v>
      </c>
      <c r="UD14" s="28">
        <v>2.375</v>
      </c>
      <c r="UE14" s="28">
        <v>2.403</v>
      </c>
      <c r="UF14" s="28">
        <v>2.4359999999999999</v>
      </c>
      <c r="UG14" s="28">
        <v>2.4660000000000002</v>
      </c>
      <c r="UH14" s="28">
        <v>2.4950000000000001</v>
      </c>
      <c r="UI14" s="28">
        <v>2.528</v>
      </c>
      <c r="UJ14" s="28">
        <v>2.5569999999999999</v>
      </c>
      <c r="UK14" s="28">
        <v>2.589</v>
      </c>
      <c r="UL14" s="28">
        <v>2.6190000000000002</v>
      </c>
      <c r="UM14" s="22">
        <v>8</v>
      </c>
    </row>
    <row r="15" spans="2:559" s="7" customFormat="1" ht="19.2">
      <c r="B15" s="22">
        <v>9</v>
      </c>
      <c r="C15" s="28">
        <v>19.3672</v>
      </c>
      <c r="D15" s="28">
        <v>19.0517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2">
        <v>9</v>
      </c>
      <c r="R15" s="22">
        <v>9</v>
      </c>
      <c r="S15" s="28">
        <v>20.4588</v>
      </c>
      <c r="T15" s="28">
        <v>20.732500000000002</v>
      </c>
      <c r="U15" s="28">
        <v>21.194700000000001</v>
      </c>
      <c r="V15" s="28">
        <v>20.160499999999999</v>
      </c>
      <c r="W15" s="28">
        <v>20.253499999999999</v>
      </c>
      <c r="X15" s="28">
        <v>19.599799999999998</v>
      </c>
      <c r="Y15" s="28">
        <v>20.6022</v>
      </c>
      <c r="Z15" s="28">
        <v>20.401</v>
      </c>
      <c r="AA15" s="28">
        <v>20.029699999999998</v>
      </c>
      <c r="AB15" s="28">
        <v>20.108699999999999</v>
      </c>
      <c r="AC15" s="28">
        <v>19.464700000000001</v>
      </c>
      <c r="AD15" s="28">
        <v>19.697700000000001</v>
      </c>
      <c r="AE15" s="22">
        <v>9</v>
      </c>
      <c r="AH15" s="22">
        <v>9</v>
      </c>
      <c r="AI15" s="28">
        <v>19.91</v>
      </c>
      <c r="AJ15" s="28">
        <v>20.1388</v>
      </c>
      <c r="AK15" s="28">
        <v>21.263500000000001</v>
      </c>
      <c r="AL15" s="28">
        <v>20.176500000000001</v>
      </c>
      <c r="AM15" s="28">
        <v>20.183800000000002</v>
      </c>
      <c r="AN15" s="28">
        <v>19.797000000000001</v>
      </c>
      <c r="AO15" s="28">
        <v>19.991499999999998</v>
      </c>
      <c r="AP15" s="28">
        <v>19.929300000000001</v>
      </c>
      <c r="AQ15" s="28">
        <v>19.943999999999999</v>
      </c>
      <c r="AR15" s="28">
        <v>20.603999999999999</v>
      </c>
      <c r="AS15" s="28">
        <v>20.392499999999998</v>
      </c>
      <c r="AT15" s="28">
        <v>21.090699999999998</v>
      </c>
      <c r="AU15" s="22">
        <v>9</v>
      </c>
      <c r="AV15" s="8"/>
      <c r="AW15" s="8"/>
      <c r="AX15" s="22">
        <v>9</v>
      </c>
      <c r="AY15" s="28">
        <v>18.885200000000001</v>
      </c>
      <c r="AZ15" s="28">
        <v>18.6645</v>
      </c>
      <c r="BA15" s="28">
        <v>19.8095</v>
      </c>
      <c r="BB15" s="28">
        <v>24.038799999999998</v>
      </c>
      <c r="BC15" s="28">
        <v>24.0563</v>
      </c>
      <c r="BD15" s="28">
        <v>21.5837</v>
      </c>
      <c r="BE15" s="28">
        <v>22.621300000000002</v>
      </c>
      <c r="BF15" s="28">
        <v>22.365200000000002</v>
      </c>
      <c r="BG15" s="28">
        <v>21.588699999999999</v>
      </c>
      <c r="BH15" s="28">
        <v>21.492999999999999</v>
      </c>
      <c r="BI15" s="28">
        <v>20.761199999999999</v>
      </c>
      <c r="BJ15" s="28">
        <v>19.821300000000001</v>
      </c>
      <c r="BK15" s="22">
        <v>9</v>
      </c>
      <c r="BN15" s="22">
        <v>9</v>
      </c>
      <c r="BO15" s="28">
        <v>19.320799999999998</v>
      </c>
      <c r="BP15" s="28">
        <v>19.079999999999998</v>
      </c>
      <c r="BQ15" s="28">
        <v>19.522500000000001</v>
      </c>
      <c r="BR15" s="28">
        <v>19.080500000000001</v>
      </c>
      <c r="BS15" s="28">
        <v>19.049900000000001</v>
      </c>
      <c r="BT15" s="28">
        <v>19.708400000000001</v>
      </c>
      <c r="BU15" s="28">
        <v>19.044599999999999</v>
      </c>
      <c r="BV15" s="28">
        <v>19.6953</v>
      </c>
      <c r="BW15" s="28">
        <v>19.683399999999999</v>
      </c>
      <c r="BX15" s="28">
        <v>19.552199999999999</v>
      </c>
      <c r="BY15" s="28">
        <v>19.1327</v>
      </c>
      <c r="BZ15" s="28">
        <v>19.3688</v>
      </c>
      <c r="CA15" s="22">
        <v>9</v>
      </c>
      <c r="CD15" s="22">
        <v>9</v>
      </c>
      <c r="CE15" s="28">
        <v>19.273700000000002</v>
      </c>
      <c r="CF15" s="28">
        <v>18.6492</v>
      </c>
      <c r="CG15" s="29">
        <v>18.792200000000001</v>
      </c>
      <c r="CH15" s="28">
        <v>18.1081</v>
      </c>
      <c r="CI15" s="28">
        <v>19.423200000000001</v>
      </c>
      <c r="CJ15" s="28">
        <v>20.46</v>
      </c>
      <c r="CK15" s="28">
        <v>19.251300000000001</v>
      </c>
      <c r="CL15" s="28">
        <v>18.463100000000001</v>
      </c>
      <c r="CM15" s="28">
        <v>19.354600000000001</v>
      </c>
      <c r="CN15" s="28">
        <v>18.944400000000002</v>
      </c>
      <c r="CO15" s="28">
        <v>19.8245</v>
      </c>
      <c r="CP15" s="28">
        <v>20.470500000000001</v>
      </c>
      <c r="CQ15" s="22">
        <v>9</v>
      </c>
      <c r="CT15" s="22">
        <v>9</v>
      </c>
      <c r="CU15" s="28">
        <v>21.366099999999999</v>
      </c>
      <c r="CV15" s="28">
        <v>20.637</v>
      </c>
      <c r="CW15" s="28">
        <v>19.521000000000001</v>
      </c>
      <c r="CX15" s="28">
        <v>18.769600000000001</v>
      </c>
      <c r="CY15" s="28">
        <v>19.0137</v>
      </c>
      <c r="CZ15" s="28">
        <v>18.227799999999998</v>
      </c>
      <c r="DA15" s="28">
        <v>18.322700000000001</v>
      </c>
      <c r="DB15" s="28">
        <v>17.964099999999998</v>
      </c>
      <c r="DC15" s="28">
        <v>17.6965</v>
      </c>
      <c r="DD15" s="28">
        <v>18.306000000000001</v>
      </c>
      <c r="DE15" s="28">
        <v>19.134899999999998</v>
      </c>
      <c r="DF15" s="28">
        <v>18.9315</v>
      </c>
      <c r="DG15" s="22">
        <v>9</v>
      </c>
      <c r="DJ15" s="22">
        <v>9</v>
      </c>
      <c r="DK15" s="28">
        <v>17.6568</v>
      </c>
      <c r="DL15" s="28">
        <v>18.3748</v>
      </c>
      <c r="DM15" s="28">
        <v>17.752600000000001</v>
      </c>
      <c r="DN15" s="28">
        <v>17.893000000000001</v>
      </c>
      <c r="DO15" s="28">
        <v>17.735800000000001</v>
      </c>
      <c r="DP15" s="28">
        <v>18.506699999999999</v>
      </c>
      <c r="DQ15" s="28">
        <v>18.860700000000001</v>
      </c>
      <c r="DR15" s="28">
        <v>18.8691</v>
      </c>
      <c r="DS15" s="28">
        <v>18.3689</v>
      </c>
      <c r="DT15" s="28">
        <v>19.243300000000001</v>
      </c>
      <c r="DU15" s="28">
        <v>18.619199999999999</v>
      </c>
      <c r="DV15" s="28">
        <v>20.296700000000001</v>
      </c>
      <c r="DW15" s="22">
        <v>9</v>
      </c>
      <c r="DZ15" s="22">
        <v>9</v>
      </c>
      <c r="EA15" s="28">
        <v>14.7936</v>
      </c>
      <c r="EB15" s="28">
        <v>14.754799999999999</v>
      </c>
      <c r="EC15" s="28">
        <v>15.1686</v>
      </c>
      <c r="ED15" s="28">
        <v>14.9039</v>
      </c>
      <c r="EE15" s="28">
        <v>15.339700000000001</v>
      </c>
      <c r="EF15" s="28">
        <v>15.6958</v>
      </c>
      <c r="EG15" s="28">
        <v>15.828099999999999</v>
      </c>
      <c r="EH15" s="28">
        <v>16.376200000000001</v>
      </c>
      <c r="EI15" s="28">
        <v>16.988</v>
      </c>
      <c r="EJ15" s="28">
        <v>16.5762</v>
      </c>
      <c r="EK15" s="28">
        <v>16.5959</v>
      </c>
      <c r="EL15" s="28">
        <v>16.904399999999999</v>
      </c>
      <c r="EM15" s="22">
        <v>9</v>
      </c>
      <c r="EP15" s="22">
        <v>9</v>
      </c>
      <c r="EQ15" s="28">
        <v>13.0337</v>
      </c>
      <c r="ER15" s="28">
        <v>13.2211</v>
      </c>
      <c r="ES15" s="28">
        <v>13.147600000000001</v>
      </c>
      <c r="ET15" s="28">
        <v>13.017899999999999</v>
      </c>
      <c r="EU15" s="28">
        <v>12.9876</v>
      </c>
      <c r="EV15" s="28">
        <v>12.886799999999999</v>
      </c>
      <c r="EW15" s="28">
        <v>12.994899999999999</v>
      </c>
      <c r="EX15" s="28">
        <v>13.255100000000001</v>
      </c>
      <c r="EY15" s="28">
        <v>13.078799999999999</v>
      </c>
      <c r="EZ15" s="28">
        <v>13.433199999999999</v>
      </c>
      <c r="FA15" s="28">
        <v>13.6173</v>
      </c>
      <c r="FB15" s="28">
        <v>14.304500000000001</v>
      </c>
      <c r="FC15" s="22">
        <v>9</v>
      </c>
      <c r="FF15" s="22">
        <v>9</v>
      </c>
      <c r="FG15" s="28">
        <v>12.767899999999999</v>
      </c>
      <c r="FH15" s="28">
        <v>12.7105</v>
      </c>
      <c r="FI15" s="28">
        <v>12.783899999999999</v>
      </c>
      <c r="FJ15" s="28">
        <v>12.238300000000001</v>
      </c>
      <c r="FK15" s="28">
        <v>12.0733</v>
      </c>
      <c r="FL15" s="28">
        <v>12.9079</v>
      </c>
      <c r="FM15" s="28">
        <v>13.056699999999999</v>
      </c>
      <c r="FN15" s="28">
        <v>12.6989</v>
      </c>
      <c r="FO15" s="28">
        <v>13.4079</v>
      </c>
      <c r="FP15" s="28">
        <v>13.0959</v>
      </c>
      <c r="FQ15" s="28">
        <v>13.1912</v>
      </c>
      <c r="FR15" s="28">
        <v>13.005699999999999</v>
      </c>
      <c r="FS15" s="22">
        <v>9</v>
      </c>
      <c r="FV15" s="22">
        <v>9</v>
      </c>
      <c r="FW15" s="28">
        <v>13.7409</v>
      </c>
      <c r="FX15" s="28">
        <v>12.6472</v>
      </c>
      <c r="FY15" s="28">
        <v>12.946899999999999</v>
      </c>
      <c r="FZ15" s="28">
        <v>12.7317</v>
      </c>
      <c r="GA15" s="28">
        <v>13.165900000000001</v>
      </c>
      <c r="GB15" s="28">
        <v>13.935499999999999</v>
      </c>
      <c r="GC15" s="28">
        <v>13.3508</v>
      </c>
      <c r="GD15" s="28">
        <v>13.184900000000001</v>
      </c>
      <c r="GE15" s="28">
        <v>13.048299999999999</v>
      </c>
      <c r="GF15" s="28">
        <v>12.698700000000001</v>
      </c>
      <c r="GG15" s="28">
        <v>13.043200000000001</v>
      </c>
      <c r="GH15" s="28">
        <v>12.9102</v>
      </c>
      <c r="GI15" s="22">
        <v>9</v>
      </c>
      <c r="GL15" s="22">
        <v>9</v>
      </c>
      <c r="GM15" s="28">
        <v>12.2256</v>
      </c>
      <c r="GN15" s="28">
        <v>11.9946</v>
      </c>
      <c r="GO15" s="28">
        <v>12.016999999999999</v>
      </c>
      <c r="GP15" s="28">
        <v>11.793100000000001</v>
      </c>
      <c r="GQ15" s="28">
        <v>11.6934</v>
      </c>
      <c r="GR15" s="28">
        <v>11.7196</v>
      </c>
      <c r="GS15" s="28">
        <v>11.5738</v>
      </c>
      <c r="GT15" s="28">
        <v>11.9794</v>
      </c>
      <c r="GU15" s="28">
        <v>12.466100000000001</v>
      </c>
      <c r="GV15" s="28">
        <v>13.5341</v>
      </c>
      <c r="GW15" s="28">
        <v>13.4504</v>
      </c>
      <c r="GX15" s="28">
        <v>13.511799999999999</v>
      </c>
      <c r="GY15" s="22">
        <v>9</v>
      </c>
      <c r="HB15" s="22">
        <v>9</v>
      </c>
      <c r="HC15" s="28">
        <v>12.7646</v>
      </c>
      <c r="HD15" s="28">
        <v>13.1753</v>
      </c>
      <c r="HE15" s="28">
        <v>12.6557</v>
      </c>
      <c r="HF15" s="28">
        <v>12.2218</v>
      </c>
      <c r="HG15" s="28">
        <v>12.788399999999999</v>
      </c>
      <c r="HH15" s="28">
        <v>12.920199999999999</v>
      </c>
      <c r="HI15" s="28">
        <v>12.897500000000001</v>
      </c>
      <c r="HJ15" s="28">
        <v>12.5367</v>
      </c>
      <c r="HK15" s="28">
        <v>13.0566</v>
      </c>
      <c r="HL15" s="28">
        <v>12.527699999999999</v>
      </c>
      <c r="HM15" s="28">
        <v>12.205500000000001</v>
      </c>
      <c r="HN15" s="28">
        <v>12.4123</v>
      </c>
      <c r="HO15" s="22">
        <v>9</v>
      </c>
      <c r="HR15" s="22">
        <v>9</v>
      </c>
      <c r="HS15" s="28">
        <v>13.413600000000001</v>
      </c>
      <c r="HT15" s="28">
        <v>14.294499999999999</v>
      </c>
      <c r="HU15" s="28">
        <v>15.285500000000001</v>
      </c>
      <c r="HV15" s="28">
        <v>13.571199999999999</v>
      </c>
      <c r="HW15" s="28">
        <v>13.110300000000001</v>
      </c>
      <c r="HX15" s="28">
        <v>13.2768</v>
      </c>
      <c r="HY15" s="28">
        <v>13.272399999999999</v>
      </c>
      <c r="HZ15" s="28">
        <v>12.992599999999999</v>
      </c>
      <c r="IA15" s="28">
        <v>13.364599999999999</v>
      </c>
      <c r="IB15" s="28">
        <v>13.4673</v>
      </c>
      <c r="IC15" s="28">
        <v>13.343</v>
      </c>
      <c r="ID15" s="28">
        <v>12.655799999999999</v>
      </c>
      <c r="IE15" s="22">
        <v>9</v>
      </c>
      <c r="IH15" s="22">
        <v>9</v>
      </c>
      <c r="II15" s="28">
        <v>10.9208</v>
      </c>
      <c r="IJ15" s="28">
        <v>10.804</v>
      </c>
      <c r="IK15" s="28">
        <v>10.764900000000001</v>
      </c>
      <c r="IL15" s="28">
        <v>10.5395</v>
      </c>
      <c r="IM15" s="28">
        <v>10.539</v>
      </c>
      <c r="IN15" s="28">
        <v>10.3108</v>
      </c>
      <c r="IO15" s="28">
        <v>10.3263</v>
      </c>
      <c r="IP15" s="28">
        <v>9.9877000000000002</v>
      </c>
      <c r="IQ15" s="28">
        <v>10.5143</v>
      </c>
      <c r="IR15" s="28">
        <v>12.1196</v>
      </c>
      <c r="IS15" s="28">
        <v>12.95</v>
      </c>
      <c r="IT15" s="28">
        <v>13.7567</v>
      </c>
      <c r="IU15" s="22">
        <v>9</v>
      </c>
      <c r="IX15" s="22">
        <v>9</v>
      </c>
      <c r="IY15" s="28">
        <v>10.935499999999999</v>
      </c>
      <c r="IZ15" s="28">
        <v>10.936999999999999</v>
      </c>
      <c r="JA15" s="28">
        <v>11.1555</v>
      </c>
      <c r="JB15" s="28">
        <v>10.979699999999999</v>
      </c>
      <c r="JC15" s="28">
        <v>10.8558</v>
      </c>
      <c r="JD15" s="28">
        <v>10.904299999999999</v>
      </c>
      <c r="JE15" s="28">
        <v>10.7936</v>
      </c>
      <c r="JF15" s="28">
        <v>10.9613</v>
      </c>
      <c r="JG15" s="28">
        <v>11.065799999999999</v>
      </c>
      <c r="JH15" s="28">
        <v>10.855700000000001</v>
      </c>
      <c r="JI15" s="28">
        <v>10.743499999999999</v>
      </c>
      <c r="JJ15" s="28">
        <v>10.8367</v>
      </c>
      <c r="JK15" s="22">
        <v>9</v>
      </c>
      <c r="JN15" s="22">
        <v>9</v>
      </c>
      <c r="JO15" s="28">
        <v>10.5907</v>
      </c>
      <c r="JP15" s="28">
        <v>10.4758</v>
      </c>
      <c r="JQ15" s="28">
        <v>10.7003</v>
      </c>
      <c r="JR15" s="28">
        <v>11.0557</v>
      </c>
      <c r="JS15" s="28">
        <v>10.9587</v>
      </c>
      <c r="JT15" s="28">
        <v>11.324999999999999</v>
      </c>
      <c r="JU15" s="28">
        <v>11.1061</v>
      </c>
      <c r="JV15" s="28">
        <v>10.883800000000001</v>
      </c>
      <c r="JW15" s="28">
        <v>11.019600000000001</v>
      </c>
      <c r="JX15" s="28">
        <v>11.0185</v>
      </c>
      <c r="JY15" s="28">
        <v>10.82</v>
      </c>
      <c r="JZ15" s="28">
        <v>10.8558</v>
      </c>
      <c r="KA15" s="22">
        <v>9</v>
      </c>
      <c r="KD15" s="22">
        <v>9</v>
      </c>
      <c r="KE15" s="28">
        <v>11.4018</v>
      </c>
      <c r="KF15" s="28">
        <v>11.190899999999999</v>
      </c>
      <c r="KG15" s="28">
        <v>11.0349</v>
      </c>
      <c r="KH15" s="28">
        <v>11.1945</v>
      </c>
      <c r="KI15" s="28">
        <v>10.948700000000001</v>
      </c>
      <c r="KJ15" s="28">
        <v>10.8695</v>
      </c>
      <c r="KK15" s="28">
        <v>10.7997</v>
      </c>
      <c r="KL15" s="28">
        <v>10.5921</v>
      </c>
      <c r="KM15" s="28">
        <v>10.701499999999999</v>
      </c>
      <c r="KN15" s="28">
        <v>10.768700000000001</v>
      </c>
      <c r="KO15" s="28">
        <v>10.7072</v>
      </c>
      <c r="KP15" s="28">
        <v>10.44</v>
      </c>
      <c r="KQ15" s="22">
        <v>9</v>
      </c>
      <c r="KT15" s="22">
        <v>9</v>
      </c>
      <c r="KU15" s="28">
        <v>10.904400000000001</v>
      </c>
      <c r="KV15" s="28">
        <v>11.0608</v>
      </c>
      <c r="KW15" s="28">
        <v>10.939299999999999</v>
      </c>
      <c r="KX15" s="28">
        <v>11.1631</v>
      </c>
      <c r="KY15" s="28">
        <v>11.4358</v>
      </c>
      <c r="KZ15" s="28">
        <v>11.3498</v>
      </c>
      <c r="LA15" s="28">
        <v>11.467000000000001</v>
      </c>
      <c r="LB15" s="28">
        <v>11.457000000000001</v>
      </c>
      <c r="LC15" s="28">
        <v>11.568899999999999</v>
      </c>
      <c r="LD15" s="28">
        <v>11.2874</v>
      </c>
      <c r="LE15" s="28">
        <v>11.4031</v>
      </c>
      <c r="LF15" s="28">
        <v>11.170400000000001</v>
      </c>
      <c r="LG15" s="22">
        <v>9</v>
      </c>
      <c r="LJ15" s="22">
        <v>9</v>
      </c>
      <c r="LK15" s="28">
        <v>10.327999999999999</v>
      </c>
      <c r="LL15" s="28">
        <v>10.873100000000001</v>
      </c>
      <c r="LM15" s="28">
        <v>11.225</v>
      </c>
      <c r="LN15" s="28">
        <v>10.6896</v>
      </c>
      <c r="LO15" s="28">
        <v>10.211499999999999</v>
      </c>
      <c r="LP15" s="28">
        <v>10.559799999999999</v>
      </c>
      <c r="LQ15" s="28">
        <v>10.394600000000001</v>
      </c>
      <c r="LR15" s="28">
        <v>10.700100000000001</v>
      </c>
      <c r="LS15" s="28">
        <v>10.862</v>
      </c>
      <c r="LT15" s="28">
        <v>11.292299999999999</v>
      </c>
      <c r="LU15" s="28">
        <v>10.9903</v>
      </c>
      <c r="LV15" s="28">
        <v>11.1959</v>
      </c>
      <c r="LW15" s="22">
        <v>9</v>
      </c>
      <c r="LZ15" s="22">
        <v>9</v>
      </c>
      <c r="MA15" s="28">
        <v>9.1554000000000002</v>
      </c>
      <c r="MB15" s="28">
        <v>9.1380999999999997</v>
      </c>
      <c r="MC15" s="28">
        <v>9.0753000000000004</v>
      </c>
      <c r="MD15" s="28">
        <v>9.0266000000000002</v>
      </c>
      <c r="ME15" s="28">
        <v>9.4827999999999992</v>
      </c>
      <c r="MF15" s="28">
        <v>9.7759999999999998</v>
      </c>
      <c r="MG15" s="28">
        <v>9.9033999999999995</v>
      </c>
      <c r="MH15" s="28">
        <v>9.7347999999999999</v>
      </c>
      <c r="MI15" s="28">
        <v>10.008599999999999</v>
      </c>
      <c r="MJ15" s="28">
        <v>10.215400000000001</v>
      </c>
      <c r="MK15" s="28">
        <v>10.242800000000001</v>
      </c>
      <c r="ML15" s="28">
        <v>10.245200000000001</v>
      </c>
      <c r="MM15" s="22">
        <v>9</v>
      </c>
      <c r="MP15" s="22">
        <v>9</v>
      </c>
      <c r="MQ15" s="28">
        <v>9.7545999999999999</v>
      </c>
      <c r="MR15" s="28">
        <v>9.6944999999999997</v>
      </c>
      <c r="MS15" s="28">
        <v>9.6541999999999994</v>
      </c>
      <c r="MT15" s="28">
        <v>9.4139999999999997</v>
      </c>
      <c r="MU15" s="28">
        <v>9.2211999999999996</v>
      </c>
      <c r="MV15" s="28">
        <v>9.1234999999999999</v>
      </c>
      <c r="MW15" s="28">
        <v>9.0312000000000001</v>
      </c>
      <c r="MX15" s="28">
        <v>9.1199999999999992</v>
      </c>
      <c r="MY15" s="28">
        <v>9.2897999999999996</v>
      </c>
      <c r="MZ15" s="28">
        <v>9.5808</v>
      </c>
      <c r="NA15" s="28">
        <v>9.2088000000000001</v>
      </c>
      <c r="NB15" s="28">
        <v>9.2401</v>
      </c>
      <c r="NC15" s="22">
        <v>9</v>
      </c>
      <c r="NF15" s="22">
        <v>9</v>
      </c>
      <c r="NG15" s="28">
        <v>9.5704999999999991</v>
      </c>
      <c r="NH15" s="28">
        <v>9.4327000000000005</v>
      </c>
      <c r="NI15" s="28">
        <v>9.3009000000000004</v>
      </c>
      <c r="NJ15" s="28">
        <v>9.3535000000000004</v>
      </c>
      <c r="NK15" s="28">
        <v>9.3927999999999994</v>
      </c>
      <c r="NL15" s="28">
        <v>9.7942</v>
      </c>
      <c r="NM15" s="28">
        <v>9.5459999999999994</v>
      </c>
      <c r="NN15" s="28">
        <v>9.3353000000000002</v>
      </c>
      <c r="NO15" s="28">
        <v>9.3140999999999998</v>
      </c>
      <c r="NP15" s="28">
        <v>9.4514999999999993</v>
      </c>
      <c r="NQ15" s="28">
        <v>9.6544000000000008</v>
      </c>
      <c r="NR15" s="28">
        <v>9.4262999999999995</v>
      </c>
      <c r="NS15" s="22">
        <v>9</v>
      </c>
      <c r="NV15" s="22">
        <v>9</v>
      </c>
      <c r="NW15" s="28">
        <v>9.8527000000000005</v>
      </c>
      <c r="NX15" s="28">
        <v>10.121700000000001</v>
      </c>
      <c r="NY15" s="28">
        <v>9.8732000000000006</v>
      </c>
      <c r="NZ15" s="28">
        <v>9.4968000000000004</v>
      </c>
      <c r="OA15" s="28">
        <v>9.3330000000000002</v>
      </c>
      <c r="OB15" s="28">
        <v>9.5045000000000002</v>
      </c>
      <c r="OC15" s="28">
        <v>9.3636999999999997</v>
      </c>
      <c r="OD15" s="28">
        <v>9.5097000000000005</v>
      </c>
      <c r="OE15" s="28">
        <v>9.3497000000000003</v>
      </c>
      <c r="OF15" s="28">
        <v>9.4597999999999995</v>
      </c>
      <c r="OG15" s="28">
        <v>9.4518000000000004</v>
      </c>
      <c r="OH15" s="28">
        <v>9.4415999999999993</v>
      </c>
      <c r="OI15" s="22">
        <v>9</v>
      </c>
      <c r="OL15" s="22">
        <v>9</v>
      </c>
      <c r="OM15" s="28">
        <v>8.0597999999999992</v>
      </c>
      <c r="ON15" s="28">
        <v>8.4135000000000009</v>
      </c>
      <c r="OO15" s="28">
        <v>8.6202000000000005</v>
      </c>
      <c r="OP15" s="28">
        <v>8.5274000000000001</v>
      </c>
      <c r="OQ15" s="28">
        <v>8.5007000000000001</v>
      </c>
      <c r="OR15" s="28">
        <v>8.7619000000000007</v>
      </c>
      <c r="OS15" s="28">
        <v>8.9558</v>
      </c>
      <c r="OT15" s="28">
        <v>9.0254999999999992</v>
      </c>
      <c r="OU15" s="28">
        <v>10.1967</v>
      </c>
      <c r="OV15" s="28">
        <v>10.1835</v>
      </c>
      <c r="OW15" s="28">
        <v>9.9885999999999999</v>
      </c>
      <c r="OX15" s="28">
        <v>9.9992999999999999</v>
      </c>
      <c r="OY15" s="22">
        <v>9</v>
      </c>
      <c r="PB15" s="22">
        <v>9</v>
      </c>
      <c r="PC15" s="28">
        <v>7.8375000000000004</v>
      </c>
      <c r="PD15" s="28">
        <v>7.8281999999999998</v>
      </c>
      <c r="PE15" s="28">
        <v>8.0091999999999999</v>
      </c>
      <c r="PF15" s="28">
        <v>7.9061000000000003</v>
      </c>
      <c r="PG15" s="28">
        <v>7.9203000000000001</v>
      </c>
      <c r="PH15" s="28">
        <v>7.9481999999999999</v>
      </c>
      <c r="PI15" s="28">
        <v>7.9071999999999996</v>
      </c>
      <c r="PJ15" s="28">
        <v>7.7895000000000003</v>
      </c>
      <c r="PK15" s="28">
        <v>7.8070000000000004</v>
      </c>
      <c r="PL15" s="28">
        <v>7.7496999999999998</v>
      </c>
      <c r="PM15" s="28">
        <v>8.3650000000000002</v>
      </c>
      <c r="PN15" s="28">
        <v>8.1440000000000001</v>
      </c>
      <c r="PO15" s="22">
        <v>9</v>
      </c>
      <c r="PR15" s="22">
        <v>9</v>
      </c>
      <c r="PS15" s="28">
        <v>7.5674999999999999</v>
      </c>
      <c r="PT15" s="28">
        <v>7.48</v>
      </c>
      <c r="PU15" s="28">
        <v>7.5712999999999999</v>
      </c>
      <c r="PV15" s="28">
        <v>7.5180999999999996</v>
      </c>
      <c r="PW15" s="28">
        <v>7.5119999999999996</v>
      </c>
      <c r="PX15" s="28">
        <v>7.5016999999999996</v>
      </c>
      <c r="PY15" s="28">
        <v>7.6318000000000001</v>
      </c>
      <c r="PZ15" s="28">
        <v>7.5118999999999998</v>
      </c>
      <c r="QA15" s="28">
        <v>7.5995999999999997</v>
      </c>
      <c r="QB15" s="28">
        <v>7.5281000000000002</v>
      </c>
      <c r="QC15" s="28">
        <v>7.9527000000000001</v>
      </c>
      <c r="QD15" s="28">
        <v>7.8884999999999996</v>
      </c>
      <c r="QE15" s="22">
        <v>9</v>
      </c>
      <c r="QH15" s="22">
        <v>9</v>
      </c>
      <c r="QI15" s="28">
        <v>5.39</v>
      </c>
      <c r="QJ15" s="28">
        <v>5.3624999999999998</v>
      </c>
      <c r="QK15" s="28">
        <v>6.875</v>
      </c>
      <c r="QL15" s="28">
        <v>6.3807999999999998</v>
      </c>
      <c r="QM15" s="28">
        <v>5.8757999999999999</v>
      </c>
      <c r="QN15" s="28">
        <v>6.1616999999999997</v>
      </c>
      <c r="QO15" s="28">
        <v>6.2370999999999999</v>
      </c>
      <c r="QP15" s="28">
        <v>6.1289999999999996</v>
      </c>
      <c r="QQ15" s="28">
        <v>6.2568000000000001</v>
      </c>
      <c r="QR15" s="28">
        <v>6.5425000000000004</v>
      </c>
      <c r="QS15" s="28">
        <v>7.5167000000000002</v>
      </c>
      <c r="QT15" s="28">
        <v>7.7083000000000004</v>
      </c>
      <c r="QU15" s="22">
        <v>9</v>
      </c>
      <c r="QX15" s="22">
        <v>9</v>
      </c>
      <c r="QY15" s="28">
        <v>3.1057000000000001</v>
      </c>
      <c r="QZ15" s="28">
        <v>3.1055999999999999</v>
      </c>
      <c r="RA15" s="28">
        <v>3.2519999999999998</v>
      </c>
      <c r="RB15" s="28">
        <v>3.363</v>
      </c>
      <c r="RC15" s="28">
        <v>3.3052999999999999</v>
      </c>
      <c r="RD15" s="28">
        <v>3.3650000000000002</v>
      </c>
      <c r="RE15" s="28">
        <v>3.4001999999999999</v>
      </c>
      <c r="RF15" s="28">
        <v>3.3828999999999998</v>
      </c>
      <c r="RG15" s="28">
        <v>3.3982999999999999</v>
      </c>
      <c r="RH15" s="28">
        <v>3.4159000000000002</v>
      </c>
      <c r="RI15" s="28">
        <v>3.4272999999999998</v>
      </c>
      <c r="RJ15" s="28">
        <v>3.4519000000000002</v>
      </c>
      <c r="RK15" s="22">
        <v>9</v>
      </c>
      <c r="RN15" s="22">
        <v>9</v>
      </c>
      <c r="RO15" s="28">
        <v>3.1063000000000001</v>
      </c>
      <c r="RP15" s="28">
        <v>3.1012</v>
      </c>
      <c r="RQ15" s="28">
        <v>3.101</v>
      </c>
      <c r="RR15" s="28">
        <v>3.0939999999999999</v>
      </c>
      <c r="RS15" s="28">
        <v>3.1328999999999998</v>
      </c>
      <c r="RT15" s="28">
        <v>3.1255999999999999</v>
      </c>
      <c r="RU15" s="28">
        <v>3.1236000000000002</v>
      </c>
      <c r="RV15" s="28">
        <v>3.1149</v>
      </c>
      <c r="RW15" s="28">
        <v>3.113</v>
      </c>
      <c r="RX15" s="28">
        <v>3.1156000000000001</v>
      </c>
      <c r="RY15" s="28">
        <v>3.1520000000000001</v>
      </c>
      <c r="RZ15" s="28">
        <v>3.1046999999999998</v>
      </c>
      <c r="SA15" s="22">
        <v>9</v>
      </c>
      <c r="SD15" s="22">
        <v>9</v>
      </c>
      <c r="SE15" s="28">
        <v>3.0665</v>
      </c>
      <c r="SF15" s="28">
        <v>3.0648</v>
      </c>
      <c r="SG15" s="28">
        <v>3.0609000000000002</v>
      </c>
      <c r="SH15" s="28">
        <v>3.0608</v>
      </c>
      <c r="SI15" s="28">
        <v>3.1</v>
      </c>
      <c r="SJ15" s="28">
        <v>3.1131000000000002</v>
      </c>
      <c r="SK15" s="28">
        <v>3.1166</v>
      </c>
      <c r="SL15" s="28">
        <v>3.1021000000000001</v>
      </c>
      <c r="SM15" s="28">
        <v>3.0638000000000001</v>
      </c>
      <c r="SN15" s="28">
        <v>3.1118999999999999</v>
      </c>
      <c r="SO15" s="28">
        <v>3.1253000000000002</v>
      </c>
      <c r="SP15" s="28">
        <v>3.1175999999999999</v>
      </c>
      <c r="SQ15" s="22">
        <v>9</v>
      </c>
      <c r="ST15" s="22">
        <v>9</v>
      </c>
      <c r="SU15" s="28">
        <v>2.9493999999999998</v>
      </c>
      <c r="SV15" s="28">
        <v>2.9618000000000002</v>
      </c>
      <c r="SW15" s="28">
        <v>2.9729999999999999</v>
      </c>
      <c r="SX15" s="28">
        <v>2.9845999999999999</v>
      </c>
      <c r="SY15" s="28">
        <v>2.9973999999999998</v>
      </c>
      <c r="SZ15" s="28">
        <v>3.0093999999999999</v>
      </c>
      <c r="TA15" s="28">
        <v>3.0209999999999999</v>
      </c>
      <c r="TB15" s="28">
        <v>3.0341999999999998</v>
      </c>
      <c r="TC15" s="28">
        <v>3.0457999999999998</v>
      </c>
      <c r="TD15" s="28">
        <v>3.0594000000000001</v>
      </c>
      <c r="TE15" s="28">
        <v>3.0726</v>
      </c>
      <c r="TF15" s="28">
        <v>3.0653800000000002</v>
      </c>
      <c r="TG15" s="22">
        <v>9</v>
      </c>
      <c r="TJ15" s="22">
        <v>9</v>
      </c>
      <c r="TK15" s="28">
        <v>2.6509999999999998</v>
      </c>
      <c r="TL15" s="28">
        <v>2.6819999999999999</v>
      </c>
      <c r="TM15" s="28">
        <v>2.71</v>
      </c>
      <c r="TN15" s="28">
        <v>2.7389999999999999</v>
      </c>
      <c r="TO15" s="28">
        <v>2.7709999999999999</v>
      </c>
      <c r="TP15" s="28">
        <v>2.8001999999999998</v>
      </c>
      <c r="TQ15" s="28">
        <v>2.8226</v>
      </c>
      <c r="TR15" s="28">
        <v>2.8490000000000002</v>
      </c>
      <c r="TS15" s="28">
        <v>2.8730000000000002</v>
      </c>
      <c r="TT15" s="28">
        <v>2.8961999999999999</v>
      </c>
      <c r="TU15" s="28">
        <v>2.9226000000000001</v>
      </c>
      <c r="TV15" s="28">
        <v>2.9365999999999999</v>
      </c>
      <c r="TW15" s="22">
        <v>9</v>
      </c>
      <c r="TZ15" s="22">
        <v>9</v>
      </c>
      <c r="UA15" s="28">
        <v>2.2839999999999998</v>
      </c>
      <c r="UB15" s="28">
        <v>2.3170000000000002</v>
      </c>
      <c r="UC15" s="28">
        <v>2.3450000000000002</v>
      </c>
      <c r="UD15" s="28">
        <v>2.375</v>
      </c>
      <c r="UE15" s="28">
        <v>2.4039999999999999</v>
      </c>
      <c r="UF15" s="28">
        <v>2.4369999999999998</v>
      </c>
      <c r="UG15" s="28">
        <v>2.4660000000000002</v>
      </c>
      <c r="UH15" s="28">
        <v>2.4980000000000002</v>
      </c>
      <c r="UI15" s="28">
        <v>2.5289999999999999</v>
      </c>
      <c r="UJ15" s="28">
        <v>2.5569999999999999</v>
      </c>
      <c r="UK15" s="28">
        <v>2.59</v>
      </c>
      <c r="UL15" s="28">
        <v>2.62</v>
      </c>
      <c r="UM15" s="22">
        <v>9</v>
      </c>
    </row>
    <row r="16" spans="2:559" s="7" customFormat="1" ht="19.2">
      <c r="B16" s="22">
        <v>10</v>
      </c>
      <c r="C16" s="28">
        <v>19.1753</v>
      </c>
      <c r="D16" s="28">
        <v>18.9435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2">
        <v>10</v>
      </c>
      <c r="R16" s="22">
        <v>10</v>
      </c>
      <c r="S16" s="28">
        <v>20.4588</v>
      </c>
      <c r="T16" s="28">
        <v>20.641300000000001</v>
      </c>
      <c r="U16" s="28">
        <v>21.377500000000001</v>
      </c>
      <c r="V16" s="28">
        <v>20.160499999999999</v>
      </c>
      <c r="W16" s="28">
        <v>20.108499999999999</v>
      </c>
      <c r="X16" s="28">
        <v>19.59</v>
      </c>
      <c r="Y16" s="28">
        <v>20.6022</v>
      </c>
      <c r="Z16" s="28">
        <v>20.2789</v>
      </c>
      <c r="AA16" s="28">
        <v>20.020299999999999</v>
      </c>
      <c r="AB16" s="28">
        <v>20.108699999999999</v>
      </c>
      <c r="AC16" s="28">
        <v>19.477499999999999</v>
      </c>
      <c r="AD16" s="28">
        <v>19.673200000000001</v>
      </c>
      <c r="AE16" s="22">
        <v>10</v>
      </c>
      <c r="AH16" s="22">
        <v>10</v>
      </c>
      <c r="AI16" s="28">
        <v>19.91</v>
      </c>
      <c r="AJ16" s="28">
        <v>20.122699999999998</v>
      </c>
      <c r="AK16" s="28">
        <v>21.4177</v>
      </c>
      <c r="AL16" s="28">
        <v>20.088999999999999</v>
      </c>
      <c r="AM16" s="28">
        <v>20.183800000000002</v>
      </c>
      <c r="AN16" s="28">
        <v>19.7728</v>
      </c>
      <c r="AO16" s="28">
        <v>20.007000000000001</v>
      </c>
      <c r="AP16" s="28">
        <v>20.003699999999998</v>
      </c>
      <c r="AQ16" s="28">
        <v>19.938300000000002</v>
      </c>
      <c r="AR16" s="28">
        <v>20.603999999999999</v>
      </c>
      <c r="AS16" s="28">
        <v>20.326499999999999</v>
      </c>
      <c r="AT16" s="28">
        <v>20.933</v>
      </c>
      <c r="AU16" s="22">
        <v>10</v>
      </c>
      <c r="AV16" s="8"/>
      <c r="AW16" s="8"/>
      <c r="AX16" s="22">
        <v>10</v>
      </c>
      <c r="AY16" s="28">
        <v>18.797999999999998</v>
      </c>
      <c r="AZ16" s="28">
        <v>18.6645</v>
      </c>
      <c r="BA16" s="28">
        <v>20.162299999999998</v>
      </c>
      <c r="BB16" s="28">
        <v>24.038799999999998</v>
      </c>
      <c r="BC16" s="28">
        <v>24.0563</v>
      </c>
      <c r="BD16" s="28">
        <v>21.655200000000001</v>
      </c>
      <c r="BE16" s="28">
        <v>22.822500000000002</v>
      </c>
      <c r="BF16" s="28">
        <v>22.365200000000002</v>
      </c>
      <c r="BG16" s="28">
        <v>21.713799999999999</v>
      </c>
      <c r="BH16" s="28">
        <v>21.431799999999999</v>
      </c>
      <c r="BI16" s="28">
        <v>20.62</v>
      </c>
      <c r="BJ16" s="28">
        <v>19.753699999999998</v>
      </c>
      <c r="BK16" s="22">
        <v>10</v>
      </c>
      <c r="BN16" s="22">
        <v>10</v>
      </c>
      <c r="BO16" s="28">
        <v>19.347899999999999</v>
      </c>
      <c r="BP16" s="28">
        <v>19.079999999999998</v>
      </c>
      <c r="BQ16" s="28">
        <v>19.522500000000001</v>
      </c>
      <c r="BR16" s="28">
        <v>18.970099999999999</v>
      </c>
      <c r="BS16" s="28">
        <v>19.0837</v>
      </c>
      <c r="BT16" s="28">
        <v>19.708400000000001</v>
      </c>
      <c r="BU16" s="28">
        <v>18.9116</v>
      </c>
      <c r="BV16" s="28">
        <v>19.511800000000001</v>
      </c>
      <c r="BW16" s="28">
        <v>19.5623</v>
      </c>
      <c r="BX16" s="28">
        <v>19.584</v>
      </c>
      <c r="BY16" s="28">
        <v>19.1327</v>
      </c>
      <c r="BZ16" s="28">
        <v>19.3247</v>
      </c>
      <c r="CA16" s="22">
        <v>10</v>
      </c>
      <c r="CD16" s="22">
        <v>10</v>
      </c>
      <c r="CE16" s="28">
        <v>19.232299999999999</v>
      </c>
      <c r="CF16" s="28">
        <v>18.881499999999999</v>
      </c>
      <c r="CG16" s="29">
        <v>18.7148</v>
      </c>
      <c r="CH16" s="28">
        <v>18.288799999999998</v>
      </c>
      <c r="CI16" s="28">
        <v>19.578099999999999</v>
      </c>
      <c r="CJ16" s="28">
        <v>20.46</v>
      </c>
      <c r="CK16" s="28">
        <v>19.071899999999999</v>
      </c>
      <c r="CL16" s="28">
        <v>18.4542</v>
      </c>
      <c r="CM16" s="28">
        <v>19.354600000000001</v>
      </c>
      <c r="CN16" s="28">
        <v>18.923400000000001</v>
      </c>
      <c r="CO16" s="28">
        <v>20.043800000000001</v>
      </c>
      <c r="CP16" s="28">
        <v>20.470500000000001</v>
      </c>
      <c r="CQ16" s="22">
        <v>10</v>
      </c>
      <c r="CT16" s="22">
        <v>10</v>
      </c>
      <c r="CU16" s="28">
        <v>21.314399999999999</v>
      </c>
      <c r="CV16" s="28">
        <v>20.499400000000001</v>
      </c>
      <c r="CW16" s="28">
        <v>19.6007</v>
      </c>
      <c r="CX16" s="28">
        <v>18.769600000000001</v>
      </c>
      <c r="CY16" s="28">
        <v>19.116399999999999</v>
      </c>
      <c r="CZ16" s="28">
        <v>18.194600000000001</v>
      </c>
      <c r="DA16" s="28">
        <v>18.322700000000001</v>
      </c>
      <c r="DB16" s="28">
        <v>17.916</v>
      </c>
      <c r="DC16" s="28">
        <v>17.6965</v>
      </c>
      <c r="DD16" s="28">
        <v>18.552199999999999</v>
      </c>
      <c r="DE16" s="28">
        <v>19.0718</v>
      </c>
      <c r="DF16" s="28">
        <v>18.9315</v>
      </c>
      <c r="DG16" s="22">
        <v>10</v>
      </c>
      <c r="DJ16" s="22">
        <v>10</v>
      </c>
      <c r="DK16" s="28">
        <v>17.6568</v>
      </c>
      <c r="DL16" s="28">
        <v>18.695900000000002</v>
      </c>
      <c r="DM16" s="28">
        <v>17.904399999999999</v>
      </c>
      <c r="DN16" s="28">
        <v>17.893000000000001</v>
      </c>
      <c r="DO16" s="28">
        <v>17.920400000000001</v>
      </c>
      <c r="DP16" s="28">
        <v>18.149100000000001</v>
      </c>
      <c r="DQ16" s="28">
        <v>18.860700000000001</v>
      </c>
      <c r="DR16" s="28">
        <v>18.5716</v>
      </c>
      <c r="DS16" s="28">
        <v>18.5427</v>
      </c>
      <c r="DT16" s="28">
        <v>19.243300000000001</v>
      </c>
      <c r="DU16" s="28">
        <v>18.508900000000001</v>
      </c>
      <c r="DV16" s="28">
        <v>20.4162</v>
      </c>
      <c r="DW16" s="22">
        <v>10</v>
      </c>
      <c r="DZ16" s="22">
        <v>10</v>
      </c>
      <c r="EA16" s="28">
        <v>14.6274</v>
      </c>
      <c r="EB16" s="28">
        <v>14.9024</v>
      </c>
      <c r="EC16" s="28">
        <v>15.4445</v>
      </c>
      <c r="ED16" s="28">
        <v>14.9072</v>
      </c>
      <c r="EE16" s="28">
        <v>15.339700000000001</v>
      </c>
      <c r="EF16" s="28">
        <v>15.6715</v>
      </c>
      <c r="EG16" s="28">
        <v>15.817399999999999</v>
      </c>
      <c r="EH16" s="28">
        <v>16.353300000000001</v>
      </c>
      <c r="EI16" s="28">
        <v>16.797899999999998</v>
      </c>
      <c r="EJ16" s="28">
        <v>16.5762</v>
      </c>
      <c r="EK16" s="28">
        <v>16.838200000000001</v>
      </c>
      <c r="EL16" s="28">
        <v>17.016400000000001</v>
      </c>
      <c r="EM16" s="22">
        <v>10</v>
      </c>
      <c r="EP16" s="22">
        <v>10</v>
      </c>
      <c r="EQ16" s="28">
        <v>13.0846</v>
      </c>
      <c r="ER16" s="28">
        <v>13.2211</v>
      </c>
      <c r="ES16" s="28">
        <v>13.147600000000001</v>
      </c>
      <c r="ET16" s="28">
        <v>12.9642</v>
      </c>
      <c r="EU16" s="28">
        <v>12.947699999999999</v>
      </c>
      <c r="EV16" s="28">
        <v>12.898099999999999</v>
      </c>
      <c r="EW16" s="28">
        <v>13.0006</v>
      </c>
      <c r="EX16" s="28">
        <v>13.255100000000001</v>
      </c>
      <c r="EY16" s="28">
        <v>13.081300000000001</v>
      </c>
      <c r="EZ16" s="28">
        <v>13.4786</v>
      </c>
      <c r="FA16" s="28">
        <v>13.6173</v>
      </c>
      <c r="FB16" s="28">
        <v>14.404199999999999</v>
      </c>
      <c r="FC16" s="22">
        <v>10</v>
      </c>
      <c r="FF16" s="22">
        <v>10</v>
      </c>
      <c r="FG16" s="28">
        <v>12.801500000000001</v>
      </c>
      <c r="FH16" s="28">
        <v>12.7105</v>
      </c>
      <c r="FI16" s="28">
        <v>12.783899999999999</v>
      </c>
      <c r="FJ16" s="28">
        <v>12.158799999999999</v>
      </c>
      <c r="FK16" s="28">
        <v>12.039300000000001</v>
      </c>
      <c r="FL16" s="28">
        <v>12.9079</v>
      </c>
      <c r="FM16" s="28">
        <v>12.9267</v>
      </c>
      <c r="FN16" s="28">
        <v>12.646000000000001</v>
      </c>
      <c r="FO16" s="28">
        <v>13.241300000000001</v>
      </c>
      <c r="FP16" s="28">
        <v>13.1417</v>
      </c>
      <c r="FQ16" s="28">
        <v>13.1912</v>
      </c>
      <c r="FR16" s="28">
        <v>12.9299</v>
      </c>
      <c r="FS16" s="22">
        <v>10</v>
      </c>
      <c r="FV16" s="22">
        <v>10</v>
      </c>
      <c r="FW16" s="28">
        <v>13.722799999999999</v>
      </c>
      <c r="FX16" s="28">
        <v>12.683299999999999</v>
      </c>
      <c r="FY16" s="28">
        <v>12.784000000000001</v>
      </c>
      <c r="FZ16" s="28">
        <v>12.8155</v>
      </c>
      <c r="GA16" s="28">
        <v>13.337400000000001</v>
      </c>
      <c r="GB16" s="28">
        <v>13.935499999999999</v>
      </c>
      <c r="GC16" s="28">
        <v>13.4925</v>
      </c>
      <c r="GD16" s="28">
        <v>13.1891</v>
      </c>
      <c r="GE16" s="28">
        <v>13.048299999999999</v>
      </c>
      <c r="GF16" s="28">
        <v>12.842599999999999</v>
      </c>
      <c r="GG16" s="28">
        <v>13.1168</v>
      </c>
      <c r="GH16" s="28">
        <v>12.9102</v>
      </c>
      <c r="GI16" s="22">
        <v>10</v>
      </c>
      <c r="GL16" s="22">
        <v>10</v>
      </c>
      <c r="GM16" s="28">
        <v>12.2256</v>
      </c>
      <c r="GN16" s="28">
        <v>11.9937</v>
      </c>
      <c r="GO16" s="28">
        <v>12.025399999999999</v>
      </c>
      <c r="GP16" s="28">
        <v>11.793100000000001</v>
      </c>
      <c r="GQ16" s="28">
        <v>11.609</v>
      </c>
      <c r="GR16" s="28">
        <v>11.8001</v>
      </c>
      <c r="GS16" s="28">
        <v>11.5738</v>
      </c>
      <c r="GT16" s="28">
        <v>12.1845</v>
      </c>
      <c r="GU16" s="28">
        <v>12.4956</v>
      </c>
      <c r="GV16" s="28">
        <v>13.5341</v>
      </c>
      <c r="GW16" s="28">
        <v>13.385199999999999</v>
      </c>
      <c r="GX16" s="28">
        <v>13.6569</v>
      </c>
      <c r="GY16" s="22">
        <v>10</v>
      </c>
      <c r="HB16" s="22">
        <v>10</v>
      </c>
      <c r="HC16" s="28">
        <v>12.7646</v>
      </c>
      <c r="HD16" s="28">
        <v>13.164</v>
      </c>
      <c r="HE16" s="28">
        <v>12.661799999999999</v>
      </c>
      <c r="HF16" s="28">
        <v>12.248799999999999</v>
      </c>
      <c r="HG16" s="28">
        <v>12.788399999999999</v>
      </c>
      <c r="HH16" s="28">
        <v>12.928800000000001</v>
      </c>
      <c r="HI16" s="28">
        <v>12.8232</v>
      </c>
      <c r="HJ16" s="28">
        <v>12.654999999999999</v>
      </c>
      <c r="HK16" s="28">
        <v>13.003399999999999</v>
      </c>
      <c r="HL16" s="28">
        <v>12.527699999999999</v>
      </c>
      <c r="HM16" s="28">
        <v>12.2483</v>
      </c>
      <c r="HN16" s="28">
        <v>12.448399999999999</v>
      </c>
      <c r="HO16" s="22">
        <v>10</v>
      </c>
      <c r="HR16" s="22">
        <v>10</v>
      </c>
      <c r="HS16" s="28">
        <v>13.5045</v>
      </c>
      <c r="HT16" s="28">
        <v>14.1778</v>
      </c>
      <c r="HU16" s="28">
        <v>15.263299999999999</v>
      </c>
      <c r="HV16" s="28">
        <v>13.571199999999999</v>
      </c>
      <c r="HW16" s="28">
        <v>13.110300000000001</v>
      </c>
      <c r="HX16" s="28">
        <v>13.45</v>
      </c>
      <c r="HY16" s="28">
        <v>13.433299999999999</v>
      </c>
      <c r="HZ16" s="28">
        <v>12.992599999999999</v>
      </c>
      <c r="IA16" s="28">
        <v>13.2826</v>
      </c>
      <c r="IB16" s="28">
        <v>13.322699999999999</v>
      </c>
      <c r="IC16" s="28">
        <v>13.3758</v>
      </c>
      <c r="ID16" s="28">
        <v>12.8399</v>
      </c>
      <c r="IE16" s="22">
        <v>10</v>
      </c>
      <c r="IH16" s="22">
        <v>10</v>
      </c>
      <c r="II16" s="28">
        <v>10.885</v>
      </c>
      <c r="IJ16" s="28">
        <v>10.804</v>
      </c>
      <c r="IK16" s="28">
        <v>10.764900000000001</v>
      </c>
      <c r="IL16" s="28">
        <v>10.561</v>
      </c>
      <c r="IM16" s="28">
        <v>10.5465</v>
      </c>
      <c r="IN16" s="28">
        <v>10.3582</v>
      </c>
      <c r="IO16" s="28">
        <v>10.3363</v>
      </c>
      <c r="IP16" s="28">
        <v>9.9877000000000002</v>
      </c>
      <c r="IQ16" s="28">
        <v>10.481</v>
      </c>
      <c r="IR16" s="28">
        <v>13.041700000000001</v>
      </c>
      <c r="IS16" s="28">
        <v>12.95</v>
      </c>
      <c r="IT16" s="28">
        <v>13.4597</v>
      </c>
      <c r="IU16" s="22">
        <v>10</v>
      </c>
      <c r="IX16" s="22">
        <v>10</v>
      </c>
      <c r="IY16" s="28">
        <v>10.970499999999999</v>
      </c>
      <c r="IZ16" s="28">
        <v>10.968299999999999</v>
      </c>
      <c r="JA16" s="28">
        <v>11.1426</v>
      </c>
      <c r="JB16" s="28">
        <v>10.9976</v>
      </c>
      <c r="JC16" s="28">
        <v>10.8513</v>
      </c>
      <c r="JD16" s="28">
        <v>10.904299999999999</v>
      </c>
      <c r="JE16" s="28">
        <v>10.7828</v>
      </c>
      <c r="JF16" s="28">
        <v>10.9209</v>
      </c>
      <c r="JG16" s="28">
        <v>11.065799999999999</v>
      </c>
      <c r="JH16" s="28">
        <v>10.8589</v>
      </c>
      <c r="JI16" s="28">
        <v>10.8108</v>
      </c>
      <c r="JJ16" s="28">
        <v>10.8367</v>
      </c>
      <c r="JK16" s="22">
        <v>10</v>
      </c>
      <c r="JN16" s="22">
        <v>10</v>
      </c>
      <c r="JO16" s="28">
        <v>10.5726</v>
      </c>
      <c r="JP16" s="28">
        <v>10.527699999999999</v>
      </c>
      <c r="JQ16" s="28">
        <v>10.756</v>
      </c>
      <c r="JR16" s="28">
        <v>11.0557</v>
      </c>
      <c r="JS16" s="28">
        <v>10.9381</v>
      </c>
      <c r="JT16" s="28">
        <v>11.419</v>
      </c>
      <c r="JU16" s="28">
        <v>11.1061</v>
      </c>
      <c r="JV16" s="28">
        <v>10.911300000000001</v>
      </c>
      <c r="JW16" s="28">
        <v>11.019600000000001</v>
      </c>
      <c r="JX16" s="28">
        <v>11.0624</v>
      </c>
      <c r="JY16" s="28">
        <v>10.8598</v>
      </c>
      <c r="JZ16" s="28">
        <v>10.8558</v>
      </c>
      <c r="KA16" s="22">
        <v>10</v>
      </c>
      <c r="KD16" s="22">
        <v>10</v>
      </c>
      <c r="KE16" s="28">
        <v>11.4018</v>
      </c>
      <c r="KF16" s="28">
        <v>11.215199999999999</v>
      </c>
      <c r="KG16" s="28">
        <v>10.978999999999999</v>
      </c>
      <c r="KH16" s="28">
        <v>11.1945</v>
      </c>
      <c r="KI16" s="28">
        <v>10.943300000000001</v>
      </c>
      <c r="KJ16" s="28">
        <v>10.849399999999999</v>
      </c>
      <c r="KK16" s="28">
        <v>10.7997</v>
      </c>
      <c r="KL16" s="28">
        <v>10.601800000000001</v>
      </c>
      <c r="KM16" s="28">
        <v>10.7126</v>
      </c>
      <c r="KN16" s="28">
        <v>10.768700000000001</v>
      </c>
      <c r="KO16" s="28">
        <v>10.728199999999999</v>
      </c>
      <c r="KP16" s="28">
        <v>10.502000000000001</v>
      </c>
      <c r="KQ16" s="22">
        <v>10</v>
      </c>
      <c r="KT16" s="22">
        <v>10</v>
      </c>
      <c r="KU16" s="28">
        <v>10.8847</v>
      </c>
      <c r="KV16" s="28">
        <v>11.1305</v>
      </c>
      <c r="KW16" s="28">
        <v>10.9329</v>
      </c>
      <c r="KX16" s="28">
        <v>11.1631</v>
      </c>
      <c r="KY16" s="28">
        <v>11.4358</v>
      </c>
      <c r="KZ16" s="28">
        <v>11.339700000000001</v>
      </c>
      <c r="LA16" s="28">
        <v>11.531499999999999</v>
      </c>
      <c r="LB16" s="28">
        <v>11.4124</v>
      </c>
      <c r="LC16" s="28">
        <v>11.589499999999999</v>
      </c>
      <c r="LD16" s="28">
        <v>11.2874</v>
      </c>
      <c r="LE16" s="28">
        <v>11.395300000000001</v>
      </c>
      <c r="LF16" s="28">
        <v>11.2738</v>
      </c>
      <c r="LG16" s="22">
        <v>10</v>
      </c>
      <c r="LJ16" s="22">
        <v>10</v>
      </c>
      <c r="LK16" s="28">
        <v>10.361700000000001</v>
      </c>
      <c r="LL16" s="28">
        <v>10.873100000000001</v>
      </c>
      <c r="LM16" s="28">
        <v>11.225</v>
      </c>
      <c r="LN16" s="28">
        <v>10.739800000000001</v>
      </c>
      <c r="LO16" s="28">
        <v>10.17</v>
      </c>
      <c r="LP16" s="28">
        <v>10.5608</v>
      </c>
      <c r="LQ16" s="28">
        <v>10.542999999999999</v>
      </c>
      <c r="LR16" s="28">
        <v>10.700100000000001</v>
      </c>
      <c r="LS16" s="28">
        <v>10.9185</v>
      </c>
      <c r="LT16" s="28">
        <v>11.249000000000001</v>
      </c>
      <c r="LU16" s="28">
        <v>10.9903</v>
      </c>
      <c r="LV16" s="28">
        <v>11.239100000000001</v>
      </c>
      <c r="LW16" s="22">
        <v>10</v>
      </c>
      <c r="LZ16" s="22">
        <v>10</v>
      </c>
      <c r="MA16" s="28">
        <v>9.1677999999999997</v>
      </c>
      <c r="MB16" s="28">
        <v>9.1380999999999997</v>
      </c>
      <c r="MC16" s="28">
        <v>9.0753000000000004</v>
      </c>
      <c r="MD16" s="28">
        <v>9.0216999999999992</v>
      </c>
      <c r="ME16" s="28">
        <v>9.4169999999999998</v>
      </c>
      <c r="MF16" s="28">
        <v>9.7759999999999998</v>
      </c>
      <c r="MG16" s="28">
        <v>9.9222999999999999</v>
      </c>
      <c r="MH16" s="28">
        <v>9.7334999999999994</v>
      </c>
      <c r="MI16" s="28">
        <v>9.9620999999999995</v>
      </c>
      <c r="MJ16" s="28">
        <v>10.157500000000001</v>
      </c>
      <c r="MK16" s="28">
        <v>10.242800000000001</v>
      </c>
      <c r="ML16" s="28">
        <v>10.272399999999999</v>
      </c>
      <c r="MM16" s="22">
        <v>10</v>
      </c>
      <c r="MP16" s="22">
        <v>10</v>
      </c>
      <c r="MQ16" s="28">
        <v>9.69</v>
      </c>
      <c r="MR16" s="28">
        <v>9.6463999999999999</v>
      </c>
      <c r="MS16" s="28">
        <v>9.6468000000000007</v>
      </c>
      <c r="MT16" s="28">
        <v>9.4059000000000008</v>
      </c>
      <c r="MU16" s="28">
        <v>9.2048000000000005</v>
      </c>
      <c r="MV16" s="28">
        <v>9.1234999999999999</v>
      </c>
      <c r="MW16" s="28">
        <v>9.1502999999999997</v>
      </c>
      <c r="MX16" s="28">
        <v>9.0958000000000006</v>
      </c>
      <c r="MY16" s="28">
        <v>9.2897999999999996</v>
      </c>
      <c r="MZ16" s="28">
        <v>9.5665999999999993</v>
      </c>
      <c r="NA16" s="28">
        <v>9.2114999999999991</v>
      </c>
      <c r="NB16" s="28">
        <v>9.2401</v>
      </c>
      <c r="NC16" s="22">
        <v>10</v>
      </c>
      <c r="NF16" s="22">
        <v>10</v>
      </c>
      <c r="NG16" s="28">
        <v>9.5704999999999991</v>
      </c>
      <c r="NH16" s="28">
        <v>9.4017999999999997</v>
      </c>
      <c r="NI16" s="28">
        <v>9.2661999999999995</v>
      </c>
      <c r="NJ16" s="28">
        <v>9.3535000000000004</v>
      </c>
      <c r="NK16" s="28">
        <v>9.4917999999999996</v>
      </c>
      <c r="NL16" s="28">
        <v>9.8519000000000005</v>
      </c>
      <c r="NM16" s="28">
        <v>9.5459999999999994</v>
      </c>
      <c r="NN16" s="28">
        <v>9.3353000000000002</v>
      </c>
      <c r="NO16" s="28">
        <v>9.3140999999999998</v>
      </c>
      <c r="NP16" s="28">
        <v>9.4600000000000009</v>
      </c>
      <c r="NQ16" s="28">
        <v>9.6166</v>
      </c>
      <c r="NR16" s="28">
        <v>9.4262999999999995</v>
      </c>
      <c r="NS16" s="22">
        <v>10</v>
      </c>
      <c r="NV16" s="22">
        <v>10</v>
      </c>
      <c r="NW16" s="28">
        <v>9.8527000000000005</v>
      </c>
      <c r="NX16" s="28">
        <v>10.082100000000001</v>
      </c>
      <c r="NY16" s="28">
        <v>9.8434000000000008</v>
      </c>
      <c r="NZ16" s="28">
        <v>9.4771000000000001</v>
      </c>
      <c r="OA16" s="28">
        <v>9.3330000000000002</v>
      </c>
      <c r="OB16" s="28">
        <v>9.4878999999999998</v>
      </c>
      <c r="OC16" s="28">
        <v>9.3302999999999994</v>
      </c>
      <c r="OD16" s="28">
        <v>9.4962</v>
      </c>
      <c r="OE16" s="28">
        <v>9.3577999999999992</v>
      </c>
      <c r="OF16" s="28">
        <v>9.4597999999999995</v>
      </c>
      <c r="OG16" s="28">
        <v>9.4571000000000005</v>
      </c>
      <c r="OH16" s="28">
        <v>9.4755000000000003</v>
      </c>
      <c r="OI16" s="22">
        <v>10</v>
      </c>
      <c r="OL16" s="22">
        <v>10</v>
      </c>
      <c r="OM16" s="28">
        <v>8.0775000000000006</v>
      </c>
      <c r="ON16" s="28">
        <v>8.4222000000000001</v>
      </c>
      <c r="OO16" s="28">
        <v>8.5977999999999994</v>
      </c>
      <c r="OP16" s="28">
        <v>8.5274000000000001</v>
      </c>
      <c r="OQ16" s="28">
        <v>8.5007000000000001</v>
      </c>
      <c r="OR16" s="28">
        <v>8.8252000000000006</v>
      </c>
      <c r="OS16" s="28">
        <v>8.9242000000000008</v>
      </c>
      <c r="OT16" s="28">
        <v>9.0254999999999992</v>
      </c>
      <c r="OU16" s="28">
        <v>10.2742</v>
      </c>
      <c r="OV16" s="28">
        <v>10.354900000000001</v>
      </c>
      <c r="OW16" s="28">
        <v>9.9717000000000002</v>
      </c>
      <c r="OX16" s="28">
        <v>9.9422999999999995</v>
      </c>
      <c r="OY16" s="22">
        <v>10</v>
      </c>
      <c r="PB16" s="22">
        <v>10</v>
      </c>
      <c r="PC16" s="28">
        <v>7.8174000000000001</v>
      </c>
      <c r="PD16" s="28">
        <v>7.8281999999999998</v>
      </c>
      <c r="PE16" s="28">
        <v>8.0091999999999999</v>
      </c>
      <c r="PF16" s="28">
        <v>7.8851000000000004</v>
      </c>
      <c r="PG16" s="28">
        <v>7.9253</v>
      </c>
      <c r="PH16" s="28">
        <v>7.9870000000000001</v>
      </c>
      <c r="PI16" s="28">
        <v>7.9146999999999998</v>
      </c>
      <c r="PJ16" s="28">
        <v>7.7895000000000003</v>
      </c>
      <c r="PK16" s="28">
        <v>7.7839999999999998</v>
      </c>
      <c r="PL16" s="28">
        <v>7.7603</v>
      </c>
      <c r="PM16" s="28">
        <v>8.3650000000000002</v>
      </c>
      <c r="PN16" s="28">
        <v>8.1105</v>
      </c>
      <c r="PO16" s="22">
        <v>10</v>
      </c>
      <c r="PR16" s="22">
        <v>10</v>
      </c>
      <c r="PS16" s="28">
        <v>7.5388000000000002</v>
      </c>
      <c r="PT16" s="28">
        <v>7.4863</v>
      </c>
      <c r="PU16" s="28">
        <v>7.5712999999999999</v>
      </c>
      <c r="PV16" s="28">
        <v>7.5724999999999998</v>
      </c>
      <c r="PW16" s="28">
        <v>7.4828000000000001</v>
      </c>
      <c r="PX16" s="28">
        <v>7.5016999999999996</v>
      </c>
      <c r="PY16" s="28">
        <v>7.6688000000000001</v>
      </c>
      <c r="PZ16" s="28">
        <v>7.5349000000000004</v>
      </c>
      <c r="QA16" s="28">
        <v>7.5768000000000004</v>
      </c>
      <c r="QB16" s="28">
        <v>7.54</v>
      </c>
      <c r="QC16" s="28">
        <v>7.9527000000000001</v>
      </c>
      <c r="QD16" s="28">
        <v>7.9260000000000002</v>
      </c>
      <c r="QE16" s="22">
        <v>10</v>
      </c>
      <c r="QH16" s="22">
        <v>10</v>
      </c>
      <c r="QI16" s="28">
        <v>5.5949999999999998</v>
      </c>
      <c r="QJ16" s="28">
        <v>5.3624999999999998</v>
      </c>
      <c r="QK16" s="28">
        <v>6.8224999999999998</v>
      </c>
      <c r="QL16" s="28">
        <v>6.3807999999999998</v>
      </c>
      <c r="QM16" s="28">
        <v>5.8417000000000003</v>
      </c>
      <c r="QN16" s="28">
        <v>6.2317</v>
      </c>
      <c r="QO16" s="28">
        <v>6.2370999999999999</v>
      </c>
      <c r="QP16" s="28">
        <v>6.1460999999999997</v>
      </c>
      <c r="QQ16" s="28">
        <v>6.2568000000000001</v>
      </c>
      <c r="QR16" s="28">
        <v>6.5404</v>
      </c>
      <c r="QS16" s="28">
        <v>7.82</v>
      </c>
      <c r="QT16" s="28">
        <v>7.7083000000000004</v>
      </c>
      <c r="QU16" s="22">
        <v>10</v>
      </c>
      <c r="QX16" s="22">
        <v>10</v>
      </c>
      <c r="QY16" s="28">
        <v>3.1057000000000001</v>
      </c>
      <c r="QZ16" s="28">
        <v>3.1057999999999999</v>
      </c>
      <c r="RA16" s="28">
        <v>3.2565</v>
      </c>
      <c r="RB16" s="28">
        <v>3.363</v>
      </c>
      <c r="RC16" s="28">
        <v>3.3222999999999998</v>
      </c>
      <c r="RD16" s="28">
        <v>3.3534999999999999</v>
      </c>
      <c r="RE16" s="28">
        <v>3.4001999999999999</v>
      </c>
      <c r="RF16" s="28">
        <v>3.387</v>
      </c>
      <c r="RG16" s="28">
        <v>3.4014000000000002</v>
      </c>
      <c r="RH16" s="28">
        <v>3.4159000000000002</v>
      </c>
      <c r="RI16" s="28">
        <v>3.4241000000000001</v>
      </c>
      <c r="RJ16" s="28">
        <v>3.4510999999999998</v>
      </c>
      <c r="RK16" s="22">
        <v>10</v>
      </c>
      <c r="RN16" s="22">
        <v>10</v>
      </c>
      <c r="RO16" s="28">
        <v>3.1063000000000001</v>
      </c>
      <c r="RP16" s="28">
        <v>3.0981000000000001</v>
      </c>
      <c r="RQ16" s="28">
        <v>3.1021000000000001</v>
      </c>
      <c r="RR16" s="28">
        <v>3.0939999999999999</v>
      </c>
      <c r="RS16" s="28">
        <v>3.1328999999999998</v>
      </c>
      <c r="RT16" s="28">
        <v>3.1320999999999999</v>
      </c>
      <c r="RU16" s="28">
        <v>3.1261000000000001</v>
      </c>
      <c r="RV16" s="28">
        <v>3.1137000000000001</v>
      </c>
      <c r="RW16" s="28">
        <v>3.1124000000000001</v>
      </c>
      <c r="RX16" s="28">
        <v>3.1156000000000001</v>
      </c>
      <c r="RY16" s="28">
        <v>3.1520000000000001</v>
      </c>
      <c r="RZ16" s="28">
        <v>3.1046999999999998</v>
      </c>
      <c r="SA16" s="22">
        <v>10</v>
      </c>
      <c r="SD16" s="22">
        <v>10</v>
      </c>
      <c r="SE16" s="28">
        <v>3.0663</v>
      </c>
      <c r="SF16" s="28">
        <v>3.0648</v>
      </c>
      <c r="SG16" s="28">
        <v>3.0608</v>
      </c>
      <c r="SH16" s="28">
        <v>3.0655999999999999</v>
      </c>
      <c r="SI16" s="28">
        <v>3.1</v>
      </c>
      <c r="SJ16" s="28">
        <v>3.1145999999999998</v>
      </c>
      <c r="SK16" s="28">
        <v>3.117</v>
      </c>
      <c r="SL16" s="28">
        <v>3.1021000000000001</v>
      </c>
      <c r="SM16" s="28">
        <v>3.0636000000000001</v>
      </c>
      <c r="SN16" s="28">
        <v>3.1151</v>
      </c>
      <c r="SO16" s="28">
        <v>3.1187999999999998</v>
      </c>
      <c r="SP16" s="28">
        <v>3.1132</v>
      </c>
      <c r="SQ16" s="22">
        <v>10</v>
      </c>
      <c r="ST16" s="22">
        <v>10</v>
      </c>
      <c r="SU16" s="28">
        <v>2.9498000000000002</v>
      </c>
      <c r="SV16" s="28">
        <v>2.9618000000000002</v>
      </c>
      <c r="SW16" s="28">
        <v>2.9729999999999999</v>
      </c>
      <c r="SX16" s="28">
        <v>2.9857999999999998</v>
      </c>
      <c r="SY16" s="28">
        <v>2.9977999999999998</v>
      </c>
      <c r="SZ16" s="28">
        <v>3.0093999999999999</v>
      </c>
      <c r="TA16" s="28">
        <v>3.0222000000000002</v>
      </c>
      <c r="TB16" s="28">
        <v>3.0346000000000002</v>
      </c>
      <c r="TC16" s="28">
        <v>3.0461999999999998</v>
      </c>
      <c r="TD16" s="28">
        <v>3.0598000000000001</v>
      </c>
      <c r="TE16" s="28">
        <v>3.0726</v>
      </c>
      <c r="TF16" s="28">
        <v>3.0643099999999999</v>
      </c>
      <c r="TG16" s="22">
        <v>10</v>
      </c>
      <c r="TJ16" s="22">
        <v>10</v>
      </c>
      <c r="TK16" s="28">
        <v>2.6520000000000001</v>
      </c>
      <c r="TL16" s="28">
        <v>2.6829999999999998</v>
      </c>
      <c r="TM16" s="28">
        <v>2.7109999999999999</v>
      </c>
      <c r="TN16" s="28">
        <v>2.74</v>
      </c>
      <c r="TO16" s="28">
        <v>2.7719999999999998</v>
      </c>
      <c r="TP16" s="28">
        <v>2.8001999999999998</v>
      </c>
      <c r="TQ16" s="28">
        <v>2.8233999999999999</v>
      </c>
      <c r="TR16" s="28">
        <v>2.8498000000000001</v>
      </c>
      <c r="TS16" s="28">
        <v>2.8730000000000002</v>
      </c>
      <c r="TT16" s="28">
        <v>2.8986000000000001</v>
      </c>
      <c r="TU16" s="28">
        <v>2.9234</v>
      </c>
      <c r="TV16" s="28">
        <v>2.9365999999999999</v>
      </c>
      <c r="TW16" s="22">
        <v>10</v>
      </c>
      <c r="TZ16" s="22">
        <v>10</v>
      </c>
      <c r="UA16" s="28">
        <v>2.2850000000000001</v>
      </c>
      <c r="UB16" s="28">
        <v>2.3180000000000001</v>
      </c>
      <c r="UC16" s="28">
        <v>2.3460000000000001</v>
      </c>
      <c r="UD16" s="28">
        <v>2.375</v>
      </c>
      <c r="UE16" s="28">
        <v>2.407</v>
      </c>
      <c r="UF16" s="28">
        <v>2.4380000000000002</v>
      </c>
      <c r="UG16" s="28">
        <v>2.4660000000000002</v>
      </c>
      <c r="UH16" s="28">
        <v>2.4990000000000001</v>
      </c>
      <c r="UI16" s="28">
        <v>2.5289999999999999</v>
      </c>
      <c r="UJ16" s="28">
        <v>2.5579999999999998</v>
      </c>
      <c r="UK16" s="28">
        <v>2.5910000000000002</v>
      </c>
      <c r="UL16" s="28">
        <v>2.62</v>
      </c>
      <c r="UM16" s="22">
        <v>10</v>
      </c>
    </row>
    <row r="17" spans="2:559" s="7" customFormat="1" ht="19.2">
      <c r="B17" s="22">
        <v>11</v>
      </c>
      <c r="C17" s="28">
        <v>19.1648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">
        <v>11</v>
      </c>
      <c r="R17" s="22">
        <v>11</v>
      </c>
      <c r="S17" s="28">
        <v>20.4237</v>
      </c>
      <c r="T17" s="28">
        <v>20.500800000000002</v>
      </c>
      <c r="U17" s="28">
        <v>20.967700000000001</v>
      </c>
      <c r="V17" s="28">
        <v>20.160499999999999</v>
      </c>
      <c r="W17" s="28">
        <v>20.3172</v>
      </c>
      <c r="X17" s="28">
        <v>19.6128</v>
      </c>
      <c r="Y17" s="28">
        <v>20.6022</v>
      </c>
      <c r="Z17" s="28">
        <v>20.2715</v>
      </c>
      <c r="AA17" s="28">
        <v>20.020299999999999</v>
      </c>
      <c r="AB17" s="28">
        <v>20.0502</v>
      </c>
      <c r="AC17" s="28">
        <v>19.588699999999999</v>
      </c>
      <c r="AD17" s="28">
        <v>19.673200000000001</v>
      </c>
      <c r="AE17" s="22">
        <v>11</v>
      </c>
      <c r="AH17" s="22">
        <v>11</v>
      </c>
      <c r="AI17" s="28">
        <v>19.91</v>
      </c>
      <c r="AJ17" s="28">
        <v>20.0913</v>
      </c>
      <c r="AK17" s="28">
        <v>21.2575</v>
      </c>
      <c r="AL17" s="28">
        <v>20.088999999999999</v>
      </c>
      <c r="AM17" s="28">
        <v>19.9223</v>
      </c>
      <c r="AN17" s="28">
        <v>19.689699999999998</v>
      </c>
      <c r="AO17" s="28">
        <v>20.007000000000001</v>
      </c>
      <c r="AP17" s="28">
        <v>20.064800000000002</v>
      </c>
      <c r="AQ17" s="28">
        <v>19.931799999999999</v>
      </c>
      <c r="AR17" s="28">
        <v>20.603999999999999</v>
      </c>
      <c r="AS17" s="28">
        <v>20.283300000000001</v>
      </c>
      <c r="AT17" s="28">
        <v>21.032800000000002</v>
      </c>
      <c r="AU17" s="22">
        <v>11</v>
      </c>
      <c r="AV17" s="8"/>
      <c r="AW17" s="8"/>
      <c r="AX17" s="22">
        <v>11</v>
      </c>
      <c r="AY17" s="28">
        <v>18.845300000000002</v>
      </c>
      <c r="AZ17" s="28">
        <v>18.776299999999999</v>
      </c>
      <c r="BA17" s="28">
        <v>21.111699999999999</v>
      </c>
      <c r="BB17" s="28">
        <v>24.038799999999998</v>
      </c>
      <c r="BC17" s="28">
        <v>24.0563</v>
      </c>
      <c r="BD17" s="28">
        <v>21.725200000000001</v>
      </c>
      <c r="BE17" s="28">
        <v>22.694500000000001</v>
      </c>
      <c r="BF17" s="28">
        <v>22.4892</v>
      </c>
      <c r="BG17" s="28">
        <v>21.537700000000001</v>
      </c>
      <c r="BH17" s="28">
        <v>21.431799999999999</v>
      </c>
      <c r="BI17" s="28">
        <v>20.36</v>
      </c>
      <c r="BJ17" s="28">
        <v>19.8368</v>
      </c>
      <c r="BK17" s="22">
        <v>11</v>
      </c>
      <c r="BN17" s="22">
        <v>11</v>
      </c>
      <c r="BO17" s="28">
        <v>19.2456</v>
      </c>
      <c r="BP17" s="28">
        <v>19.079999999999998</v>
      </c>
      <c r="BQ17" s="28">
        <v>19.522500000000001</v>
      </c>
      <c r="BR17" s="28">
        <v>18.922899999999998</v>
      </c>
      <c r="BS17" s="28">
        <v>19.2623</v>
      </c>
      <c r="BT17" s="28">
        <v>19.652799999999999</v>
      </c>
      <c r="BU17" s="28">
        <v>19.004300000000001</v>
      </c>
      <c r="BV17" s="28">
        <v>19.511800000000001</v>
      </c>
      <c r="BW17" s="28">
        <v>19.5398</v>
      </c>
      <c r="BX17" s="28">
        <v>19.568899999999999</v>
      </c>
      <c r="BY17" s="28">
        <v>19.1327</v>
      </c>
      <c r="BZ17" s="28">
        <v>19.2302</v>
      </c>
      <c r="CA17" s="22">
        <v>11</v>
      </c>
      <c r="CD17" s="22">
        <v>11</v>
      </c>
      <c r="CE17" s="28">
        <v>19.3065</v>
      </c>
      <c r="CF17" s="28">
        <v>18.881499999999999</v>
      </c>
      <c r="CG17" s="29">
        <v>18.7148</v>
      </c>
      <c r="CH17" s="28">
        <v>18.275300000000001</v>
      </c>
      <c r="CI17" s="28">
        <v>19.538699999999999</v>
      </c>
      <c r="CJ17" s="28">
        <v>20.46</v>
      </c>
      <c r="CK17" s="28">
        <v>19.156300000000002</v>
      </c>
      <c r="CL17" s="28">
        <v>18.6511</v>
      </c>
      <c r="CM17" s="28">
        <v>19.2394</v>
      </c>
      <c r="CN17" s="28">
        <v>19</v>
      </c>
      <c r="CO17" s="28">
        <v>20.043800000000001</v>
      </c>
      <c r="CP17" s="28">
        <v>20.260899999999999</v>
      </c>
      <c r="CQ17" s="22">
        <v>11</v>
      </c>
      <c r="CT17" s="22">
        <v>11</v>
      </c>
      <c r="CU17" s="28">
        <v>21.321899999999999</v>
      </c>
      <c r="CV17" s="28">
        <v>20.4163</v>
      </c>
      <c r="CW17" s="28">
        <v>19.7974</v>
      </c>
      <c r="CX17" s="28">
        <v>18.655999999999999</v>
      </c>
      <c r="CY17" s="28">
        <v>19.136399999999998</v>
      </c>
      <c r="CZ17" s="28">
        <v>18.194600000000001</v>
      </c>
      <c r="DA17" s="28">
        <v>18.139399999999998</v>
      </c>
      <c r="DB17" s="28">
        <v>17.967099999999999</v>
      </c>
      <c r="DC17" s="28">
        <v>17.6965</v>
      </c>
      <c r="DD17" s="28">
        <v>18.6646</v>
      </c>
      <c r="DE17" s="28">
        <v>19.09</v>
      </c>
      <c r="DF17" s="28">
        <v>18.9315</v>
      </c>
      <c r="DG17" s="22">
        <v>11</v>
      </c>
      <c r="DJ17" s="22">
        <v>11</v>
      </c>
      <c r="DK17" s="28">
        <v>17.6568</v>
      </c>
      <c r="DL17" s="28">
        <v>18.7818</v>
      </c>
      <c r="DM17" s="28">
        <v>17.752300000000002</v>
      </c>
      <c r="DN17" s="28">
        <v>17.893000000000001</v>
      </c>
      <c r="DO17" s="28">
        <v>18.103300000000001</v>
      </c>
      <c r="DP17" s="28">
        <v>18.2742</v>
      </c>
      <c r="DQ17" s="28">
        <v>18.860700000000001</v>
      </c>
      <c r="DR17" s="28">
        <v>18.3842</v>
      </c>
      <c r="DS17" s="28">
        <v>18.5427</v>
      </c>
      <c r="DT17" s="28">
        <v>19.299399999999999</v>
      </c>
      <c r="DU17" s="28">
        <v>19.925000000000001</v>
      </c>
      <c r="DV17" s="28">
        <v>20.4162</v>
      </c>
      <c r="DW17" s="22">
        <v>11</v>
      </c>
      <c r="DZ17" s="22">
        <v>11</v>
      </c>
      <c r="EA17" s="28">
        <v>14.6274</v>
      </c>
      <c r="EB17" s="28">
        <v>14.801399999999999</v>
      </c>
      <c r="EC17" s="28">
        <v>15.4544</v>
      </c>
      <c r="ED17" s="28">
        <v>15.055400000000001</v>
      </c>
      <c r="EE17" s="28">
        <v>15.339700000000001</v>
      </c>
      <c r="EF17" s="28">
        <v>15.564500000000001</v>
      </c>
      <c r="EG17" s="28">
        <v>15.817399999999999</v>
      </c>
      <c r="EH17" s="28">
        <v>16.1645</v>
      </c>
      <c r="EI17" s="28">
        <v>16.7773</v>
      </c>
      <c r="EJ17" s="28">
        <v>16.5762</v>
      </c>
      <c r="EK17" s="28">
        <v>16.87</v>
      </c>
      <c r="EL17" s="28">
        <v>17.015999999999998</v>
      </c>
      <c r="EM17" s="22">
        <v>11</v>
      </c>
      <c r="EP17" s="22">
        <v>11</v>
      </c>
      <c r="EQ17" s="28">
        <v>13.1403</v>
      </c>
      <c r="ER17" s="28">
        <v>13.3285</v>
      </c>
      <c r="ES17" s="28">
        <v>13.179500000000001</v>
      </c>
      <c r="ET17" s="28">
        <v>13.0604</v>
      </c>
      <c r="EU17" s="28">
        <v>12.947699999999999</v>
      </c>
      <c r="EV17" s="28">
        <v>12.991199999999999</v>
      </c>
      <c r="EW17" s="28">
        <v>12.978</v>
      </c>
      <c r="EX17" s="28">
        <v>13.255100000000001</v>
      </c>
      <c r="EY17" s="28">
        <v>13.216200000000001</v>
      </c>
      <c r="EZ17" s="28">
        <v>13.3789</v>
      </c>
      <c r="FA17" s="28">
        <v>13.5573</v>
      </c>
      <c r="FB17" s="28">
        <v>14.3674</v>
      </c>
      <c r="FC17" s="22">
        <v>11</v>
      </c>
      <c r="FF17" s="22">
        <v>11</v>
      </c>
      <c r="FG17" s="28">
        <v>12.750299999999999</v>
      </c>
      <c r="FH17" s="28">
        <v>12.7105</v>
      </c>
      <c r="FI17" s="28">
        <v>12.783899999999999</v>
      </c>
      <c r="FJ17" s="28">
        <v>12.1304</v>
      </c>
      <c r="FK17" s="28">
        <v>11.980700000000001</v>
      </c>
      <c r="FL17" s="28">
        <v>12.7173</v>
      </c>
      <c r="FM17" s="28">
        <v>12.865399999999999</v>
      </c>
      <c r="FN17" s="28">
        <v>12.646000000000001</v>
      </c>
      <c r="FO17" s="28">
        <v>13.1471</v>
      </c>
      <c r="FP17" s="28">
        <v>13.2126</v>
      </c>
      <c r="FQ17" s="28">
        <v>13.1912</v>
      </c>
      <c r="FR17" s="28">
        <v>12.8612</v>
      </c>
      <c r="FS17" s="22">
        <v>11</v>
      </c>
      <c r="FV17" s="22">
        <v>11</v>
      </c>
      <c r="FW17" s="28">
        <v>13.7437</v>
      </c>
      <c r="FX17" s="28">
        <v>12.72</v>
      </c>
      <c r="FY17" s="28">
        <v>12.784000000000001</v>
      </c>
      <c r="FZ17" s="28">
        <v>12.9902</v>
      </c>
      <c r="GA17" s="28">
        <v>13.515000000000001</v>
      </c>
      <c r="GB17" s="28">
        <v>13.935499999999999</v>
      </c>
      <c r="GC17" s="28">
        <v>13.4533</v>
      </c>
      <c r="GD17" s="28">
        <v>13.1188</v>
      </c>
      <c r="GE17" s="28">
        <v>12.9976</v>
      </c>
      <c r="GF17" s="28">
        <v>12.868</v>
      </c>
      <c r="GG17" s="28">
        <v>13.1168</v>
      </c>
      <c r="GH17" s="28">
        <v>12.8469</v>
      </c>
      <c r="GI17" s="22">
        <v>11</v>
      </c>
      <c r="GL17" s="22">
        <v>11</v>
      </c>
      <c r="GM17" s="28">
        <v>12.2369</v>
      </c>
      <c r="GN17" s="28">
        <v>12.043200000000001</v>
      </c>
      <c r="GO17" s="28">
        <v>11.968</v>
      </c>
      <c r="GP17" s="28">
        <v>11.793100000000001</v>
      </c>
      <c r="GQ17" s="28">
        <v>11.641</v>
      </c>
      <c r="GR17" s="28">
        <v>11.7965</v>
      </c>
      <c r="GS17" s="28">
        <v>11.5738</v>
      </c>
      <c r="GT17" s="28">
        <v>12.371</v>
      </c>
      <c r="GU17" s="28">
        <v>12.4956</v>
      </c>
      <c r="GV17" s="28">
        <v>13.314299999999999</v>
      </c>
      <c r="GW17" s="28">
        <v>13.5252</v>
      </c>
      <c r="GX17" s="28">
        <v>13.6569</v>
      </c>
      <c r="GY17" s="22">
        <v>11</v>
      </c>
      <c r="HB17" s="22">
        <v>11</v>
      </c>
      <c r="HC17" s="28">
        <v>12.7646</v>
      </c>
      <c r="HD17" s="28">
        <v>13.083600000000001</v>
      </c>
      <c r="HE17" s="28">
        <v>12.657400000000001</v>
      </c>
      <c r="HF17" s="28">
        <v>12.248799999999999</v>
      </c>
      <c r="HG17" s="28">
        <v>12.917899999999999</v>
      </c>
      <c r="HH17" s="28">
        <v>12.8093</v>
      </c>
      <c r="HI17" s="28">
        <v>12.8232</v>
      </c>
      <c r="HJ17" s="28">
        <v>12.646100000000001</v>
      </c>
      <c r="HK17" s="28">
        <v>12.985300000000001</v>
      </c>
      <c r="HL17" s="28">
        <v>12.527699999999999</v>
      </c>
      <c r="HM17" s="28">
        <v>12.206799999999999</v>
      </c>
      <c r="HN17" s="28">
        <v>12.458600000000001</v>
      </c>
      <c r="HO17" s="22">
        <v>11</v>
      </c>
      <c r="HR17" s="22">
        <v>11</v>
      </c>
      <c r="HS17" s="28">
        <v>13.5045</v>
      </c>
      <c r="HT17" s="28">
        <v>14.139200000000001</v>
      </c>
      <c r="HU17" s="28">
        <v>15.351699999999999</v>
      </c>
      <c r="HV17" s="28">
        <v>13.571199999999999</v>
      </c>
      <c r="HW17" s="28">
        <v>13.110300000000001</v>
      </c>
      <c r="HX17" s="28">
        <v>13.4793</v>
      </c>
      <c r="HY17" s="28">
        <v>13.575799999999999</v>
      </c>
      <c r="HZ17" s="28">
        <v>12.934900000000001</v>
      </c>
      <c r="IA17" s="28">
        <v>13.392300000000001</v>
      </c>
      <c r="IB17" s="28">
        <v>13.322699999999999</v>
      </c>
      <c r="IC17" s="28">
        <v>13.2996</v>
      </c>
      <c r="ID17" s="28">
        <v>12.9862</v>
      </c>
      <c r="IE17" s="22">
        <v>11</v>
      </c>
      <c r="IH17" s="22">
        <v>11</v>
      </c>
      <c r="II17" s="28">
        <v>10.962</v>
      </c>
      <c r="IJ17" s="28">
        <v>10.804</v>
      </c>
      <c r="IK17" s="28">
        <v>10.8383</v>
      </c>
      <c r="IL17" s="28">
        <v>10.555199999999999</v>
      </c>
      <c r="IM17" s="28">
        <v>10.5465</v>
      </c>
      <c r="IN17" s="28">
        <v>10.362</v>
      </c>
      <c r="IO17" s="28">
        <v>10.299300000000001</v>
      </c>
      <c r="IP17" s="28">
        <v>9.9877000000000002</v>
      </c>
      <c r="IQ17" s="28">
        <v>10.501300000000001</v>
      </c>
      <c r="IR17" s="28">
        <v>12.443300000000001</v>
      </c>
      <c r="IS17" s="28">
        <v>12.8392</v>
      </c>
      <c r="IT17" s="28">
        <v>13.492100000000001</v>
      </c>
      <c r="IU17" s="22">
        <v>11</v>
      </c>
      <c r="IX17" s="22">
        <v>11</v>
      </c>
      <c r="IY17" s="28">
        <v>11.0091</v>
      </c>
      <c r="IZ17" s="28">
        <v>10.968299999999999</v>
      </c>
      <c r="JA17" s="28">
        <v>11.1426</v>
      </c>
      <c r="JB17" s="28">
        <v>10.970499999999999</v>
      </c>
      <c r="JC17" s="28">
        <v>10.8269</v>
      </c>
      <c r="JD17" s="28">
        <v>10.904299999999999</v>
      </c>
      <c r="JE17" s="28">
        <v>10.7531</v>
      </c>
      <c r="JF17" s="28">
        <v>10.9832</v>
      </c>
      <c r="JG17" s="28">
        <v>11.1227</v>
      </c>
      <c r="JH17" s="28">
        <v>10.837899999999999</v>
      </c>
      <c r="JI17" s="28">
        <v>10.8108</v>
      </c>
      <c r="JJ17" s="28">
        <v>10.812799999999999</v>
      </c>
      <c r="JK17" s="22">
        <v>11</v>
      </c>
      <c r="JN17" s="22">
        <v>11</v>
      </c>
      <c r="JO17" s="28">
        <v>10.544600000000001</v>
      </c>
      <c r="JP17" s="28">
        <v>10.4803</v>
      </c>
      <c r="JQ17" s="28">
        <v>10.7094</v>
      </c>
      <c r="JR17" s="28">
        <v>11.144299999999999</v>
      </c>
      <c r="JS17" s="28">
        <v>10.925800000000001</v>
      </c>
      <c r="JT17" s="28">
        <v>11.419</v>
      </c>
      <c r="JU17" s="28">
        <v>11.0243</v>
      </c>
      <c r="JV17" s="28">
        <v>10.8386</v>
      </c>
      <c r="JW17" s="28">
        <v>11.019600000000001</v>
      </c>
      <c r="JX17" s="28">
        <v>11.084199999999999</v>
      </c>
      <c r="JY17" s="28">
        <v>10.863200000000001</v>
      </c>
      <c r="JZ17" s="28">
        <v>10.8558</v>
      </c>
      <c r="KA17" s="22">
        <v>11</v>
      </c>
      <c r="KD17" s="22">
        <v>11</v>
      </c>
      <c r="KE17" s="28">
        <v>11.3643</v>
      </c>
      <c r="KF17" s="28">
        <v>11.1919</v>
      </c>
      <c r="KG17" s="28">
        <v>11.0181</v>
      </c>
      <c r="KH17" s="28">
        <v>11.1945</v>
      </c>
      <c r="KI17" s="28">
        <v>10.9693</v>
      </c>
      <c r="KJ17" s="28">
        <v>10.886799999999999</v>
      </c>
      <c r="KK17" s="28">
        <v>10.7997</v>
      </c>
      <c r="KL17" s="28">
        <v>10.638299999999999</v>
      </c>
      <c r="KM17" s="28">
        <v>10.7126</v>
      </c>
      <c r="KN17" s="28">
        <v>10.794</v>
      </c>
      <c r="KO17" s="28">
        <v>10.7104</v>
      </c>
      <c r="KP17" s="28">
        <v>10.502000000000001</v>
      </c>
      <c r="KQ17" s="22">
        <v>11</v>
      </c>
      <c r="KT17" s="22">
        <v>11</v>
      </c>
      <c r="KU17" s="28">
        <v>10.8847</v>
      </c>
      <c r="KV17" s="28">
        <v>11.103899999999999</v>
      </c>
      <c r="KW17" s="28">
        <v>10.9695</v>
      </c>
      <c r="KX17" s="28">
        <v>11.1631</v>
      </c>
      <c r="KY17" s="28">
        <v>11.527200000000001</v>
      </c>
      <c r="KZ17" s="28">
        <v>11.380800000000001</v>
      </c>
      <c r="LA17" s="28">
        <v>11.531499999999999</v>
      </c>
      <c r="LB17" s="28">
        <v>11.377599999999999</v>
      </c>
      <c r="LC17" s="28">
        <v>11.5717</v>
      </c>
      <c r="LD17" s="28">
        <v>11.2874</v>
      </c>
      <c r="LE17" s="28">
        <v>11.4465</v>
      </c>
      <c r="LF17" s="28">
        <v>11.291</v>
      </c>
      <c r="LG17" s="22">
        <v>11</v>
      </c>
      <c r="LJ17" s="22">
        <v>11</v>
      </c>
      <c r="LK17" s="28">
        <v>10.411199999999999</v>
      </c>
      <c r="LL17" s="28">
        <v>10.8979</v>
      </c>
      <c r="LM17" s="28">
        <v>11.106400000000001</v>
      </c>
      <c r="LN17" s="28">
        <v>10.754099999999999</v>
      </c>
      <c r="LO17" s="28">
        <v>10.17</v>
      </c>
      <c r="LP17" s="28">
        <v>10.7431</v>
      </c>
      <c r="LQ17" s="28">
        <v>10.4795</v>
      </c>
      <c r="LR17" s="28">
        <v>10.700100000000001</v>
      </c>
      <c r="LS17" s="28">
        <v>11.023300000000001</v>
      </c>
      <c r="LT17" s="28">
        <v>11.2356</v>
      </c>
      <c r="LU17" s="28">
        <v>10.9688</v>
      </c>
      <c r="LV17" s="28">
        <v>11.163500000000001</v>
      </c>
      <c r="LW17" s="22">
        <v>11</v>
      </c>
      <c r="LZ17" s="22">
        <v>11</v>
      </c>
      <c r="MA17" s="28">
        <v>9.2043999999999997</v>
      </c>
      <c r="MB17" s="28">
        <v>9.1380999999999997</v>
      </c>
      <c r="MC17" s="28">
        <v>9.0753000000000004</v>
      </c>
      <c r="MD17" s="28">
        <v>9.0421999999999993</v>
      </c>
      <c r="ME17" s="28">
        <v>9.4463000000000008</v>
      </c>
      <c r="MF17" s="28">
        <v>9.7411999999999992</v>
      </c>
      <c r="MG17" s="28">
        <v>9.8552</v>
      </c>
      <c r="MH17" s="28">
        <v>9.7334999999999994</v>
      </c>
      <c r="MI17" s="28">
        <v>9.9604999999999997</v>
      </c>
      <c r="MJ17" s="28">
        <v>10.204800000000001</v>
      </c>
      <c r="MK17" s="28">
        <v>10.242800000000001</v>
      </c>
      <c r="ML17" s="28">
        <v>10.1852</v>
      </c>
      <c r="MM17" s="22">
        <v>11</v>
      </c>
      <c r="MP17" s="22">
        <v>11</v>
      </c>
      <c r="MQ17" s="28">
        <v>9.7416999999999998</v>
      </c>
      <c r="MR17" s="28">
        <v>9.6463999999999999</v>
      </c>
      <c r="MS17" s="28">
        <v>9.6468000000000007</v>
      </c>
      <c r="MT17" s="28">
        <v>9.3587000000000007</v>
      </c>
      <c r="MU17" s="28">
        <v>9.2159999999999993</v>
      </c>
      <c r="MV17" s="28">
        <v>9.1234999999999999</v>
      </c>
      <c r="MW17" s="28">
        <v>9.1193000000000008</v>
      </c>
      <c r="MX17" s="28">
        <v>9.0897000000000006</v>
      </c>
      <c r="MY17" s="28">
        <v>9.3241999999999994</v>
      </c>
      <c r="MZ17" s="28">
        <v>9.5162999999999993</v>
      </c>
      <c r="NA17" s="28">
        <v>9.2114999999999991</v>
      </c>
      <c r="NB17" s="28">
        <v>9.2124000000000006</v>
      </c>
      <c r="NC17" s="22">
        <v>11</v>
      </c>
      <c r="NF17" s="22">
        <v>11</v>
      </c>
      <c r="NG17" s="28">
        <v>9.5150000000000006</v>
      </c>
      <c r="NH17" s="28">
        <v>9.3998000000000008</v>
      </c>
      <c r="NI17" s="28">
        <v>9.2836999999999996</v>
      </c>
      <c r="NJ17" s="28">
        <v>9.3217999999999996</v>
      </c>
      <c r="NK17" s="28">
        <v>9.4855</v>
      </c>
      <c r="NL17" s="28">
        <v>9.8519000000000005</v>
      </c>
      <c r="NM17" s="28">
        <v>9.5195000000000007</v>
      </c>
      <c r="NN17" s="28">
        <v>9.3260000000000005</v>
      </c>
      <c r="NO17" s="28">
        <v>9.3140999999999998</v>
      </c>
      <c r="NP17" s="28">
        <v>9.4753000000000007</v>
      </c>
      <c r="NQ17" s="28">
        <v>9.6532999999999998</v>
      </c>
      <c r="NR17" s="28">
        <v>9.4262999999999995</v>
      </c>
      <c r="NS17" s="22">
        <v>11</v>
      </c>
      <c r="NV17" s="22">
        <v>11</v>
      </c>
      <c r="NW17" s="28">
        <v>9.8527000000000005</v>
      </c>
      <c r="NX17" s="28">
        <v>10.0764</v>
      </c>
      <c r="NY17" s="28">
        <v>9.7927</v>
      </c>
      <c r="NZ17" s="28">
        <v>9.4771000000000001</v>
      </c>
      <c r="OA17" s="28">
        <v>9.3480000000000008</v>
      </c>
      <c r="OB17" s="28">
        <v>9.5816999999999997</v>
      </c>
      <c r="OC17" s="28">
        <v>9.3302999999999994</v>
      </c>
      <c r="OD17" s="28">
        <v>9.4873999999999992</v>
      </c>
      <c r="OE17" s="28">
        <v>9.3470999999999993</v>
      </c>
      <c r="OF17" s="28">
        <v>9.4597999999999995</v>
      </c>
      <c r="OG17" s="28">
        <v>9.4158000000000008</v>
      </c>
      <c r="OH17" s="28">
        <v>9.4288000000000007</v>
      </c>
      <c r="OI17" s="22">
        <v>11</v>
      </c>
      <c r="OL17" s="22">
        <v>11</v>
      </c>
      <c r="OM17" s="28">
        <v>8.0775000000000006</v>
      </c>
      <c r="ON17" s="28">
        <v>8.4528999999999996</v>
      </c>
      <c r="OO17" s="28">
        <v>8.6273</v>
      </c>
      <c r="OP17" s="28">
        <v>8.5274000000000001</v>
      </c>
      <c r="OQ17" s="28">
        <v>8.5007000000000001</v>
      </c>
      <c r="OR17" s="28">
        <v>8.8360000000000003</v>
      </c>
      <c r="OS17" s="28">
        <v>8.9431999999999992</v>
      </c>
      <c r="OT17" s="28">
        <v>9.0187000000000008</v>
      </c>
      <c r="OU17" s="28">
        <v>10.3499</v>
      </c>
      <c r="OV17" s="28">
        <v>10.354900000000001</v>
      </c>
      <c r="OW17" s="28">
        <v>10.0015</v>
      </c>
      <c r="OX17" s="28">
        <v>9.9517000000000007</v>
      </c>
      <c r="OY17" s="22">
        <v>11</v>
      </c>
      <c r="PB17" s="22">
        <v>11</v>
      </c>
      <c r="PC17" s="28">
        <v>7.8208000000000002</v>
      </c>
      <c r="PD17" s="28">
        <v>7.8048000000000002</v>
      </c>
      <c r="PE17" s="28">
        <v>8.0152000000000001</v>
      </c>
      <c r="PF17" s="28">
        <v>7.8913000000000002</v>
      </c>
      <c r="PG17" s="28">
        <v>7.9253</v>
      </c>
      <c r="PH17" s="28">
        <v>7.9878</v>
      </c>
      <c r="PI17" s="28">
        <v>7.8952999999999998</v>
      </c>
      <c r="PJ17" s="28">
        <v>7.7895000000000003</v>
      </c>
      <c r="PK17" s="28">
        <v>7.7790999999999997</v>
      </c>
      <c r="PL17" s="28">
        <v>7.77</v>
      </c>
      <c r="PM17" s="28">
        <v>8.3766999999999996</v>
      </c>
      <c r="PN17" s="28">
        <v>8.1148000000000007</v>
      </c>
      <c r="PO17" s="22">
        <v>11</v>
      </c>
      <c r="PR17" s="22">
        <v>11</v>
      </c>
      <c r="PS17" s="28">
        <v>7.4779</v>
      </c>
      <c r="PT17" s="28">
        <v>7.4863</v>
      </c>
      <c r="PU17" s="28">
        <v>7.5712999999999999</v>
      </c>
      <c r="PV17" s="28">
        <v>7.5366</v>
      </c>
      <c r="PW17" s="28">
        <v>7.4762000000000004</v>
      </c>
      <c r="PX17" s="28">
        <v>7.5278</v>
      </c>
      <c r="PY17" s="28">
        <v>7.6383000000000001</v>
      </c>
      <c r="PZ17" s="28">
        <v>7.5349000000000004</v>
      </c>
      <c r="QA17" s="28">
        <v>7.5426000000000002</v>
      </c>
      <c r="QB17" s="28">
        <v>7.5740999999999996</v>
      </c>
      <c r="QC17" s="28">
        <v>7.9527000000000001</v>
      </c>
      <c r="QD17" s="28">
        <v>7.9032</v>
      </c>
      <c r="QE17" s="22">
        <v>11</v>
      </c>
      <c r="QH17" s="22">
        <v>11</v>
      </c>
      <c r="QI17" s="28">
        <v>5.3949999999999996</v>
      </c>
      <c r="QJ17" s="28">
        <v>5.59</v>
      </c>
      <c r="QK17" s="28">
        <v>7.5875000000000004</v>
      </c>
      <c r="QL17" s="28">
        <v>6.2933000000000003</v>
      </c>
      <c r="QM17" s="28">
        <v>5.8883000000000001</v>
      </c>
      <c r="QN17" s="28">
        <v>6.2317</v>
      </c>
      <c r="QO17" s="28">
        <v>6.165</v>
      </c>
      <c r="QP17" s="28">
        <v>6.1384999999999996</v>
      </c>
      <c r="QQ17" s="28">
        <v>6.2568000000000001</v>
      </c>
      <c r="QR17" s="28">
        <v>6.5740999999999996</v>
      </c>
      <c r="QS17" s="28">
        <v>8.1382999999999992</v>
      </c>
      <c r="QT17" s="28">
        <v>7.7083000000000004</v>
      </c>
      <c r="QU17" s="22">
        <v>11</v>
      </c>
      <c r="QX17" s="22">
        <v>11</v>
      </c>
      <c r="QY17" s="28">
        <v>3.1057000000000001</v>
      </c>
      <c r="QZ17" s="28">
        <v>3.1055000000000001</v>
      </c>
      <c r="RA17" s="28">
        <v>3.3149999999999999</v>
      </c>
      <c r="RB17" s="28">
        <v>3.363</v>
      </c>
      <c r="RC17" s="28">
        <v>3.3395999999999999</v>
      </c>
      <c r="RD17" s="28">
        <v>3.3588</v>
      </c>
      <c r="RE17" s="28">
        <v>3.4001999999999999</v>
      </c>
      <c r="RF17" s="28">
        <v>3.3881999999999999</v>
      </c>
      <c r="RG17" s="28">
        <v>3.4014000000000002</v>
      </c>
      <c r="RH17" s="28">
        <v>3.4175</v>
      </c>
      <c r="RI17" s="28">
        <v>3.4285000000000001</v>
      </c>
      <c r="RJ17" s="28">
        <v>3.4510999999999998</v>
      </c>
      <c r="RK17" s="22">
        <v>11</v>
      </c>
      <c r="RN17" s="22">
        <v>11</v>
      </c>
      <c r="RO17" s="28">
        <v>3.1063000000000001</v>
      </c>
      <c r="RP17" s="28">
        <v>3.0977000000000001</v>
      </c>
      <c r="RQ17" s="28">
        <v>3.113</v>
      </c>
      <c r="RR17" s="28">
        <v>3.0939999999999999</v>
      </c>
      <c r="RS17" s="28">
        <v>3.1335000000000002</v>
      </c>
      <c r="RT17" s="28">
        <v>3.1269</v>
      </c>
      <c r="RU17" s="28">
        <v>3.1261000000000001</v>
      </c>
      <c r="RV17" s="28">
        <v>3.11</v>
      </c>
      <c r="RW17" s="28">
        <v>3.1126999999999998</v>
      </c>
      <c r="RX17" s="28">
        <v>3.1156000000000001</v>
      </c>
      <c r="RY17" s="28">
        <v>3.2450000000000001</v>
      </c>
      <c r="RZ17" s="28">
        <v>3.1074999999999999</v>
      </c>
      <c r="SA17" s="22">
        <v>11</v>
      </c>
      <c r="SD17" s="22">
        <v>11</v>
      </c>
      <c r="SE17" s="28">
        <v>3.0661999999999998</v>
      </c>
      <c r="SF17" s="28">
        <v>3.0644999999999998</v>
      </c>
      <c r="SG17" s="28">
        <v>3.0611999999999999</v>
      </c>
      <c r="SH17" s="28">
        <v>3.0695000000000001</v>
      </c>
      <c r="SI17" s="28">
        <v>3.1</v>
      </c>
      <c r="SJ17" s="28">
        <v>3.1175999999999999</v>
      </c>
      <c r="SK17" s="28">
        <v>3.1099000000000001</v>
      </c>
      <c r="SL17" s="28">
        <v>3.1019999999999999</v>
      </c>
      <c r="SM17" s="28">
        <v>3.0630000000000002</v>
      </c>
      <c r="SN17" s="28">
        <v>3.1151</v>
      </c>
      <c r="SO17" s="28">
        <v>3.1248999999999998</v>
      </c>
      <c r="SP17" s="28">
        <v>3.1128</v>
      </c>
      <c r="SQ17" s="22">
        <v>11</v>
      </c>
      <c r="ST17" s="22">
        <v>11</v>
      </c>
      <c r="SU17" s="28">
        <v>2.9502000000000002</v>
      </c>
      <c r="SV17" s="28">
        <v>2.9618000000000002</v>
      </c>
      <c r="SW17" s="28">
        <v>2.9729999999999999</v>
      </c>
      <c r="SX17" s="28">
        <v>2.9862000000000002</v>
      </c>
      <c r="SY17" s="28">
        <v>2.9982000000000002</v>
      </c>
      <c r="SZ17" s="28">
        <v>3.0097999999999998</v>
      </c>
      <c r="TA17" s="28">
        <v>3.0226000000000002</v>
      </c>
      <c r="TB17" s="28">
        <v>3.0346000000000002</v>
      </c>
      <c r="TC17" s="28">
        <v>3.0474000000000001</v>
      </c>
      <c r="TD17" s="28">
        <v>3.0602</v>
      </c>
      <c r="TE17" s="28">
        <v>3.0726</v>
      </c>
      <c r="TF17" s="28">
        <v>3.0624799999999999</v>
      </c>
      <c r="TG17" s="22">
        <v>11</v>
      </c>
      <c r="TJ17" s="22">
        <v>11</v>
      </c>
      <c r="TK17" s="28">
        <v>2.653</v>
      </c>
      <c r="TL17" s="28">
        <v>2.6829999999999998</v>
      </c>
      <c r="TM17" s="28">
        <v>2.7109999999999999</v>
      </c>
      <c r="TN17" s="28">
        <v>2.7429999999999999</v>
      </c>
      <c r="TO17" s="28">
        <v>2.7730000000000001</v>
      </c>
      <c r="TP17" s="28">
        <v>2.8001999999999998</v>
      </c>
      <c r="TQ17" s="28">
        <v>2.8258000000000001</v>
      </c>
      <c r="TR17" s="28">
        <v>2.8506</v>
      </c>
      <c r="TS17" s="28">
        <v>2.8738000000000001</v>
      </c>
      <c r="TT17" s="28">
        <v>2.8994</v>
      </c>
      <c r="TU17" s="28">
        <v>2.9234</v>
      </c>
      <c r="TV17" s="28">
        <v>2.9369999999999998</v>
      </c>
      <c r="TW17" s="22">
        <v>11</v>
      </c>
      <c r="TZ17" s="22">
        <v>11</v>
      </c>
      <c r="UA17" s="28">
        <v>2.2879999999999998</v>
      </c>
      <c r="UB17" s="28">
        <v>2.319</v>
      </c>
      <c r="UC17" s="28">
        <v>2.347</v>
      </c>
      <c r="UD17" s="28">
        <v>2.3759999999999999</v>
      </c>
      <c r="UE17" s="28">
        <v>2.4079999999999999</v>
      </c>
      <c r="UF17" s="28">
        <v>2.4380000000000002</v>
      </c>
      <c r="UG17" s="28">
        <v>2.4670000000000001</v>
      </c>
      <c r="UH17" s="28">
        <v>2.5</v>
      </c>
      <c r="UI17" s="28">
        <v>2.5289999999999999</v>
      </c>
      <c r="UJ17" s="28">
        <v>2.5609999999999999</v>
      </c>
      <c r="UK17" s="28">
        <v>2.5920000000000001</v>
      </c>
      <c r="UL17" s="28">
        <v>2.62</v>
      </c>
      <c r="UM17" s="22">
        <v>11</v>
      </c>
    </row>
    <row r="18" spans="2:559" s="7" customFormat="1" ht="19.2">
      <c r="B18" s="22">
        <v>12</v>
      </c>
      <c r="C18" s="28">
        <v>19.110800000000001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2">
        <v>12</v>
      </c>
      <c r="R18" s="22">
        <v>12</v>
      </c>
      <c r="S18" s="28">
        <v>20.4453</v>
      </c>
      <c r="T18" s="28">
        <v>20.4148</v>
      </c>
      <c r="U18" s="28">
        <v>20.974299999999999</v>
      </c>
      <c r="V18" s="28">
        <v>20.12</v>
      </c>
      <c r="W18" s="28">
        <v>20.372</v>
      </c>
      <c r="X18" s="28">
        <v>19.6128</v>
      </c>
      <c r="Y18" s="28">
        <v>20.442299999999999</v>
      </c>
      <c r="Z18" s="28">
        <v>19.956199999999999</v>
      </c>
      <c r="AA18" s="28">
        <v>20.020299999999999</v>
      </c>
      <c r="AB18" s="28">
        <v>19.975200000000001</v>
      </c>
      <c r="AC18" s="28">
        <v>19.393999999999998</v>
      </c>
      <c r="AD18" s="28">
        <v>19.673200000000001</v>
      </c>
      <c r="AE18" s="22">
        <v>12</v>
      </c>
      <c r="AH18" s="22">
        <v>12</v>
      </c>
      <c r="AI18" s="28">
        <v>19.970500000000001</v>
      </c>
      <c r="AJ18" s="28">
        <v>20.058800000000002</v>
      </c>
      <c r="AK18" s="28">
        <v>20.985299999999999</v>
      </c>
      <c r="AL18" s="28">
        <v>20.088999999999999</v>
      </c>
      <c r="AM18" s="28">
        <v>19.885999999999999</v>
      </c>
      <c r="AN18" s="28">
        <v>19.700199999999999</v>
      </c>
      <c r="AO18" s="28">
        <v>20.007000000000001</v>
      </c>
      <c r="AP18" s="28">
        <v>20.1038</v>
      </c>
      <c r="AQ18" s="28">
        <v>19.931799999999999</v>
      </c>
      <c r="AR18" s="28">
        <v>20.729299999999999</v>
      </c>
      <c r="AS18" s="28">
        <v>20.470199999999998</v>
      </c>
      <c r="AT18" s="28">
        <v>21.032800000000002</v>
      </c>
      <c r="AU18" s="22">
        <v>12</v>
      </c>
      <c r="AV18" s="8"/>
      <c r="AW18" s="8"/>
      <c r="AX18" s="22">
        <v>12</v>
      </c>
      <c r="AY18" s="28">
        <v>18.845300000000002</v>
      </c>
      <c r="AZ18" s="28">
        <v>18.7653</v>
      </c>
      <c r="BA18" s="28">
        <v>21.026700000000002</v>
      </c>
      <c r="BB18" s="28">
        <v>24.038799999999998</v>
      </c>
      <c r="BC18" s="28">
        <v>23.680499999999999</v>
      </c>
      <c r="BD18" s="28">
        <v>21.922999999999998</v>
      </c>
      <c r="BE18" s="28">
        <v>22.694500000000001</v>
      </c>
      <c r="BF18" s="28">
        <v>22.484999999999999</v>
      </c>
      <c r="BG18" s="28">
        <v>21.2773</v>
      </c>
      <c r="BH18" s="28">
        <v>21.431799999999999</v>
      </c>
      <c r="BI18" s="28">
        <v>20.401800000000001</v>
      </c>
      <c r="BJ18" s="28">
        <v>19.9572</v>
      </c>
      <c r="BK18" s="22">
        <v>12</v>
      </c>
      <c r="BN18" s="22">
        <v>12</v>
      </c>
      <c r="BO18" s="28">
        <v>19.171399999999998</v>
      </c>
      <c r="BP18" s="28">
        <v>19.089300000000001</v>
      </c>
      <c r="BQ18" s="28">
        <v>19.490200000000002</v>
      </c>
      <c r="BR18" s="28">
        <v>18.835999999999999</v>
      </c>
      <c r="BS18" s="28">
        <v>19.2623</v>
      </c>
      <c r="BT18" s="28">
        <v>19.204000000000001</v>
      </c>
      <c r="BU18" s="28">
        <v>19.2425</v>
      </c>
      <c r="BV18" s="28">
        <v>19.511800000000001</v>
      </c>
      <c r="BW18" s="28">
        <v>19.535399999999999</v>
      </c>
      <c r="BX18" s="28">
        <v>19.476400000000002</v>
      </c>
      <c r="BY18" s="28">
        <v>19.1068</v>
      </c>
      <c r="BZ18" s="28">
        <v>19.2362</v>
      </c>
      <c r="CA18" s="22">
        <v>12</v>
      </c>
      <c r="CD18" s="22">
        <v>12</v>
      </c>
      <c r="CE18" s="28">
        <v>19.240500000000001</v>
      </c>
      <c r="CF18" s="28">
        <v>18.881499999999999</v>
      </c>
      <c r="CG18" s="29">
        <v>18.7148</v>
      </c>
      <c r="CH18" s="28">
        <v>18.2882</v>
      </c>
      <c r="CI18" s="28">
        <v>19.2989</v>
      </c>
      <c r="CJ18" s="28">
        <v>20.528099999999998</v>
      </c>
      <c r="CK18" s="28">
        <v>19.055900000000001</v>
      </c>
      <c r="CL18" s="28">
        <v>18.6511</v>
      </c>
      <c r="CM18" s="28">
        <v>19.2989</v>
      </c>
      <c r="CN18" s="28">
        <v>19.118300000000001</v>
      </c>
      <c r="CO18" s="28">
        <v>20.043800000000001</v>
      </c>
      <c r="CP18" s="28">
        <v>20.362100000000002</v>
      </c>
      <c r="CQ18" s="22">
        <v>12</v>
      </c>
      <c r="CT18" s="22">
        <v>12</v>
      </c>
      <c r="CU18" s="28">
        <v>21.616800000000001</v>
      </c>
      <c r="CV18" s="28">
        <v>20.4163</v>
      </c>
      <c r="CW18" s="28">
        <v>19.7974</v>
      </c>
      <c r="CX18" s="28">
        <v>18.692299999999999</v>
      </c>
      <c r="CY18" s="28">
        <v>18.9587</v>
      </c>
      <c r="CZ18" s="28">
        <v>18.194600000000001</v>
      </c>
      <c r="DA18" s="28">
        <v>17.975100000000001</v>
      </c>
      <c r="DB18" s="28">
        <v>17.907299999999999</v>
      </c>
      <c r="DC18" s="28">
        <v>17.7331</v>
      </c>
      <c r="DD18" s="28">
        <v>18.6327</v>
      </c>
      <c r="DE18" s="28">
        <v>19.09</v>
      </c>
      <c r="DF18" s="28">
        <v>18.944500000000001</v>
      </c>
      <c r="DG18" s="22">
        <v>12</v>
      </c>
      <c r="DJ18" s="22">
        <v>12</v>
      </c>
      <c r="DK18" s="28">
        <v>17.9283</v>
      </c>
      <c r="DL18" s="28">
        <v>18.808900000000001</v>
      </c>
      <c r="DM18" s="28">
        <v>17.860099999999999</v>
      </c>
      <c r="DN18" s="28">
        <v>17.739100000000001</v>
      </c>
      <c r="DO18" s="28">
        <v>18.020499999999998</v>
      </c>
      <c r="DP18" s="28">
        <v>18.2742</v>
      </c>
      <c r="DQ18" s="28">
        <v>18.5991</v>
      </c>
      <c r="DR18" s="28">
        <v>18.347899999999999</v>
      </c>
      <c r="DS18" s="28">
        <v>18.5427</v>
      </c>
      <c r="DT18" s="28">
        <v>18.878599999999999</v>
      </c>
      <c r="DU18" s="28">
        <v>20.481200000000001</v>
      </c>
      <c r="DV18" s="28">
        <v>20.4162</v>
      </c>
      <c r="DW18" s="22">
        <v>12</v>
      </c>
      <c r="DZ18" s="22">
        <v>12</v>
      </c>
      <c r="EA18" s="28">
        <v>14.6274</v>
      </c>
      <c r="EB18" s="28">
        <v>14.930899999999999</v>
      </c>
      <c r="EC18" s="28">
        <v>15.5837</v>
      </c>
      <c r="ED18" s="28">
        <v>15.055400000000001</v>
      </c>
      <c r="EE18" s="28">
        <v>15.1424</v>
      </c>
      <c r="EF18" s="28">
        <v>15.4779</v>
      </c>
      <c r="EG18" s="28">
        <v>15.817399999999999</v>
      </c>
      <c r="EH18" s="28">
        <v>16.165199999999999</v>
      </c>
      <c r="EI18" s="28">
        <v>16.7773</v>
      </c>
      <c r="EJ18" s="28">
        <v>16.546399999999998</v>
      </c>
      <c r="EK18" s="28">
        <v>16.765799999999999</v>
      </c>
      <c r="EL18" s="28">
        <v>17.074999999999999</v>
      </c>
      <c r="EM18" s="22">
        <v>12</v>
      </c>
      <c r="EP18" s="22">
        <v>12</v>
      </c>
      <c r="EQ18" s="28">
        <v>13.1403</v>
      </c>
      <c r="ER18" s="28">
        <v>13.3134</v>
      </c>
      <c r="ES18" s="28">
        <v>13.2248</v>
      </c>
      <c r="ET18" s="28">
        <v>13.045299999999999</v>
      </c>
      <c r="EU18" s="28">
        <v>12.947699999999999</v>
      </c>
      <c r="EV18" s="28">
        <v>13.0486</v>
      </c>
      <c r="EW18" s="28">
        <v>13.0015</v>
      </c>
      <c r="EX18" s="28">
        <v>13.236000000000001</v>
      </c>
      <c r="EY18" s="28">
        <v>13.214399999999999</v>
      </c>
      <c r="EZ18" s="28">
        <v>13.3789</v>
      </c>
      <c r="FA18" s="28">
        <v>13.5528</v>
      </c>
      <c r="FB18" s="28">
        <v>14.5181</v>
      </c>
      <c r="FC18" s="22">
        <v>12</v>
      </c>
      <c r="FF18" s="22">
        <v>12</v>
      </c>
      <c r="FG18" s="28">
        <v>12.6555</v>
      </c>
      <c r="FH18" s="28">
        <v>12.730700000000001</v>
      </c>
      <c r="FI18" s="28">
        <v>12.6684</v>
      </c>
      <c r="FJ18" s="28">
        <v>12.114000000000001</v>
      </c>
      <c r="FK18" s="28">
        <v>11.980700000000001</v>
      </c>
      <c r="FL18" s="28">
        <v>12.857200000000001</v>
      </c>
      <c r="FM18" s="28">
        <v>12.949400000000001</v>
      </c>
      <c r="FN18" s="28">
        <v>12.646000000000001</v>
      </c>
      <c r="FO18" s="28">
        <v>13.1119</v>
      </c>
      <c r="FP18" s="28">
        <v>13.0913</v>
      </c>
      <c r="FQ18" s="28">
        <v>13.241199999999999</v>
      </c>
      <c r="FR18" s="28">
        <v>12.8574</v>
      </c>
      <c r="FS18" s="22">
        <v>12</v>
      </c>
      <c r="FV18" s="22">
        <v>12</v>
      </c>
      <c r="FW18" s="28">
        <v>13.6204</v>
      </c>
      <c r="FX18" s="28">
        <v>12.72</v>
      </c>
      <c r="FY18" s="28">
        <v>12.784000000000001</v>
      </c>
      <c r="FZ18" s="28">
        <v>13.1568</v>
      </c>
      <c r="GA18" s="28">
        <v>13.446999999999999</v>
      </c>
      <c r="GB18" s="28">
        <v>14.0351</v>
      </c>
      <c r="GC18" s="28">
        <v>13.292400000000001</v>
      </c>
      <c r="GD18" s="28">
        <v>13.1188</v>
      </c>
      <c r="GE18" s="28">
        <v>12.992100000000001</v>
      </c>
      <c r="GF18" s="28">
        <v>12.911899999999999</v>
      </c>
      <c r="GG18" s="28">
        <v>13.1168</v>
      </c>
      <c r="GH18" s="28">
        <v>12.7964</v>
      </c>
      <c r="GI18" s="22">
        <v>12</v>
      </c>
      <c r="GL18" s="22">
        <v>12</v>
      </c>
      <c r="GM18" s="28">
        <v>12.254200000000001</v>
      </c>
      <c r="GN18" s="28">
        <v>12.0937</v>
      </c>
      <c r="GO18" s="28">
        <v>11.9755</v>
      </c>
      <c r="GP18" s="28">
        <v>11.742100000000001</v>
      </c>
      <c r="GQ18" s="28">
        <v>11.600899999999999</v>
      </c>
      <c r="GR18" s="28">
        <v>11.7965</v>
      </c>
      <c r="GS18" s="28">
        <v>11.633699999999999</v>
      </c>
      <c r="GT18" s="28">
        <v>12.322100000000001</v>
      </c>
      <c r="GU18" s="28">
        <v>12.4956</v>
      </c>
      <c r="GV18" s="28">
        <v>13.2751</v>
      </c>
      <c r="GW18" s="28">
        <v>13.562200000000001</v>
      </c>
      <c r="GX18" s="28">
        <v>13.6569</v>
      </c>
      <c r="GY18" s="22">
        <v>12</v>
      </c>
      <c r="HB18" s="22">
        <v>12</v>
      </c>
      <c r="HC18" s="28">
        <v>12.724299999999999</v>
      </c>
      <c r="HD18" s="28">
        <v>13.0601</v>
      </c>
      <c r="HE18" s="28">
        <v>12.6028</v>
      </c>
      <c r="HF18" s="28">
        <v>12.248799999999999</v>
      </c>
      <c r="HG18" s="28">
        <v>12.5297</v>
      </c>
      <c r="HH18" s="28">
        <v>12.7441</v>
      </c>
      <c r="HI18" s="28">
        <v>12.8232</v>
      </c>
      <c r="HJ18" s="28">
        <v>12.6927</v>
      </c>
      <c r="HK18" s="28">
        <v>12.985300000000001</v>
      </c>
      <c r="HL18" s="28">
        <v>12.4895</v>
      </c>
      <c r="HM18" s="28">
        <v>12.2714</v>
      </c>
      <c r="HN18" s="28">
        <v>12.458600000000001</v>
      </c>
      <c r="HO18" s="22">
        <v>12</v>
      </c>
      <c r="HR18" s="22">
        <v>12</v>
      </c>
      <c r="HS18" s="28">
        <v>13.5045</v>
      </c>
      <c r="HT18" s="28">
        <v>14.3575</v>
      </c>
      <c r="HU18" s="28">
        <v>15.3142</v>
      </c>
      <c r="HV18" s="28">
        <v>13.571199999999999</v>
      </c>
      <c r="HW18" s="28">
        <v>13.1067</v>
      </c>
      <c r="HX18" s="28">
        <v>13.650700000000001</v>
      </c>
      <c r="HY18" s="28">
        <v>13.575799999999999</v>
      </c>
      <c r="HZ18" s="28">
        <v>12.922000000000001</v>
      </c>
      <c r="IA18" s="28">
        <v>13.4582</v>
      </c>
      <c r="IB18" s="28">
        <v>13.322699999999999</v>
      </c>
      <c r="IC18" s="28">
        <v>13.2308</v>
      </c>
      <c r="ID18" s="28">
        <v>12.9739</v>
      </c>
      <c r="IE18" s="22">
        <v>12</v>
      </c>
      <c r="IH18" s="22">
        <v>12</v>
      </c>
      <c r="II18" s="28">
        <v>10.9572</v>
      </c>
      <c r="IJ18" s="28">
        <v>10.7575</v>
      </c>
      <c r="IK18" s="28">
        <v>10.847799999999999</v>
      </c>
      <c r="IL18" s="28">
        <v>10.5503</v>
      </c>
      <c r="IM18" s="28">
        <v>10.5465</v>
      </c>
      <c r="IN18" s="28">
        <v>10.3847</v>
      </c>
      <c r="IO18" s="28">
        <v>10.307600000000001</v>
      </c>
      <c r="IP18" s="28">
        <v>10.1305</v>
      </c>
      <c r="IQ18" s="28">
        <v>10.5862</v>
      </c>
      <c r="IR18" s="28">
        <v>12.443300000000001</v>
      </c>
      <c r="IS18" s="28">
        <v>12.785</v>
      </c>
      <c r="IT18" s="28">
        <v>13.472200000000001</v>
      </c>
      <c r="IU18" s="22">
        <v>12</v>
      </c>
      <c r="IX18" s="22">
        <v>12</v>
      </c>
      <c r="IY18" s="28">
        <v>11.033300000000001</v>
      </c>
      <c r="IZ18" s="28">
        <v>10.968299999999999</v>
      </c>
      <c r="JA18" s="28">
        <v>11.1426</v>
      </c>
      <c r="JB18" s="28">
        <v>11.012600000000001</v>
      </c>
      <c r="JC18" s="28">
        <v>10.8178</v>
      </c>
      <c r="JD18" s="28">
        <v>10.9702</v>
      </c>
      <c r="JE18" s="28">
        <v>10.791700000000001</v>
      </c>
      <c r="JF18" s="28">
        <v>10.9832</v>
      </c>
      <c r="JG18" s="28">
        <v>11.140700000000001</v>
      </c>
      <c r="JH18" s="28">
        <v>10.8383</v>
      </c>
      <c r="JI18" s="28">
        <v>10.8108</v>
      </c>
      <c r="JJ18" s="28">
        <v>10.8185</v>
      </c>
      <c r="JK18" s="22">
        <v>12</v>
      </c>
      <c r="JN18" s="22">
        <v>12</v>
      </c>
      <c r="JO18" s="28">
        <v>10.599</v>
      </c>
      <c r="JP18" s="28">
        <v>10.4803</v>
      </c>
      <c r="JQ18" s="28">
        <v>10.7094</v>
      </c>
      <c r="JR18" s="28">
        <v>11.095599999999999</v>
      </c>
      <c r="JS18" s="28">
        <v>10.842499999999999</v>
      </c>
      <c r="JT18" s="28">
        <v>11.419</v>
      </c>
      <c r="JU18" s="28">
        <v>10.954700000000001</v>
      </c>
      <c r="JV18" s="28">
        <v>10.880800000000001</v>
      </c>
      <c r="JW18" s="28">
        <v>11.027100000000001</v>
      </c>
      <c r="JX18" s="28">
        <v>11.059699999999999</v>
      </c>
      <c r="JY18" s="28">
        <v>10.863200000000001</v>
      </c>
      <c r="JZ18" s="28">
        <v>10.8606</v>
      </c>
      <c r="KA18" s="22">
        <v>12</v>
      </c>
      <c r="KD18" s="22">
        <v>12</v>
      </c>
      <c r="KE18" s="28">
        <v>11.2667</v>
      </c>
      <c r="KF18" s="28">
        <v>11.1533</v>
      </c>
      <c r="KG18" s="28">
        <v>11.032400000000001</v>
      </c>
      <c r="KH18" s="28">
        <v>11.158300000000001</v>
      </c>
      <c r="KI18" s="28">
        <v>11.0082</v>
      </c>
      <c r="KJ18" s="28">
        <v>10.886799999999999</v>
      </c>
      <c r="KK18" s="28">
        <v>10.742800000000001</v>
      </c>
      <c r="KL18" s="28">
        <v>10.587400000000001</v>
      </c>
      <c r="KM18" s="28">
        <v>10.7126</v>
      </c>
      <c r="KN18" s="28">
        <v>10.7965</v>
      </c>
      <c r="KO18" s="28">
        <v>10.714</v>
      </c>
      <c r="KP18" s="28">
        <v>10.502000000000001</v>
      </c>
      <c r="KQ18" s="22">
        <v>12</v>
      </c>
      <c r="KT18" s="22">
        <v>12</v>
      </c>
      <c r="KU18" s="28">
        <v>10.8847</v>
      </c>
      <c r="KV18" s="28">
        <v>11.1069</v>
      </c>
      <c r="KW18" s="28">
        <v>10.9368</v>
      </c>
      <c r="KX18" s="28">
        <v>11.1631</v>
      </c>
      <c r="KY18" s="28">
        <v>11.6328</v>
      </c>
      <c r="KZ18" s="28">
        <v>11.366</v>
      </c>
      <c r="LA18" s="28">
        <v>11.531499999999999</v>
      </c>
      <c r="LB18" s="28">
        <v>11.394299999999999</v>
      </c>
      <c r="LC18" s="28">
        <v>11.5717</v>
      </c>
      <c r="LD18" s="28">
        <v>11.240600000000001</v>
      </c>
      <c r="LE18" s="28">
        <v>11.4299</v>
      </c>
      <c r="LF18" s="28">
        <v>11.291</v>
      </c>
      <c r="LG18" s="22">
        <v>12</v>
      </c>
      <c r="LJ18" s="22">
        <v>12</v>
      </c>
      <c r="LK18" s="28">
        <v>10.411199999999999</v>
      </c>
      <c r="LL18" s="28">
        <v>10.9948</v>
      </c>
      <c r="LM18" s="28">
        <v>11.0998</v>
      </c>
      <c r="LN18" s="28">
        <v>10.7651</v>
      </c>
      <c r="LO18" s="28">
        <v>10.17</v>
      </c>
      <c r="LP18" s="28">
        <v>10.714499999999999</v>
      </c>
      <c r="LQ18" s="28">
        <v>10.4482</v>
      </c>
      <c r="LR18" s="28">
        <v>10.6623</v>
      </c>
      <c r="LS18" s="28">
        <v>10.950200000000001</v>
      </c>
      <c r="LT18" s="28">
        <v>11.2356</v>
      </c>
      <c r="LU18" s="28">
        <v>11.0097</v>
      </c>
      <c r="LV18" s="28">
        <v>11.214499999999999</v>
      </c>
      <c r="LW18" s="22">
        <v>12</v>
      </c>
      <c r="LZ18" s="22">
        <v>12</v>
      </c>
      <c r="MA18" s="28">
        <v>9.2444000000000006</v>
      </c>
      <c r="MB18" s="28">
        <v>9.1464999999999996</v>
      </c>
      <c r="MC18" s="28">
        <v>9.0728000000000009</v>
      </c>
      <c r="MD18" s="28">
        <v>9.0446000000000009</v>
      </c>
      <c r="ME18" s="28">
        <v>9.4463000000000008</v>
      </c>
      <c r="MF18" s="28">
        <v>9.6992999999999991</v>
      </c>
      <c r="MG18" s="28">
        <v>9.8338000000000001</v>
      </c>
      <c r="MH18" s="28">
        <v>9.7334999999999994</v>
      </c>
      <c r="MI18" s="28">
        <v>9.9511000000000003</v>
      </c>
      <c r="MJ18" s="28">
        <v>10.2195</v>
      </c>
      <c r="MK18" s="28">
        <v>10.295299999999999</v>
      </c>
      <c r="ML18" s="28">
        <v>10.1744</v>
      </c>
      <c r="MM18" s="22">
        <v>12</v>
      </c>
      <c r="MP18" s="22">
        <v>12</v>
      </c>
      <c r="MQ18" s="28">
        <v>9.8167000000000009</v>
      </c>
      <c r="MR18" s="28">
        <v>9.6463999999999999</v>
      </c>
      <c r="MS18" s="28">
        <v>9.6468000000000007</v>
      </c>
      <c r="MT18" s="28">
        <v>9.3093000000000004</v>
      </c>
      <c r="MU18" s="28">
        <v>9.1966999999999999</v>
      </c>
      <c r="MV18" s="28">
        <v>9.0679999999999996</v>
      </c>
      <c r="MW18" s="28">
        <v>9.1476000000000006</v>
      </c>
      <c r="MX18" s="28">
        <v>9.0897000000000006</v>
      </c>
      <c r="MY18" s="28">
        <v>9.3716000000000008</v>
      </c>
      <c r="MZ18" s="28">
        <v>9.4053000000000004</v>
      </c>
      <c r="NA18" s="28">
        <v>9.2114999999999991</v>
      </c>
      <c r="NB18" s="28">
        <v>9.1865000000000006</v>
      </c>
      <c r="NC18" s="22">
        <v>12</v>
      </c>
      <c r="NF18" s="22">
        <v>12</v>
      </c>
      <c r="NG18" s="28">
        <v>9.4464000000000006</v>
      </c>
      <c r="NH18" s="28">
        <v>9.4347999999999992</v>
      </c>
      <c r="NI18" s="28">
        <v>9.2836999999999996</v>
      </c>
      <c r="NJ18" s="28">
        <v>9.2867999999999995</v>
      </c>
      <c r="NK18" s="28">
        <v>9.5701999999999998</v>
      </c>
      <c r="NL18" s="28">
        <v>9.8519000000000005</v>
      </c>
      <c r="NM18" s="28">
        <v>9.5023</v>
      </c>
      <c r="NN18" s="28">
        <v>9.3198000000000008</v>
      </c>
      <c r="NO18" s="28">
        <v>9.3242999999999991</v>
      </c>
      <c r="NP18" s="28">
        <v>9.4632000000000005</v>
      </c>
      <c r="NQ18" s="28">
        <v>9.6532999999999998</v>
      </c>
      <c r="NR18" s="28">
        <v>9.3984000000000005</v>
      </c>
      <c r="NS18" s="22">
        <v>12</v>
      </c>
      <c r="NV18" s="22">
        <v>12</v>
      </c>
      <c r="NW18" s="28">
        <v>9.8091000000000008</v>
      </c>
      <c r="NX18" s="28">
        <v>10.060600000000001</v>
      </c>
      <c r="NY18" s="28">
        <v>9.8011999999999997</v>
      </c>
      <c r="NZ18" s="28">
        <v>9.4771000000000001</v>
      </c>
      <c r="OA18" s="28">
        <v>9.2992000000000008</v>
      </c>
      <c r="OB18" s="28">
        <v>9.5984999999999996</v>
      </c>
      <c r="OC18" s="28">
        <v>9.3302999999999994</v>
      </c>
      <c r="OD18" s="28">
        <v>9.5062999999999995</v>
      </c>
      <c r="OE18" s="28">
        <v>9.3470999999999993</v>
      </c>
      <c r="OF18" s="28">
        <v>9.4681999999999995</v>
      </c>
      <c r="OG18" s="28">
        <v>9.4125999999999994</v>
      </c>
      <c r="OH18" s="28">
        <v>9.4288000000000007</v>
      </c>
      <c r="OI18" s="22">
        <v>12</v>
      </c>
      <c r="OL18" s="22">
        <v>12</v>
      </c>
      <c r="OM18" s="28">
        <v>8.0775000000000006</v>
      </c>
      <c r="ON18" s="28">
        <v>8.4849999999999994</v>
      </c>
      <c r="OO18" s="28">
        <v>8.6273</v>
      </c>
      <c r="OP18" s="28">
        <v>8.5274000000000001</v>
      </c>
      <c r="OQ18" s="28">
        <v>8.4833999999999996</v>
      </c>
      <c r="OR18" s="28">
        <v>8.8808000000000007</v>
      </c>
      <c r="OS18" s="28">
        <v>8.9431999999999992</v>
      </c>
      <c r="OT18" s="28">
        <v>9.1252999999999993</v>
      </c>
      <c r="OU18" s="28">
        <v>10.532500000000001</v>
      </c>
      <c r="OV18" s="28">
        <v>10.354900000000001</v>
      </c>
      <c r="OW18" s="28">
        <v>10.025600000000001</v>
      </c>
      <c r="OX18" s="28">
        <v>9.9499999999999993</v>
      </c>
      <c r="OY18" s="22">
        <v>12</v>
      </c>
      <c r="PB18" s="22">
        <v>12</v>
      </c>
      <c r="PC18" s="28">
        <v>7.8208000000000002</v>
      </c>
      <c r="PD18" s="28">
        <v>7.7988</v>
      </c>
      <c r="PE18" s="28">
        <v>7.9589999999999996</v>
      </c>
      <c r="PF18" s="28">
        <v>7.9153000000000002</v>
      </c>
      <c r="PG18" s="28">
        <v>7.9253</v>
      </c>
      <c r="PH18" s="28">
        <v>7.9688999999999997</v>
      </c>
      <c r="PI18" s="28">
        <v>7.8913000000000002</v>
      </c>
      <c r="PJ18" s="28">
        <v>7.8262999999999998</v>
      </c>
      <c r="PK18" s="28">
        <v>7.7769000000000004</v>
      </c>
      <c r="PL18" s="28">
        <v>7.77</v>
      </c>
      <c r="PM18" s="28">
        <v>8.2627000000000006</v>
      </c>
      <c r="PN18" s="28">
        <v>8.1394000000000002</v>
      </c>
      <c r="PO18" s="22">
        <v>12</v>
      </c>
      <c r="PR18" s="22">
        <v>12</v>
      </c>
      <c r="PS18" s="28">
        <v>7.5187999999999997</v>
      </c>
      <c r="PT18" s="28">
        <v>7.4863</v>
      </c>
      <c r="PU18" s="28">
        <v>7.5892999999999997</v>
      </c>
      <c r="PV18" s="28">
        <v>7.4950000000000001</v>
      </c>
      <c r="PW18" s="28">
        <v>7.4762000000000004</v>
      </c>
      <c r="PX18" s="28">
        <v>7.5148999999999999</v>
      </c>
      <c r="PY18" s="28">
        <v>7.6182999999999996</v>
      </c>
      <c r="PZ18" s="28">
        <v>7.5349000000000004</v>
      </c>
      <c r="QA18" s="28">
        <v>7.5385</v>
      </c>
      <c r="QB18" s="28">
        <v>7.6109</v>
      </c>
      <c r="QC18" s="28">
        <v>7.9005000000000001</v>
      </c>
      <c r="QD18" s="28">
        <v>7.8723000000000001</v>
      </c>
      <c r="QE18" s="22">
        <v>12</v>
      </c>
      <c r="QH18" s="22">
        <v>12</v>
      </c>
      <c r="QI18" s="28">
        <v>5.78</v>
      </c>
      <c r="QJ18" s="28">
        <v>5.59</v>
      </c>
      <c r="QK18" s="28">
        <v>7.5875000000000004</v>
      </c>
      <c r="QL18" s="28">
        <v>6.2916999999999996</v>
      </c>
      <c r="QM18" s="28">
        <v>5.9574999999999996</v>
      </c>
      <c r="QN18" s="28">
        <v>6.2317</v>
      </c>
      <c r="QO18" s="28">
        <v>6.1074999999999999</v>
      </c>
      <c r="QP18" s="28">
        <v>6.1452999999999998</v>
      </c>
      <c r="QQ18" s="28">
        <v>6.2754000000000003</v>
      </c>
      <c r="QR18" s="28">
        <v>6.8132999999999999</v>
      </c>
      <c r="QS18" s="28">
        <v>8.1382999999999992</v>
      </c>
      <c r="QT18" s="28">
        <v>7.79</v>
      </c>
      <c r="QU18" s="22">
        <v>12</v>
      </c>
      <c r="QX18" s="22">
        <v>12</v>
      </c>
      <c r="QY18" s="28">
        <v>3.1150000000000002</v>
      </c>
      <c r="QZ18" s="28">
        <v>3.105</v>
      </c>
      <c r="RA18" s="28">
        <v>3.2888000000000002</v>
      </c>
      <c r="RB18" s="28">
        <v>3.3641999999999999</v>
      </c>
      <c r="RC18" s="28">
        <v>3.3163</v>
      </c>
      <c r="RD18" s="28">
        <v>3.3588</v>
      </c>
      <c r="RE18" s="28">
        <v>3.4005999999999998</v>
      </c>
      <c r="RF18" s="28">
        <v>3.403</v>
      </c>
      <c r="RG18" s="28">
        <v>3.4014000000000002</v>
      </c>
      <c r="RH18" s="28">
        <v>3.4159999999999999</v>
      </c>
      <c r="RI18" s="28">
        <v>3.4424000000000001</v>
      </c>
      <c r="RJ18" s="28">
        <v>3.4510999999999998</v>
      </c>
      <c r="RK18" s="22">
        <v>12</v>
      </c>
      <c r="RN18" s="22">
        <v>12</v>
      </c>
      <c r="RO18" s="28">
        <v>3.1107999999999998</v>
      </c>
      <c r="RP18" s="28">
        <v>3.0975000000000001</v>
      </c>
      <c r="RQ18" s="28">
        <v>3.1173999999999999</v>
      </c>
      <c r="RR18" s="28">
        <v>3.0939999999999999</v>
      </c>
      <c r="RS18" s="28">
        <v>3.1309</v>
      </c>
      <c r="RT18" s="28">
        <v>3.1282000000000001</v>
      </c>
      <c r="RU18" s="28">
        <v>3.1261000000000001</v>
      </c>
      <c r="RV18" s="28">
        <v>3.1110000000000002</v>
      </c>
      <c r="RW18" s="28">
        <v>3.1126999999999998</v>
      </c>
      <c r="RX18" s="28">
        <v>3.1158000000000001</v>
      </c>
      <c r="RY18" s="28">
        <v>3.24</v>
      </c>
      <c r="RZ18" s="28">
        <v>3.1074999999999999</v>
      </c>
      <c r="SA18" s="22">
        <v>12</v>
      </c>
      <c r="SD18" s="22">
        <v>12</v>
      </c>
      <c r="SE18" s="28">
        <v>3.0661999999999998</v>
      </c>
      <c r="SF18" s="28">
        <v>3.0674000000000001</v>
      </c>
      <c r="SG18" s="28">
        <v>3.0611999999999999</v>
      </c>
      <c r="SH18" s="28">
        <v>3.0695000000000001</v>
      </c>
      <c r="SI18" s="28">
        <v>3.1107999999999998</v>
      </c>
      <c r="SJ18" s="28">
        <v>3.1168999999999998</v>
      </c>
      <c r="SK18" s="28">
        <v>3.1099000000000001</v>
      </c>
      <c r="SL18" s="28">
        <v>3.0983999999999998</v>
      </c>
      <c r="SM18" s="28">
        <v>3.0768</v>
      </c>
      <c r="SN18" s="28">
        <v>3.1151</v>
      </c>
      <c r="SO18" s="28">
        <v>3.1196999999999999</v>
      </c>
      <c r="SP18" s="28">
        <v>3.1116999999999999</v>
      </c>
      <c r="SQ18" s="22">
        <v>12</v>
      </c>
      <c r="ST18" s="22">
        <v>12</v>
      </c>
      <c r="SU18" s="28">
        <v>2.9506000000000001</v>
      </c>
      <c r="SV18" s="28">
        <v>2.9622000000000002</v>
      </c>
      <c r="SW18" s="28">
        <v>2.9733999999999998</v>
      </c>
      <c r="SX18" s="28">
        <v>2.9866000000000001</v>
      </c>
      <c r="SY18" s="28">
        <v>2.9982000000000002</v>
      </c>
      <c r="SZ18" s="28">
        <v>3.0110000000000001</v>
      </c>
      <c r="TA18" s="28">
        <v>3.0230000000000001</v>
      </c>
      <c r="TB18" s="28">
        <v>3.0346000000000002</v>
      </c>
      <c r="TC18" s="28">
        <v>3.0478000000000001</v>
      </c>
      <c r="TD18" s="28">
        <v>3.0613999999999999</v>
      </c>
      <c r="TE18" s="28">
        <v>3.073</v>
      </c>
      <c r="TF18" s="28">
        <v>3.0623300000000002</v>
      </c>
      <c r="TG18" s="22">
        <v>12</v>
      </c>
      <c r="TJ18" s="22">
        <v>12</v>
      </c>
      <c r="TK18" s="28">
        <v>2.6539999999999999</v>
      </c>
      <c r="TL18" s="28">
        <v>2.6829999999999998</v>
      </c>
      <c r="TM18" s="28">
        <v>2.7109999999999999</v>
      </c>
      <c r="TN18" s="28">
        <v>2.7440000000000002</v>
      </c>
      <c r="TO18" s="28">
        <v>2.774</v>
      </c>
      <c r="TP18" s="28">
        <v>2.8010000000000002</v>
      </c>
      <c r="TQ18" s="28">
        <v>2.8266</v>
      </c>
      <c r="TR18" s="28">
        <v>2.8506</v>
      </c>
      <c r="TS18" s="28">
        <v>2.8761999999999999</v>
      </c>
      <c r="TT18" s="28">
        <v>2.9001999999999999</v>
      </c>
      <c r="TU18" s="28">
        <v>2.9234</v>
      </c>
      <c r="TV18" s="28">
        <v>2.9382000000000001</v>
      </c>
      <c r="TW18" s="22">
        <v>12</v>
      </c>
      <c r="TZ18" s="22">
        <v>12</v>
      </c>
      <c r="UA18" s="28">
        <v>2.2890000000000001</v>
      </c>
      <c r="UB18" s="28">
        <v>2.319</v>
      </c>
      <c r="UC18" s="28">
        <v>2.347</v>
      </c>
      <c r="UD18" s="28">
        <v>2.379</v>
      </c>
      <c r="UE18" s="28">
        <v>2.4089999999999998</v>
      </c>
      <c r="UF18" s="28">
        <v>2.4380000000000002</v>
      </c>
      <c r="UG18" s="28">
        <v>2.4700000000000002</v>
      </c>
      <c r="UH18" s="28">
        <v>2.5009999999999999</v>
      </c>
      <c r="UI18" s="28">
        <v>2.5299999999999998</v>
      </c>
      <c r="UJ18" s="28">
        <v>2.5619999999999998</v>
      </c>
      <c r="UK18" s="28">
        <v>2.5920000000000001</v>
      </c>
      <c r="UL18" s="28">
        <v>2.621</v>
      </c>
      <c r="UM18" s="22">
        <v>12</v>
      </c>
    </row>
    <row r="19" spans="2:559" s="7" customFormat="1" ht="19.2">
      <c r="B19" s="22">
        <v>13</v>
      </c>
      <c r="C19" s="28">
        <v>19.026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2">
        <v>13</v>
      </c>
      <c r="R19" s="22">
        <v>13</v>
      </c>
      <c r="S19" s="28">
        <v>20.378499999999999</v>
      </c>
      <c r="T19" s="28">
        <v>20.4148</v>
      </c>
      <c r="U19" s="28">
        <v>20.974299999999999</v>
      </c>
      <c r="V19" s="28">
        <v>20.0093</v>
      </c>
      <c r="W19" s="28">
        <v>20.2592</v>
      </c>
      <c r="X19" s="28">
        <v>19.6128</v>
      </c>
      <c r="Y19" s="28">
        <v>20.747299999999999</v>
      </c>
      <c r="Z19" s="28">
        <v>19.959499999999998</v>
      </c>
      <c r="AA19" s="28">
        <v>19.902699999999999</v>
      </c>
      <c r="AB19" s="28">
        <v>19.965199999999999</v>
      </c>
      <c r="AC19" s="28">
        <v>19.393999999999998</v>
      </c>
      <c r="AD19" s="28">
        <v>19.673200000000001</v>
      </c>
      <c r="AE19" s="22">
        <v>13</v>
      </c>
      <c r="AH19" s="22">
        <v>13</v>
      </c>
      <c r="AI19" s="28">
        <v>20.113</v>
      </c>
      <c r="AJ19" s="28">
        <v>19.953499999999998</v>
      </c>
      <c r="AK19" s="28">
        <v>20.7133</v>
      </c>
      <c r="AL19" s="28">
        <v>20.163</v>
      </c>
      <c r="AM19" s="28">
        <v>19.884799999999998</v>
      </c>
      <c r="AN19" s="28">
        <v>19.700199999999999</v>
      </c>
      <c r="AO19" s="28">
        <v>19.88</v>
      </c>
      <c r="AP19" s="28">
        <v>19.952999999999999</v>
      </c>
      <c r="AQ19" s="28">
        <v>19.931799999999999</v>
      </c>
      <c r="AR19" s="28">
        <v>20.8017</v>
      </c>
      <c r="AS19" s="28">
        <v>20.465199999999999</v>
      </c>
      <c r="AT19" s="28">
        <v>21.032800000000002</v>
      </c>
      <c r="AU19" s="22">
        <v>13</v>
      </c>
      <c r="AV19" s="8"/>
      <c r="AW19" s="8"/>
      <c r="AX19" s="22">
        <v>13</v>
      </c>
      <c r="AY19" s="28">
        <v>18.845300000000002</v>
      </c>
      <c r="AZ19" s="28">
        <v>18.673999999999999</v>
      </c>
      <c r="BA19" s="28">
        <v>21.213000000000001</v>
      </c>
      <c r="BB19" s="28">
        <v>24.038799999999998</v>
      </c>
      <c r="BC19" s="28">
        <v>23.869299999999999</v>
      </c>
      <c r="BD19" s="28">
        <v>22.4252</v>
      </c>
      <c r="BE19" s="28">
        <v>22.694500000000001</v>
      </c>
      <c r="BF19" s="28">
        <v>22.349</v>
      </c>
      <c r="BG19" s="28">
        <v>21.2773</v>
      </c>
      <c r="BH19" s="28">
        <v>21.182200000000002</v>
      </c>
      <c r="BI19" s="28">
        <v>20.577200000000001</v>
      </c>
      <c r="BJ19" s="28">
        <v>19.9572</v>
      </c>
      <c r="BK19" s="22">
        <v>13</v>
      </c>
      <c r="BN19" s="22">
        <v>13</v>
      </c>
      <c r="BO19" s="28">
        <v>19.171399999999998</v>
      </c>
      <c r="BP19" s="28">
        <v>19.252400000000002</v>
      </c>
      <c r="BQ19" s="28">
        <v>19.424299999999999</v>
      </c>
      <c r="BR19" s="28">
        <v>18.8432</v>
      </c>
      <c r="BS19" s="28">
        <v>19.2623</v>
      </c>
      <c r="BT19" s="28">
        <v>19.122199999999999</v>
      </c>
      <c r="BU19" s="28">
        <v>19.122699999999998</v>
      </c>
      <c r="BV19" s="28">
        <v>19.4283</v>
      </c>
      <c r="BW19" s="28">
        <v>19.547799999999999</v>
      </c>
      <c r="BX19" s="28">
        <v>19.476400000000002</v>
      </c>
      <c r="BY19" s="28">
        <v>19.109000000000002</v>
      </c>
      <c r="BZ19" s="28">
        <v>19.2362</v>
      </c>
      <c r="CA19" s="22">
        <v>13</v>
      </c>
      <c r="CD19" s="22">
        <v>13</v>
      </c>
      <c r="CE19" s="28">
        <v>19.343299999999999</v>
      </c>
      <c r="CF19" s="28">
        <v>18.862300000000001</v>
      </c>
      <c r="CG19" s="29">
        <v>18.581199999999999</v>
      </c>
      <c r="CH19" s="28">
        <v>18.201799999999999</v>
      </c>
      <c r="CI19" s="28">
        <v>19.2989</v>
      </c>
      <c r="CJ19" s="28">
        <v>20.472200000000001</v>
      </c>
      <c r="CK19" s="28">
        <v>18.963200000000001</v>
      </c>
      <c r="CL19" s="28">
        <v>18.6511</v>
      </c>
      <c r="CM19" s="28">
        <v>19.268000000000001</v>
      </c>
      <c r="CN19" s="28">
        <v>19.021699999999999</v>
      </c>
      <c r="CO19" s="28">
        <v>20.3614</v>
      </c>
      <c r="CP19" s="28">
        <v>20.362100000000002</v>
      </c>
      <c r="CQ19" s="22">
        <v>13</v>
      </c>
      <c r="CT19" s="22">
        <v>13</v>
      </c>
      <c r="CU19" s="28">
        <v>21.907599999999999</v>
      </c>
      <c r="CV19" s="28">
        <v>20.4163</v>
      </c>
      <c r="CW19" s="28">
        <v>19.7974</v>
      </c>
      <c r="CX19" s="28">
        <v>18.764600000000002</v>
      </c>
      <c r="CY19" s="28">
        <v>18.9039</v>
      </c>
      <c r="CZ19" s="28">
        <v>18.193899999999999</v>
      </c>
      <c r="DA19" s="28">
        <v>17.9482</v>
      </c>
      <c r="DB19" s="28">
        <v>17.907299999999999</v>
      </c>
      <c r="DC19" s="28">
        <v>17.644300000000001</v>
      </c>
      <c r="DD19" s="28">
        <v>18.718</v>
      </c>
      <c r="DE19" s="28">
        <v>19.09</v>
      </c>
      <c r="DF19" s="28">
        <v>18.944500000000001</v>
      </c>
      <c r="DG19" s="22">
        <v>13</v>
      </c>
      <c r="DJ19" s="22">
        <v>13</v>
      </c>
      <c r="DK19" s="28">
        <v>17.930399999999999</v>
      </c>
      <c r="DL19" s="28">
        <v>19.1754</v>
      </c>
      <c r="DM19" s="28">
        <v>17.860099999999999</v>
      </c>
      <c r="DN19" s="28">
        <v>17.645199999999999</v>
      </c>
      <c r="DO19" s="28">
        <v>17.954899999999999</v>
      </c>
      <c r="DP19" s="28">
        <v>18.2742</v>
      </c>
      <c r="DQ19" s="28">
        <v>18.459700000000002</v>
      </c>
      <c r="DR19" s="28">
        <v>18.267800000000001</v>
      </c>
      <c r="DS19" s="28">
        <v>18.845099999999999</v>
      </c>
      <c r="DT19" s="28">
        <v>18.953099999999999</v>
      </c>
      <c r="DU19" s="28">
        <v>20.481200000000001</v>
      </c>
      <c r="DV19" s="28">
        <v>20.4162</v>
      </c>
      <c r="DW19" s="22">
        <v>13</v>
      </c>
      <c r="DZ19" s="22">
        <v>13</v>
      </c>
      <c r="EA19" s="28">
        <v>14.580399999999999</v>
      </c>
      <c r="EB19" s="28">
        <v>15.1099</v>
      </c>
      <c r="EC19" s="28">
        <v>15.445499999999999</v>
      </c>
      <c r="ED19" s="28">
        <v>15.055400000000001</v>
      </c>
      <c r="EE19" s="28">
        <v>15.2624</v>
      </c>
      <c r="EF19" s="28">
        <v>15.4779</v>
      </c>
      <c r="EG19" s="28">
        <v>15.785600000000001</v>
      </c>
      <c r="EH19" s="28">
        <v>16.324100000000001</v>
      </c>
      <c r="EI19" s="28">
        <v>16.7773</v>
      </c>
      <c r="EJ19" s="28">
        <v>16.417999999999999</v>
      </c>
      <c r="EK19" s="28">
        <v>16.717300000000002</v>
      </c>
      <c r="EL19" s="28">
        <v>17.074999999999999</v>
      </c>
      <c r="EM19" s="22">
        <v>13</v>
      </c>
      <c r="EP19" s="22">
        <v>13</v>
      </c>
      <c r="EQ19" s="28">
        <v>13.1403</v>
      </c>
      <c r="ER19" s="28">
        <v>13.291600000000001</v>
      </c>
      <c r="ES19" s="28">
        <v>13.243</v>
      </c>
      <c r="ET19" s="28">
        <v>13.045299999999999</v>
      </c>
      <c r="EU19" s="28">
        <v>12.984299999999999</v>
      </c>
      <c r="EV19" s="28">
        <v>13.0306</v>
      </c>
      <c r="EW19" s="28">
        <v>13.0015</v>
      </c>
      <c r="EX19" s="28">
        <v>13.1998</v>
      </c>
      <c r="EY19" s="28">
        <v>13.214399999999999</v>
      </c>
      <c r="EZ19" s="28">
        <v>13.3789</v>
      </c>
      <c r="FA19" s="28">
        <v>13.587400000000001</v>
      </c>
      <c r="FB19" s="28">
        <v>14.5181</v>
      </c>
      <c r="FC19" s="22">
        <v>13</v>
      </c>
      <c r="FF19" s="22">
        <v>13</v>
      </c>
      <c r="FG19" s="28">
        <v>12.6555</v>
      </c>
      <c r="FH19" s="28">
        <v>12.7706</v>
      </c>
      <c r="FI19" s="28">
        <v>12.530799999999999</v>
      </c>
      <c r="FJ19" s="28">
        <v>12.069100000000001</v>
      </c>
      <c r="FK19" s="28">
        <v>11.980700000000001</v>
      </c>
      <c r="FL19" s="28">
        <v>12.884600000000001</v>
      </c>
      <c r="FM19" s="28">
        <v>12.8599</v>
      </c>
      <c r="FN19" s="28">
        <v>12.588900000000001</v>
      </c>
      <c r="FO19" s="28">
        <v>13.0938</v>
      </c>
      <c r="FP19" s="28">
        <v>13.0913</v>
      </c>
      <c r="FQ19" s="28">
        <v>13.231400000000001</v>
      </c>
      <c r="FR19" s="28">
        <v>12.8574</v>
      </c>
      <c r="FS19" s="22">
        <v>13</v>
      </c>
      <c r="FV19" s="22">
        <v>13</v>
      </c>
      <c r="FW19" s="28">
        <v>13.6592</v>
      </c>
      <c r="FX19" s="28">
        <v>12.72</v>
      </c>
      <c r="FY19" s="28">
        <v>12.629899999999999</v>
      </c>
      <c r="FZ19" s="28">
        <v>13.132400000000001</v>
      </c>
      <c r="GA19" s="28">
        <v>13.446999999999999</v>
      </c>
      <c r="GB19" s="28">
        <v>13.9625</v>
      </c>
      <c r="GC19" s="28">
        <v>13.3241</v>
      </c>
      <c r="GD19" s="28">
        <v>13.1188</v>
      </c>
      <c r="GE19" s="28">
        <v>12.9992</v>
      </c>
      <c r="GF19" s="28">
        <v>12.879200000000001</v>
      </c>
      <c r="GG19" s="28">
        <v>13.178900000000001</v>
      </c>
      <c r="GH19" s="28">
        <v>12.7964</v>
      </c>
      <c r="GI19" s="22">
        <v>13</v>
      </c>
      <c r="GL19" s="22">
        <v>13</v>
      </c>
      <c r="GM19" s="28">
        <v>12.1907</v>
      </c>
      <c r="GN19" s="28">
        <v>12.0937</v>
      </c>
      <c r="GO19" s="28">
        <v>11.9755</v>
      </c>
      <c r="GP19" s="28">
        <v>11.7447</v>
      </c>
      <c r="GQ19" s="28">
        <v>11.6075</v>
      </c>
      <c r="GR19" s="28">
        <v>11.7965</v>
      </c>
      <c r="GS19" s="28">
        <v>11.727399999999999</v>
      </c>
      <c r="GT19" s="28">
        <v>12.389900000000001</v>
      </c>
      <c r="GU19" s="28">
        <v>12.632400000000001</v>
      </c>
      <c r="GV19" s="28">
        <v>13.326599999999999</v>
      </c>
      <c r="GW19" s="28">
        <v>13.562200000000001</v>
      </c>
      <c r="GX19" s="28">
        <v>13.6569</v>
      </c>
      <c r="GY19" s="22">
        <v>13</v>
      </c>
      <c r="HB19" s="22">
        <v>13</v>
      </c>
      <c r="HC19" s="28">
        <v>12.6692</v>
      </c>
      <c r="HD19" s="28">
        <v>13.0609</v>
      </c>
      <c r="HE19" s="28">
        <v>12.619199999999999</v>
      </c>
      <c r="HF19" s="28">
        <v>12.1997</v>
      </c>
      <c r="HG19" s="28">
        <v>12.5025</v>
      </c>
      <c r="HH19" s="28">
        <v>12.7441</v>
      </c>
      <c r="HI19" s="28">
        <v>12.7859</v>
      </c>
      <c r="HJ19" s="28">
        <v>12.7432</v>
      </c>
      <c r="HK19" s="28">
        <v>12.985300000000001</v>
      </c>
      <c r="HL19" s="28">
        <v>12.4224</v>
      </c>
      <c r="HM19" s="28">
        <v>12.259600000000001</v>
      </c>
      <c r="HN19" s="28">
        <v>12.458600000000001</v>
      </c>
      <c r="HO19" s="22">
        <v>13</v>
      </c>
      <c r="HR19" s="22">
        <v>13</v>
      </c>
      <c r="HS19" s="28">
        <v>13.700799999999999</v>
      </c>
      <c r="HT19" s="28">
        <v>14.5313</v>
      </c>
      <c r="HU19" s="28">
        <v>15.1145</v>
      </c>
      <c r="HV19" s="28">
        <v>13.571199999999999</v>
      </c>
      <c r="HW19" s="28">
        <v>13.1008</v>
      </c>
      <c r="HX19" s="28">
        <v>13.4581</v>
      </c>
      <c r="HY19" s="28">
        <v>13.575799999999999</v>
      </c>
      <c r="HZ19" s="28">
        <v>12.9937</v>
      </c>
      <c r="IA19" s="28">
        <v>13.4582</v>
      </c>
      <c r="IB19" s="28">
        <v>13.255000000000001</v>
      </c>
      <c r="IC19" s="28">
        <v>13.1622</v>
      </c>
      <c r="ID19" s="28">
        <v>12.9739</v>
      </c>
      <c r="IE19" s="22">
        <v>13</v>
      </c>
      <c r="IH19" s="22">
        <v>13</v>
      </c>
      <c r="II19" s="28">
        <v>10.9572</v>
      </c>
      <c r="IJ19" s="28">
        <v>10.7736</v>
      </c>
      <c r="IK19" s="28">
        <v>10.7965</v>
      </c>
      <c r="IL19" s="28">
        <v>10.5503</v>
      </c>
      <c r="IM19" s="28">
        <v>10.566599999999999</v>
      </c>
      <c r="IN19" s="28">
        <v>10.4268</v>
      </c>
      <c r="IO19" s="28">
        <v>10.307600000000001</v>
      </c>
      <c r="IP19" s="28">
        <v>10.1295</v>
      </c>
      <c r="IQ19" s="28">
        <v>10.6745</v>
      </c>
      <c r="IR19" s="28">
        <v>12.443300000000001</v>
      </c>
      <c r="IS19" s="28">
        <v>12.9892</v>
      </c>
      <c r="IT19" s="28">
        <v>13.472200000000001</v>
      </c>
      <c r="IU19" s="22">
        <v>13</v>
      </c>
      <c r="IX19" s="22">
        <v>13</v>
      </c>
      <c r="IY19" s="28">
        <v>10.965</v>
      </c>
      <c r="IZ19" s="28">
        <v>10.960100000000001</v>
      </c>
      <c r="JA19" s="28">
        <v>11.1205</v>
      </c>
      <c r="JB19" s="28">
        <v>10.984</v>
      </c>
      <c r="JC19" s="28">
        <v>10.8178</v>
      </c>
      <c r="JD19" s="28">
        <v>10.9307</v>
      </c>
      <c r="JE19" s="28">
        <v>10.8248</v>
      </c>
      <c r="JF19" s="28">
        <v>10.9832</v>
      </c>
      <c r="JG19" s="28">
        <v>11.105700000000001</v>
      </c>
      <c r="JH19" s="28">
        <v>10.8101</v>
      </c>
      <c r="JI19" s="28">
        <v>10.880800000000001</v>
      </c>
      <c r="JJ19" s="28">
        <v>10.8185</v>
      </c>
      <c r="JK19" s="22">
        <v>13</v>
      </c>
      <c r="JN19" s="22">
        <v>13</v>
      </c>
      <c r="JO19" s="28">
        <v>10.6097</v>
      </c>
      <c r="JP19" s="28">
        <v>10.4803</v>
      </c>
      <c r="JQ19" s="28">
        <v>10.7094</v>
      </c>
      <c r="JR19" s="28">
        <v>11.0708</v>
      </c>
      <c r="JS19" s="28">
        <v>10.838100000000001</v>
      </c>
      <c r="JT19" s="28">
        <v>11.377700000000001</v>
      </c>
      <c r="JU19" s="28">
        <v>11.009499999999999</v>
      </c>
      <c r="JV19" s="28">
        <v>10.880800000000001</v>
      </c>
      <c r="JW19" s="28">
        <v>11.070499999999999</v>
      </c>
      <c r="JX19" s="28">
        <v>11.024800000000001</v>
      </c>
      <c r="JY19" s="28">
        <v>10.863200000000001</v>
      </c>
      <c r="JZ19" s="28">
        <v>10.8606</v>
      </c>
      <c r="KA19" s="22">
        <v>13</v>
      </c>
      <c r="KD19" s="22">
        <v>13</v>
      </c>
      <c r="KE19" s="28">
        <v>11.2209</v>
      </c>
      <c r="KF19" s="28">
        <v>11.1533</v>
      </c>
      <c r="KG19" s="28">
        <v>11.032400000000001</v>
      </c>
      <c r="KH19" s="28">
        <v>11.087899999999999</v>
      </c>
      <c r="KI19" s="28">
        <v>11.032299999999999</v>
      </c>
      <c r="KJ19" s="28">
        <v>10.886799999999999</v>
      </c>
      <c r="KK19" s="28">
        <v>10.704499999999999</v>
      </c>
      <c r="KL19" s="28">
        <v>10.5815</v>
      </c>
      <c r="KM19" s="28">
        <v>10.708</v>
      </c>
      <c r="KN19" s="28">
        <v>10.800700000000001</v>
      </c>
      <c r="KO19" s="28">
        <v>10.714</v>
      </c>
      <c r="KP19" s="28">
        <v>10.502000000000001</v>
      </c>
      <c r="KQ19" s="22">
        <v>13</v>
      </c>
      <c r="KT19" s="22">
        <v>13</v>
      </c>
      <c r="KU19" s="28">
        <v>10.8376</v>
      </c>
      <c r="KV19" s="28">
        <v>10.986599999999999</v>
      </c>
      <c r="KW19" s="28">
        <v>10.9633</v>
      </c>
      <c r="KX19" s="28">
        <v>11.2233</v>
      </c>
      <c r="KY19" s="28">
        <v>11.6325</v>
      </c>
      <c r="KZ19" s="28">
        <v>11.366</v>
      </c>
      <c r="LA19" s="28">
        <v>11.5152</v>
      </c>
      <c r="LB19" s="28">
        <v>11.4436</v>
      </c>
      <c r="LC19" s="28">
        <v>11.5717</v>
      </c>
      <c r="LD19" s="28">
        <v>11.244899999999999</v>
      </c>
      <c r="LE19" s="28">
        <v>11.399699999999999</v>
      </c>
      <c r="LF19" s="28">
        <v>11.291</v>
      </c>
      <c r="LG19" s="22">
        <v>13</v>
      </c>
      <c r="LJ19" s="22">
        <v>13</v>
      </c>
      <c r="LK19" s="28">
        <v>10.411199999999999</v>
      </c>
      <c r="LL19" s="28">
        <v>10.94</v>
      </c>
      <c r="LM19" s="28">
        <v>11.0052</v>
      </c>
      <c r="LN19" s="28">
        <v>10.7651</v>
      </c>
      <c r="LO19" s="28">
        <v>10.1068</v>
      </c>
      <c r="LP19" s="28">
        <v>10.6119</v>
      </c>
      <c r="LQ19" s="28">
        <v>10.4482</v>
      </c>
      <c r="LR19" s="28">
        <v>10.690899999999999</v>
      </c>
      <c r="LS19" s="28">
        <v>10.973699999999999</v>
      </c>
      <c r="LT19" s="28">
        <v>11.2356</v>
      </c>
      <c r="LU19" s="28">
        <v>10.9582</v>
      </c>
      <c r="LV19" s="28">
        <v>11.214499999999999</v>
      </c>
      <c r="LW19" s="22">
        <v>13</v>
      </c>
      <c r="LZ19" s="22">
        <v>13</v>
      </c>
      <c r="MA19" s="28">
        <v>9.2444000000000006</v>
      </c>
      <c r="MB19" s="28">
        <v>9.0786999999999995</v>
      </c>
      <c r="MC19" s="28">
        <v>9.0702999999999996</v>
      </c>
      <c r="MD19" s="28">
        <v>9.0770999999999997</v>
      </c>
      <c r="ME19" s="28">
        <v>9.4463000000000008</v>
      </c>
      <c r="MF19" s="28">
        <v>9.6607000000000003</v>
      </c>
      <c r="MG19" s="28">
        <v>9.7979000000000003</v>
      </c>
      <c r="MH19" s="28">
        <v>9.7639999999999993</v>
      </c>
      <c r="MI19" s="28">
        <v>9.9654000000000007</v>
      </c>
      <c r="MJ19" s="28">
        <v>10.2195</v>
      </c>
      <c r="MK19" s="28">
        <v>10.333399999999999</v>
      </c>
      <c r="ML19" s="28">
        <v>10.1744</v>
      </c>
      <c r="MM19" s="22">
        <v>13</v>
      </c>
      <c r="MP19" s="22">
        <v>13</v>
      </c>
      <c r="MQ19" s="28">
        <v>9.8547999999999991</v>
      </c>
      <c r="MR19" s="28">
        <v>9.7238000000000007</v>
      </c>
      <c r="MS19" s="28">
        <v>9.6702999999999992</v>
      </c>
      <c r="MT19" s="28">
        <v>9.3093000000000004</v>
      </c>
      <c r="MU19" s="28">
        <v>9.1966999999999999</v>
      </c>
      <c r="MV19" s="28">
        <v>9.0289999999999999</v>
      </c>
      <c r="MW19" s="28">
        <v>9.2952999999999992</v>
      </c>
      <c r="MX19" s="28">
        <v>9.0897000000000006</v>
      </c>
      <c r="MY19" s="28">
        <v>9.5474999999999994</v>
      </c>
      <c r="MZ19" s="28">
        <v>9.3397000000000006</v>
      </c>
      <c r="NA19" s="28">
        <v>9.2317999999999998</v>
      </c>
      <c r="NB19" s="28">
        <v>9.1865000000000006</v>
      </c>
      <c r="NC19" s="22">
        <v>13</v>
      </c>
      <c r="NF19" s="22">
        <v>13</v>
      </c>
      <c r="NG19" s="28">
        <v>9.4779999999999998</v>
      </c>
      <c r="NH19" s="28">
        <v>9.4347999999999992</v>
      </c>
      <c r="NI19" s="28">
        <v>9.2836999999999996</v>
      </c>
      <c r="NJ19" s="28">
        <v>9.3917999999999999</v>
      </c>
      <c r="NK19" s="28">
        <v>9.5768000000000004</v>
      </c>
      <c r="NL19" s="28">
        <v>9.9262999999999995</v>
      </c>
      <c r="NM19" s="28">
        <v>9.4280000000000008</v>
      </c>
      <c r="NN19" s="28">
        <v>9.3198000000000008</v>
      </c>
      <c r="NO19" s="28">
        <v>9.2813999999999997</v>
      </c>
      <c r="NP19" s="28">
        <v>9.4789999999999992</v>
      </c>
      <c r="NQ19" s="28">
        <v>9.6532999999999998</v>
      </c>
      <c r="NR19" s="28">
        <v>9.3984000000000005</v>
      </c>
      <c r="NS19" s="22">
        <v>13</v>
      </c>
      <c r="NV19" s="22">
        <v>13</v>
      </c>
      <c r="NW19" s="28">
        <v>9.9393999999999991</v>
      </c>
      <c r="NX19" s="28">
        <v>9.9793000000000003</v>
      </c>
      <c r="NY19" s="28">
        <v>9.7479999999999993</v>
      </c>
      <c r="NZ19" s="28">
        <v>9.5728000000000009</v>
      </c>
      <c r="OA19" s="28">
        <v>9.2532999999999994</v>
      </c>
      <c r="OB19" s="28">
        <v>9.5984999999999996</v>
      </c>
      <c r="OC19" s="28">
        <v>9.3522999999999996</v>
      </c>
      <c r="OD19" s="28">
        <v>9.4149999999999991</v>
      </c>
      <c r="OE19" s="28">
        <v>9.3470999999999993</v>
      </c>
      <c r="OF19" s="28">
        <v>9.4506999999999994</v>
      </c>
      <c r="OG19" s="28">
        <v>9.3856999999999999</v>
      </c>
      <c r="OH19" s="28">
        <v>9.4288000000000007</v>
      </c>
      <c r="OI19" s="22">
        <v>13</v>
      </c>
      <c r="OL19" s="22">
        <v>13</v>
      </c>
      <c r="OM19" s="28">
        <v>8.0856999999999992</v>
      </c>
      <c r="ON19" s="28">
        <v>8.4521999999999995</v>
      </c>
      <c r="OO19" s="28">
        <v>8.6690000000000005</v>
      </c>
      <c r="OP19" s="28">
        <v>8.5274000000000001</v>
      </c>
      <c r="OQ19" s="28">
        <v>8.4672999999999998</v>
      </c>
      <c r="OR19" s="28">
        <v>8.9609000000000005</v>
      </c>
      <c r="OS19" s="28">
        <v>8.9431999999999992</v>
      </c>
      <c r="OT19" s="28">
        <v>9.2015999999999991</v>
      </c>
      <c r="OU19" s="28">
        <v>10.532500000000001</v>
      </c>
      <c r="OV19" s="28">
        <v>10.2157</v>
      </c>
      <c r="OW19" s="28">
        <v>10.006</v>
      </c>
      <c r="OX19" s="28">
        <v>9.9499999999999993</v>
      </c>
      <c r="OY19" s="22">
        <v>13</v>
      </c>
      <c r="PB19" s="22">
        <v>13</v>
      </c>
      <c r="PC19" s="28">
        <v>7.8208000000000002</v>
      </c>
      <c r="PD19" s="28">
        <v>7.7927</v>
      </c>
      <c r="PE19" s="28">
        <v>7.9779999999999998</v>
      </c>
      <c r="PF19" s="28">
        <v>7.9153000000000002</v>
      </c>
      <c r="PG19" s="28">
        <v>7.9028</v>
      </c>
      <c r="PH19" s="28">
        <v>7.9752999999999998</v>
      </c>
      <c r="PI19" s="28">
        <v>7.8913000000000002</v>
      </c>
      <c r="PJ19" s="28">
        <v>7.8059000000000003</v>
      </c>
      <c r="PK19" s="28">
        <v>7.7847</v>
      </c>
      <c r="PL19" s="28">
        <v>7.77</v>
      </c>
      <c r="PM19" s="28">
        <v>8.31</v>
      </c>
      <c r="PN19" s="28">
        <v>8.1394000000000002</v>
      </c>
      <c r="PO19" s="22">
        <v>13</v>
      </c>
      <c r="PR19" s="22">
        <v>13</v>
      </c>
      <c r="PS19" s="28">
        <v>7.5213000000000001</v>
      </c>
      <c r="PT19" s="28">
        <v>7.4928999999999997</v>
      </c>
      <c r="PU19" s="28">
        <v>7.6237000000000004</v>
      </c>
      <c r="PV19" s="28">
        <v>7.4989999999999997</v>
      </c>
      <c r="PW19" s="28">
        <v>7.4762000000000004</v>
      </c>
      <c r="PX19" s="28">
        <v>7.6307999999999998</v>
      </c>
      <c r="PY19" s="28">
        <v>7.6429</v>
      </c>
      <c r="PZ19" s="28">
        <v>7.5171999999999999</v>
      </c>
      <c r="QA19" s="28">
        <v>7.5561999999999996</v>
      </c>
      <c r="QB19" s="28">
        <v>7.6109</v>
      </c>
      <c r="QC19" s="28">
        <v>7.9016999999999999</v>
      </c>
      <c r="QD19" s="28">
        <v>7.8723000000000001</v>
      </c>
      <c r="QE19" s="22">
        <v>13</v>
      </c>
      <c r="QH19" s="22">
        <v>13</v>
      </c>
      <c r="QI19" s="28">
        <v>5.7575000000000003</v>
      </c>
      <c r="QJ19" s="28">
        <v>5.59</v>
      </c>
      <c r="QK19" s="28">
        <v>7.5875000000000004</v>
      </c>
      <c r="QL19" s="28">
        <v>6.3033000000000001</v>
      </c>
      <c r="QM19" s="28">
        <v>5.9082999999999997</v>
      </c>
      <c r="QN19" s="28">
        <v>6.2824999999999998</v>
      </c>
      <c r="QO19" s="28">
        <v>6.1208999999999998</v>
      </c>
      <c r="QP19" s="28">
        <v>6.1452999999999998</v>
      </c>
      <c r="QQ19" s="28">
        <v>6.2885999999999997</v>
      </c>
      <c r="QR19" s="28">
        <v>6.7466999999999997</v>
      </c>
      <c r="QS19" s="28">
        <v>8.1382999999999992</v>
      </c>
      <c r="QT19" s="28">
        <v>7.79</v>
      </c>
      <c r="QU19" s="22">
        <v>13</v>
      </c>
      <c r="QX19" s="22">
        <v>13</v>
      </c>
      <c r="QY19" s="28">
        <v>3.1097999999999999</v>
      </c>
      <c r="QZ19" s="28">
        <v>3.105</v>
      </c>
      <c r="RA19" s="28">
        <v>3.2888000000000002</v>
      </c>
      <c r="RB19" s="28">
        <v>3.3654000000000002</v>
      </c>
      <c r="RC19" s="28">
        <v>3.3172999999999999</v>
      </c>
      <c r="RD19" s="28">
        <v>3.3588</v>
      </c>
      <c r="RE19" s="28">
        <v>3.4018000000000002</v>
      </c>
      <c r="RF19" s="28">
        <v>3.3980000000000001</v>
      </c>
      <c r="RG19" s="28">
        <v>3.4123000000000001</v>
      </c>
      <c r="RH19" s="28">
        <v>3.4199000000000002</v>
      </c>
      <c r="RI19" s="28">
        <v>3.4424000000000001</v>
      </c>
      <c r="RJ19" s="28">
        <v>3.4510999999999998</v>
      </c>
      <c r="RK19" s="22">
        <v>13</v>
      </c>
      <c r="RN19" s="22">
        <v>13</v>
      </c>
      <c r="RO19" s="28">
        <v>3.1168999999999998</v>
      </c>
      <c r="RP19" s="28">
        <v>3.1009000000000002</v>
      </c>
      <c r="RQ19" s="28">
        <v>3.1196999999999999</v>
      </c>
      <c r="RR19" s="28">
        <v>3.0985</v>
      </c>
      <c r="RS19" s="28">
        <v>3.1355</v>
      </c>
      <c r="RT19" s="28">
        <v>3.1282000000000001</v>
      </c>
      <c r="RU19" s="28">
        <v>3.1246</v>
      </c>
      <c r="RV19" s="28">
        <v>3.11</v>
      </c>
      <c r="RW19" s="28">
        <v>3.1126999999999998</v>
      </c>
      <c r="RX19" s="28">
        <v>3.1158000000000001</v>
      </c>
      <c r="RY19" s="28">
        <v>3.2162999999999999</v>
      </c>
      <c r="RZ19" s="28">
        <v>3.1074999999999999</v>
      </c>
      <c r="SA19" s="22">
        <v>13</v>
      </c>
      <c r="SD19" s="22">
        <v>13</v>
      </c>
      <c r="SE19" s="28">
        <v>3.0661999999999998</v>
      </c>
      <c r="SF19" s="28">
        <v>3.0644</v>
      </c>
      <c r="SG19" s="28">
        <v>3.0608</v>
      </c>
      <c r="SH19" s="28">
        <v>3.0695000000000001</v>
      </c>
      <c r="SI19" s="28">
        <v>3.0968</v>
      </c>
      <c r="SJ19" s="28">
        <v>3.1191</v>
      </c>
      <c r="SK19" s="28">
        <v>3.1099000000000001</v>
      </c>
      <c r="SL19" s="28">
        <v>3.0880999999999998</v>
      </c>
      <c r="SM19" s="28">
        <v>3.0768</v>
      </c>
      <c r="SN19" s="28">
        <v>3.1151</v>
      </c>
      <c r="SO19" s="28">
        <v>3.1147999999999998</v>
      </c>
      <c r="SP19" s="28">
        <v>3.1116999999999999</v>
      </c>
      <c r="SQ19" s="22">
        <v>13</v>
      </c>
      <c r="ST19" s="22">
        <v>13</v>
      </c>
      <c r="SU19" s="28">
        <v>2.9506000000000001</v>
      </c>
      <c r="SV19" s="28">
        <v>2.9634</v>
      </c>
      <c r="SW19" s="28">
        <v>2.9746000000000001</v>
      </c>
      <c r="SX19" s="28">
        <v>2.9870000000000001</v>
      </c>
      <c r="SY19" s="28">
        <v>2.9982000000000002</v>
      </c>
      <c r="SZ19" s="28">
        <v>3.0114000000000001</v>
      </c>
      <c r="TA19" s="28">
        <v>3.0234000000000001</v>
      </c>
      <c r="TB19" s="28">
        <v>3.0350000000000001</v>
      </c>
      <c r="TC19" s="28">
        <v>3.0482</v>
      </c>
      <c r="TD19" s="28">
        <v>3.0613999999999999</v>
      </c>
      <c r="TE19" s="28">
        <v>3.07403</v>
      </c>
      <c r="TF19" s="28">
        <v>3.0629900000000001</v>
      </c>
      <c r="TG19" s="22">
        <v>13</v>
      </c>
      <c r="TJ19" s="22">
        <v>13</v>
      </c>
      <c r="TK19" s="28">
        <v>2.6549999999999998</v>
      </c>
      <c r="TL19" s="28">
        <v>2.6840000000000002</v>
      </c>
      <c r="TM19" s="28">
        <v>2.7120000000000002</v>
      </c>
      <c r="TN19" s="28">
        <v>2.7450000000000001</v>
      </c>
      <c r="TO19" s="28">
        <v>2.774</v>
      </c>
      <c r="TP19" s="28">
        <v>2.8033999999999999</v>
      </c>
      <c r="TQ19" s="28">
        <v>2.8273999999999999</v>
      </c>
      <c r="TR19" s="28">
        <v>2.8506</v>
      </c>
      <c r="TS19" s="28">
        <v>2.8769999999999998</v>
      </c>
      <c r="TT19" s="28">
        <v>2.9009999999999998</v>
      </c>
      <c r="TU19" s="28">
        <v>2.9241999999999999</v>
      </c>
      <c r="TV19" s="28">
        <v>2.9386000000000001</v>
      </c>
      <c r="TW19" s="22">
        <v>13</v>
      </c>
      <c r="TZ19" s="22">
        <v>13</v>
      </c>
      <c r="UA19" s="28">
        <v>2.29</v>
      </c>
      <c r="UB19" s="28">
        <v>2.319</v>
      </c>
      <c r="UC19" s="28">
        <v>2.347</v>
      </c>
      <c r="UD19" s="28">
        <v>2.38</v>
      </c>
      <c r="UE19" s="28">
        <v>2.41</v>
      </c>
      <c r="UF19" s="28">
        <v>2.4390000000000001</v>
      </c>
      <c r="UG19" s="28">
        <v>2.4710000000000001</v>
      </c>
      <c r="UH19" s="28">
        <v>2.5009999999999999</v>
      </c>
      <c r="UI19" s="28">
        <v>2.5329999999999999</v>
      </c>
      <c r="UJ19" s="28">
        <v>2.5630000000000002</v>
      </c>
      <c r="UK19" s="28">
        <v>2.5920000000000001</v>
      </c>
      <c r="UL19" s="28">
        <v>2.6240000000000001</v>
      </c>
      <c r="UM19" s="22">
        <v>13</v>
      </c>
    </row>
    <row r="20" spans="2:559" s="7" customFormat="1" ht="19.2">
      <c r="B20" s="22">
        <v>14</v>
      </c>
      <c r="C20" s="28">
        <v>18.8735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2">
        <v>14</v>
      </c>
      <c r="R20" s="22">
        <v>14</v>
      </c>
      <c r="S20" s="28">
        <v>20.366</v>
      </c>
      <c r="T20" s="28">
        <v>20.4148</v>
      </c>
      <c r="U20" s="28">
        <v>20.974299999999999</v>
      </c>
      <c r="V20" s="28">
        <v>19.840699999999998</v>
      </c>
      <c r="W20" s="28">
        <v>20.32</v>
      </c>
      <c r="X20" s="28">
        <v>19.9297</v>
      </c>
      <c r="Y20" s="28">
        <v>20.7882</v>
      </c>
      <c r="Z20" s="28">
        <v>19.959499999999998</v>
      </c>
      <c r="AA20" s="28">
        <v>19.7957</v>
      </c>
      <c r="AB20" s="28">
        <v>20.0352</v>
      </c>
      <c r="AC20" s="28">
        <v>19.393999999999998</v>
      </c>
      <c r="AD20" s="28">
        <v>19.819199999999999</v>
      </c>
      <c r="AE20" s="22">
        <v>14</v>
      </c>
      <c r="AH20" s="22">
        <v>14</v>
      </c>
      <c r="AI20" s="28">
        <v>19.9373</v>
      </c>
      <c r="AJ20" s="28">
        <v>19.953499999999998</v>
      </c>
      <c r="AK20" s="28">
        <v>20.7133</v>
      </c>
      <c r="AL20" s="28">
        <v>20.094999999999999</v>
      </c>
      <c r="AM20" s="28">
        <v>20.094000000000001</v>
      </c>
      <c r="AN20" s="28">
        <v>19.700199999999999</v>
      </c>
      <c r="AO20" s="28">
        <v>19.857700000000001</v>
      </c>
      <c r="AP20" s="28">
        <v>19.890699999999999</v>
      </c>
      <c r="AQ20" s="28">
        <v>19.871700000000001</v>
      </c>
      <c r="AR20" s="28">
        <v>20.776700000000002</v>
      </c>
      <c r="AS20" s="28">
        <v>20.465199999999999</v>
      </c>
      <c r="AT20" s="28">
        <v>20.892199999999999</v>
      </c>
      <c r="AU20" s="22">
        <v>14</v>
      </c>
      <c r="AV20" s="8"/>
      <c r="AW20" s="8"/>
      <c r="AX20" s="22">
        <v>14</v>
      </c>
      <c r="AY20" s="28">
        <v>18.773199999999999</v>
      </c>
      <c r="AZ20" s="28">
        <v>18.630800000000001</v>
      </c>
      <c r="BA20" s="28">
        <v>22.151800000000001</v>
      </c>
      <c r="BB20" s="28">
        <v>24.092500000000001</v>
      </c>
      <c r="BC20" s="28">
        <v>24.0487</v>
      </c>
      <c r="BD20" s="28">
        <v>22.4252</v>
      </c>
      <c r="BE20" s="28">
        <v>22.534199999999998</v>
      </c>
      <c r="BF20" s="28">
        <v>22.345700000000001</v>
      </c>
      <c r="BG20" s="28">
        <v>21.2773</v>
      </c>
      <c r="BH20" s="28">
        <v>21.218299999999999</v>
      </c>
      <c r="BI20" s="28">
        <v>20.5303</v>
      </c>
      <c r="BJ20" s="28">
        <v>19.9572</v>
      </c>
      <c r="BK20" s="22">
        <v>14</v>
      </c>
      <c r="BN20" s="22">
        <v>14</v>
      </c>
      <c r="BO20" s="28">
        <v>19.171399999999998</v>
      </c>
      <c r="BP20" s="28">
        <v>19.2592</v>
      </c>
      <c r="BQ20" s="28">
        <v>19.3049</v>
      </c>
      <c r="BR20" s="28">
        <v>18.8432</v>
      </c>
      <c r="BS20" s="28">
        <v>19.1374</v>
      </c>
      <c r="BT20" s="28">
        <v>19.138300000000001</v>
      </c>
      <c r="BU20" s="28">
        <v>19.122699999999998</v>
      </c>
      <c r="BV20" s="28">
        <v>19.580300000000001</v>
      </c>
      <c r="BW20" s="28">
        <v>19.426500000000001</v>
      </c>
      <c r="BX20" s="28">
        <v>19.476400000000002</v>
      </c>
      <c r="BY20" s="28">
        <v>19.2178</v>
      </c>
      <c r="BZ20" s="28">
        <v>19.1785</v>
      </c>
      <c r="CA20" s="22">
        <v>14</v>
      </c>
      <c r="CD20" s="22">
        <v>14</v>
      </c>
      <c r="CE20" s="28">
        <v>19.343299999999999</v>
      </c>
      <c r="CF20" s="28">
        <v>18.670300000000001</v>
      </c>
      <c r="CG20" s="29">
        <v>18.619900000000001</v>
      </c>
      <c r="CH20" s="28">
        <v>18.135300000000001</v>
      </c>
      <c r="CI20" s="28">
        <v>19.2989</v>
      </c>
      <c r="CJ20" s="28">
        <v>20.596</v>
      </c>
      <c r="CK20" s="28">
        <v>18.824100000000001</v>
      </c>
      <c r="CL20" s="28">
        <v>18.927299999999999</v>
      </c>
      <c r="CM20" s="28">
        <v>19.051100000000002</v>
      </c>
      <c r="CN20" s="28">
        <v>19.021699999999999</v>
      </c>
      <c r="CO20" s="28">
        <v>20.317900000000002</v>
      </c>
      <c r="CP20" s="28">
        <v>20.288900000000002</v>
      </c>
      <c r="CQ20" s="22">
        <v>14</v>
      </c>
      <c r="CT20" s="22">
        <v>14</v>
      </c>
      <c r="CU20" s="28">
        <v>21.720400000000001</v>
      </c>
      <c r="CV20" s="28">
        <v>20.3535</v>
      </c>
      <c r="CW20" s="28">
        <v>19.6279</v>
      </c>
      <c r="CX20" s="28">
        <v>18.764600000000002</v>
      </c>
      <c r="CY20" s="28">
        <v>18.9039</v>
      </c>
      <c r="CZ20" s="28">
        <v>18.180199999999999</v>
      </c>
      <c r="DA20" s="28">
        <v>17.770800000000001</v>
      </c>
      <c r="DB20" s="28">
        <v>17.907299999999999</v>
      </c>
      <c r="DC20" s="28">
        <v>17.780999999999999</v>
      </c>
      <c r="DD20" s="28">
        <v>18.763100000000001</v>
      </c>
      <c r="DE20" s="28">
        <v>19.052600000000002</v>
      </c>
      <c r="DF20" s="28">
        <v>18.974</v>
      </c>
      <c r="DG20" s="22">
        <v>14</v>
      </c>
      <c r="DJ20" s="22">
        <v>14</v>
      </c>
      <c r="DK20" s="28">
        <v>17.911899999999999</v>
      </c>
      <c r="DL20" s="28">
        <v>19.1754</v>
      </c>
      <c r="DM20" s="28">
        <v>17.860099999999999</v>
      </c>
      <c r="DN20" s="28">
        <v>17.571899999999999</v>
      </c>
      <c r="DO20" s="28">
        <v>17.991499999999998</v>
      </c>
      <c r="DP20" s="28">
        <v>18.5046</v>
      </c>
      <c r="DQ20" s="28">
        <v>18.300599999999999</v>
      </c>
      <c r="DR20" s="28">
        <v>18.267800000000001</v>
      </c>
      <c r="DS20" s="28">
        <v>19.064599999999999</v>
      </c>
      <c r="DT20" s="28">
        <v>18.962199999999999</v>
      </c>
      <c r="DU20" s="28">
        <v>20.481200000000001</v>
      </c>
      <c r="DV20" s="28">
        <v>20.330500000000001</v>
      </c>
      <c r="DW20" s="22">
        <v>14</v>
      </c>
      <c r="DZ20" s="22">
        <v>14</v>
      </c>
      <c r="EA20" s="28">
        <v>14.639799999999999</v>
      </c>
      <c r="EB20" s="28">
        <v>14.916700000000001</v>
      </c>
      <c r="EC20" s="28">
        <v>15.4003</v>
      </c>
      <c r="ED20" s="28">
        <v>15.1706</v>
      </c>
      <c r="EE20" s="28">
        <v>15.321099999999999</v>
      </c>
      <c r="EF20" s="28">
        <v>15.4779</v>
      </c>
      <c r="EG20" s="28">
        <v>15.732900000000001</v>
      </c>
      <c r="EH20" s="28">
        <v>16.297599999999999</v>
      </c>
      <c r="EI20" s="28">
        <v>16.810300000000002</v>
      </c>
      <c r="EJ20" s="28">
        <v>16.421900000000001</v>
      </c>
      <c r="EK20" s="28">
        <v>16.740600000000001</v>
      </c>
      <c r="EL20" s="28">
        <v>17.074999999999999</v>
      </c>
      <c r="EM20" s="22">
        <v>14</v>
      </c>
      <c r="EP20" s="22">
        <v>14</v>
      </c>
      <c r="EQ20" s="28">
        <v>13.006500000000001</v>
      </c>
      <c r="ER20" s="28">
        <v>13.3056</v>
      </c>
      <c r="ES20" s="28">
        <v>13.2659</v>
      </c>
      <c r="ET20" s="28">
        <v>13.045299999999999</v>
      </c>
      <c r="EU20" s="28">
        <v>12.9534</v>
      </c>
      <c r="EV20" s="28">
        <v>12.9815</v>
      </c>
      <c r="EW20" s="28">
        <v>13.0015</v>
      </c>
      <c r="EX20" s="28">
        <v>13.159000000000001</v>
      </c>
      <c r="EY20" s="28">
        <v>13.214399999999999</v>
      </c>
      <c r="EZ20" s="28">
        <v>13.4331</v>
      </c>
      <c r="FA20" s="28">
        <v>13.561299999999999</v>
      </c>
      <c r="FB20" s="28">
        <v>14.5181</v>
      </c>
      <c r="FC20" s="22">
        <v>14</v>
      </c>
      <c r="FF20" s="22">
        <v>14</v>
      </c>
      <c r="FG20" s="28">
        <v>12.6555</v>
      </c>
      <c r="FH20" s="28">
        <v>12.7364</v>
      </c>
      <c r="FI20" s="28">
        <v>12.4641</v>
      </c>
      <c r="FJ20" s="28">
        <v>12.069100000000001</v>
      </c>
      <c r="FK20" s="28">
        <v>12.109400000000001</v>
      </c>
      <c r="FL20" s="28">
        <v>12.844200000000001</v>
      </c>
      <c r="FM20" s="28">
        <v>12.8599</v>
      </c>
      <c r="FN20" s="28">
        <v>12.566599999999999</v>
      </c>
      <c r="FO20" s="28">
        <v>13.0854</v>
      </c>
      <c r="FP20" s="28">
        <v>13.0913</v>
      </c>
      <c r="FQ20" s="28">
        <v>13.187900000000001</v>
      </c>
      <c r="FR20" s="28">
        <v>12.934200000000001</v>
      </c>
      <c r="FS20" s="22">
        <v>14</v>
      </c>
      <c r="FV20" s="22">
        <v>14</v>
      </c>
      <c r="FW20" s="28">
        <v>13.5982</v>
      </c>
      <c r="FX20" s="28">
        <v>12.7857</v>
      </c>
      <c r="FY20" s="28">
        <v>12.715</v>
      </c>
      <c r="FZ20" s="28">
        <v>13.073600000000001</v>
      </c>
      <c r="GA20" s="28">
        <v>13.446999999999999</v>
      </c>
      <c r="GB20" s="28">
        <v>14.006</v>
      </c>
      <c r="GC20" s="28">
        <v>13.4795</v>
      </c>
      <c r="GD20" s="28">
        <v>13.109400000000001</v>
      </c>
      <c r="GE20" s="28">
        <v>13.0305</v>
      </c>
      <c r="GF20" s="28">
        <v>12.879200000000001</v>
      </c>
      <c r="GG20" s="28">
        <v>13.1975</v>
      </c>
      <c r="GH20" s="28">
        <v>12.7584</v>
      </c>
      <c r="GI20" s="22">
        <v>14</v>
      </c>
      <c r="GL20" s="22">
        <v>14</v>
      </c>
      <c r="GM20" s="28">
        <v>12.075699999999999</v>
      </c>
      <c r="GN20" s="28">
        <v>12.0937</v>
      </c>
      <c r="GO20" s="28">
        <v>11.9755</v>
      </c>
      <c r="GP20" s="28">
        <v>11.826599999999999</v>
      </c>
      <c r="GQ20" s="28">
        <v>11.6656</v>
      </c>
      <c r="GR20" s="28">
        <v>11.868600000000001</v>
      </c>
      <c r="GS20" s="28">
        <v>11.7867</v>
      </c>
      <c r="GT20" s="28">
        <v>12.389900000000001</v>
      </c>
      <c r="GU20" s="28">
        <v>12.768700000000001</v>
      </c>
      <c r="GV20" s="28">
        <v>13.221299999999999</v>
      </c>
      <c r="GW20" s="28">
        <v>13.562200000000001</v>
      </c>
      <c r="GX20" s="28">
        <v>13.640599999999999</v>
      </c>
      <c r="GY20" s="22">
        <v>14</v>
      </c>
      <c r="HB20" s="22">
        <v>14</v>
      </c>
      <c r="HC20" s="28">
        <v>12.729100000000001</v>
      </c>
      <c r="HD20" s="28">
        <v>13.0609</v>
      </c>
      <c r="HE20" s="28">
        <v>12.619199999999999</v>
      </c>
      <c r="HF20" s="28">
        <v>12.1808</v>
      </c>
      <c r="HG20" s="28">
        <v>12.4351</v>
      </c>
      <c r="HH20" s="28">
        <v>12.7441</v>
      </c>
      <c r="HI20" s="28">
        <v>12.8233</v>
      </c>
      <c r="HJ20" s="28">
        <v>12.7258</v>
      </c>
      <c r="HK20" s="28">
        <v>12.961600000000001</v>
      </c>
      <c r="HL20" s="28">
        <v>12.432</v>
      </c>
      <c r="HM20" s="28">
        <v>12.259600000000001</v>
      </c>
      <c r="HN20" s="28">
        <v>12.4617</v>
      </c>
      <c r="HO20" s="22">
        <v>14</v>
      </c>
      <c r="HR20" s="22">
        <v>14</v>
      </c>
      <c r="HS20" s="28">
        <v>13.7608</v>
      </c>
      <c r="HT20" s="28">
        <v>14.6013</v>
      </c>
      <c r="HU20" s="28">
        <v>14.908300000000001</v>
      </c>
      <c r="HV20" s="28">
        <v>13.364800000000001</v>
      </c>
      <c r="HW20" s="28">
        <v>13.220800000000001</v>
      </c>
      <c r="HX20" s="28">
        <v>13.4581</v>
      </c>
      <c r="HY20" s="28">
        <v>13.7052</v>
      </c>
      <c r="HZ20" s="28">
        <v>12.997</v>
      </c>
      <c r="IA20" s="28">
        <v>13.4582</v>
      </c>
      <c r="IB20" s="28">
        <v>13.2178</v>
      </c>
      <c r="IC20" s="28">
        <v>13.206099999999999</v>
      </c>
      <c r="ID20" s="28">
        <v>12.9739</v>
      </c>
      <c r="IE20" s="22">
        <v>14</v>
      </c>
      <c r="IH20" s="22">
        <v>14</v>
      </c>
      <c r="II20" s="28">
        <v>10.9572</v>
      </c>
      <c r="IJ20" s="28">
        <v>10.746499999999999</v>
      </c>
      <c r="IK20" s="28">
        <v>10.7735</v>
      </c>
      <c r="IL20" s="28">
        <v>10.5503</v>
      </c>
      <c r="IM20" s="28">
        <v>10.505800000000001</v>
      </c>
      <c r="IN20" s="28">
        <v>10.395</v>
      </c>
      <c r="IO20" s="28">
        <v>10.307600000000001</v>
      </c>
      <c r="IP20" s="28">
        <v>10.159000000000001</v>
      </c>
      <c r="IQ20" s="28">
        <v>10.6745</v>
      </c>
      <c r="IR20" s="28">
        <v>13.0867</v>
      </c>
      <c r="IS20" s="28">
        <v>13.0875</v>
      </c>
      <c r="IT20" s="28">
        <v>13.472200000000001</v>
      </c>
      <c r="IU20" s="22">
        <v>14</v>
      </c>
      <c r="IX20" s="22">
        <v>14</v>
      </c>
      <c r="IY20" s="28">
        <v>10.965</v>
      </c>
      <c r="IZ20" s="28">
        <v>11.0227</v>
      </c>
      <c r="JA20" s="28">
        <v>11.148300000000001</v>
      </c>
      <c r="JB20" s="28">
        <v>11.013500000000001</v>
      </c>
      <c r="JC20" s="28">
        <v>10.8178</v>
      </c>
      <c r="JD20" s="28">
        <v>10.9331</v>
      </c>
      <c r="JE20" s="28">
        <v>10.7799</v>
      </c>
      <c r="JF20" s="28">
        <v>11.017300000000001</v>
      </c>
      <c r="JG20" s="28">
        <v>11.071999999999999</v>
      </c>
      <c r="JH20" s="28">
        <v>10.8101</v>
      </c>
      <c r="JI20" s="28">
        <v>10.937799999999999</v>
      </c>
      <c r="JJ20" s="28">
        <v>10.8025</v>
      </c>
      <c r="JK20" s="22">
        <v>14</v>
      </c>
      <c r="JN20" s="22">
        <v>14</v>
      </c>
      <c r="JO20" s="28">
        <v>10.5732</v>
      </c>
      <c r="JP20" s="28">
        <v>10.487</v>
      </c>
      <c r="JQ20" s="28">
        <v>10.7125</v>
      </c>
      <c r="JR20" s="28">
        <v>11.0708</v>
      </c>
      <c r="JS20" s="28">
        <v>10.838100000000001</v>
      </c>
      <c r="JT20" s="28">
        <v>11.3827</v>
      </c>
      <c r="JU20" s="28">
        <v>11.0303</v>
      </c>
      <c r="JV20" s="28">
        <v>10.880800000000001</v>
      </c>
      <c r="JW20" s="28">
        <v>11.036099999999999</v>
      </c>
      <c r="JX20" s="28">
        <v>10.9406</v>
      </c>
      <c r="JY20" s="28">
        <v>10.915800000000001</v>
      </c>
      <c r="JZ20" s="28">
        <v>10.8375</v>
      </c>
      <c r="KA20" s="22">
        <v>14</v>
      </c>
      <c r="KD20" s="22">
        <v>14</v>
      </c>
      <c r="KE20" s="28">
        <v>11.1761</v>
      </c>
      <c r="KF20" s="28">
        <v>11.1533</v>
      </c>
      <c r="KG20" s="28">
        <v>11.032400000000001</v>
      </c>
      <c r="KH20" s="28">
        <v>11.115500000000001</v>
      </c>
      <c r="KI20" s="28">
        <v>11.0189</v>
      </c>
      <c r="KJ20" s="28">
        <v>10.864800000000001</v>
      </c>
      <c r="KK20" s="28">
        <v>10.6881</v>
      </c>
      <c r="KL20" s="28">
        <v>10.5815</v>
      </c>
      <c r="KM20" s="28">
        <v>10.699400000000001</v>
      </c>
      <c r="KN20" s="28">
        <v>10.8842</v>
      </c>
      <c r="KO20" s="28">
        <v>10.714</v>
      </c>
      <c r="KP20" s="28">
        <v>10.624000000000001</v>
      </c>
      <c r="KQ20" s="22">
        <v>14</v>
      </c>
      <c r="KT20" s="22">
        <v>14</v>
      </c>
      <c r="KU20" s="28">
        <v>10.818</v>
      </c>
      <c r="KV20" s="28">
        <v>10.9626</v>
      </c>
      <c r="KW20" s="28">
        <v>10.9633</v>
      </c>
      <c r="KX20" s="28">
        <v>11.2211</v>
      </c>
      <c r="KY20" s="28">
        <v>11.624599999999999</v>
      </c>
      <c r="KZ20" s="28">
        <v>11.366</v>
      </c>
      <c r="LA20" s="28">
        <v>11.5009</v>
      </c>
      <c r="LB20" s="28">
        <v>11.4414</v>
      </c>
      <c r="LC20" s="28">
        <v>11.6005</v>
      </c>
      <c r="LD20" s="28">
        <v>11.2865</v>
      </c>
      <c r="LE20" s="28">
        <v>11.399699999999999</v>
      </c>
      <c r="LF20" s="28">
        <v>11.334300000000001</v>
      </c>
      <c r="LG20" s="22">
        <v>14</v>
      </c>
      <c r="LJ20" s="22">
        <v>14</v>
      </c>
      <c r="LK20" s="28">
        <v>10.4672</v>
      </c>
      <c r="LL20" s="28">
        <v>10.9832</v>
      </c>
      <c r="LM20" s="28">
        <v>10.907299999999999</v>
      </c>
      <c r="LN20" s="28">
        <v>10.7651</v>
      </c>
      <c r="LO20" s="28">
        <v>10.177300000000001</v>
      </c>
      <c r="LP20" s="28">
        <v>10.577500000000001</v>
      </c>
      <c r="LQ20" s="28">
        <v>10.4482</v>
      </c>
      <c r="LR20" s="28">
        <v>10.7448</v>
      </c>
      <c r="LS20" s="28">
        <v>10.973699999999999</v>
      </c>
      <c r="LT20" s="28">
        <v>11.194599999999999</v>
      </c>
      <c r="LU20" s="28">
        <v>11.058199999999999</v>
      </c>
      <c r="LV20" s="28">
        <v>11.214499999999999</v>
      </c>
      <c r="LW20" s="22">
        <v>14</v>
      </c>
      <c r="LZ20" s="22">
        <v>14</v>
      </c>
      <c r="MA20" s="28">
        <v>9.2444000000000006</v>
      </c>
      <c r="MB20" s="28">
        <v>9.0896000000000008</v>
      </c>
      <c r="MC20" s="28">
        <v>9.0753000000000004</v>
      </c>
      <c r="MD20" s="28">
        <v>9.0770999999999997</v>
      </c>
      <c r="ME20" s="28">
        <v>9.5101999999999993</v>
      </c>
      <c r="MF20" s="28">
        <v>9.7035</v>
      </c>
      <c r="MG20" s="28">
        <v>9.7979000000000003</v>
      </c>
      <c r="MH20" s="28">
        <v>9.8401999999999994</v>
      </c>
      <c r="MI20" s="28">
        <v>10.0023</v>
      </c>
      <c r="MJ20" s="28">
        <v>10.2195</v>
      </c>
      <c r="MK20" s="28">
        <v>10.3447</v>
      </c>
      <c r="ML20" s="28">
        <v>10.1785</v>
      </c>
      <c r="MM20" s="22">
        <v>14</v>
      </c>
      <c r="MP20" s="22">
        <v>14</v>
      </c>
      <c r="MQ20" s="28">
        <v>9.8547999999999991</v>
      </c>
      <c r="MR20" s="28">
        <v>9.7388999999999992</v>
      </c>
      <c r="MS20" s="28">
        <v>9.6624999999999996</v>
      </c>
      <c r="MT20" s="28">
        <v>9.3093000000000004</v>
      </c>
      <c r="MU20" s="28">
        <v>9.1966999999999999</v>
      </c>
      <c r="MV20" s="28">
        <v>9.0939999999999994</v>
      </c>
      <c r="MW20" s="28">
        <v>9.3420000000000005</v>
      </c>
      <c r="MX20" s="28">
        <v>9.1247000000000007</v>
      </c>
      <c r="MY20" s="28">
        <v>9.4446999999999992</v>
      </c>
      <c r="MZ20" s="28">
        <v>9.3397000000000006</v>
      </c>
      <c r="NA20" s="28">
        <v>9.2707999999999995</v>
      </c>
      <c r="NB20" s="28">
        <v>9.1819000000000006</v>
      </c>
      <c r="NC20" s="22">
        <v>14</v>
      </c>
      <c r="NF20" s="22">
        <v>14</v>
      </c>
      <c r="NG20" s="28">
        <v>9.5351999999999997</v>
      </c>
      <c r="NH20" s="28">
        <v>9.4347999999999992</v>
      </c>
      <c r="NI20" s="28">
        <v>9.3125</v>
      </c>
      <c r="NJ20" s="28">
        <v>9.3964999999999996</v>
      </c>
      <c r="NK20" s="28">
        <v>9.5768000000000004</v>
      </c>
      <c r="NL20" s="28">
        <v>9.8545999999999996</v>
      </c>
      <c r="NM20" s="28">
        <v>9.4748000000000001</v>
      </c>
      <c r="NN20" s="28">
        <v>9.3198000000000008</v>
      </c>
      <c r="NO20" s="28">
        <v>9.2542000000000009</v>
      </c>
      <c r="NP20" s="28">
        <v>9.5192999999999994</v>
      </c>
      <c r="NQ20" s="28">
        <v>9.6007999999999996</v>
      </c>
      <c r="NR20" s="28">
        <v>9.4418000000000006</v>
      </c>
      <c r="NS20" s="22">
        <v>14</v>
      </c>
      <c r="NV20" s="22">
        <v>14</v>
      </c>
      <c r="NW20" s="28">
        <v>10.0848</v>
      </c>
      <c r="NX20" s="28">
        <v>9.9793000000000003</v>
      </c>
      <c r="NY20" s="28">
        <v>9.7479999999999993</v>
      </c>
      <c r="NZ20" s="28">
        <v>9.5569000000000006</v>
      </c>
      <c r="OA20" s="28">
        <v>9.3247</v>
      </c>
      <c r="OB20" s="28">
        <v>9.5984999999999996</v>
      </c>
      <c r="OC20" s="28">
        <v>9.4358000000000004</v>
      </c>
      <c r="OD20" s="28">
        <v>9.3533000000000008</v>
      </c>
      <c r="OE20" s="28">
        <v>9.3173999999999992</v>
      </c>
      <c r="OF20" s="28">
        <v>9.4674999999999994</v>
      </c>
      <c r="OG20" s="28">
        <v>9.3856999999999999</v>
      </c>
      <c r="OH20" s="28">
        <v>9.4143000000000008</v>
      </c>
      <c r="OI20" s="22">
        <v>14</v>
      </c>
      <c r="OL20" s="22">
        <v>14</v>
      </c>
      <c r="OM20" s="28">
        <v>8.2774999999999999</v>
      </c>
      <c r="ON20" s="28">
        <v>8.4495000000000005</v>
      </c>
      <c r="OO20" s="28">
        <v>8.5672999999999995</v>
      </c>
      <c r="OP20" s="28">
        <v>8.5106000000000002</v>
      </c>
      <c r="OQ20" s="28">
        <v>8.4964999999999993</v>
      </c>
      <c r="OR20" s="28">
        <v>8.9609000000000005</v>
      </c>
      <c r="OS20" s="28">
        <v>8.9535</v>
      </c>
      <c r="OT20" s="28">
        <v>9.1761999999999997</v>
      </c>
      <c r="OU20" s="28">
        <v>10.532500000000001</v>
      </c>
      <c r="OV20" s="28">
        <v>10.1555</v>
      </c>
      <c r="OW20" s="28">
        <v>10.0563</v>
      </c>
      <c r="OX20" s="28">
        <v>9.9499999999999993</v>
      </c>
      <c r="OY20" s="22">
        <v>14</v>
      </c>
      <c r="PB20" s="22">
        <v>14</v>
      </c>
      <c r="PC20" s="28">
        <v>7.8606999999999996</v>
      </c>
      <c r="PD20" s="28">
        <v>7.7968000000000002</v>
      </c>
      <c r="PE20" s="28">
        <v>7.9611000000000001</v>
      </c>
      <c r="PF20" s="28">
        <v>7.9153000000000002</v>
      </c>
      <c r="PG20" s="28">
        <v>7.9242999999999997</v>
      </c>
      <c r="PH20" s="28">
        <v>7.9633000000000003</v>
      </c>
      <c r="PI20" s="28">
        <v>7.8913000000000002</v>
      </c>
      <c r="PJ20" s="28">
        <v>7.782</v>
      </c>
      <c r="PK20" s="28">
        <v>7.7847</v>
      </c>
      <c r="PL20" s="28">
        <v>7.7591999999999999</v>
      </c>
      <c r="PM20" s="28">
        <v>8.3582999999999998</v>
      </c>
      <c r="PN20" s="28">
        <v>8.1394000000000002</v>
      </c>
      <c r="PO20" s="22">
        <v>14</v>
      </c>
      <c r="PR20" s="22">
        <v>14</v>
      </c>
      <c r="PS20" s="28">
        <v>7.5213000000000001</v>
      </c>
      <c r="PT20" s="28">
        <v>7.5278999999999998</v>
      </c>
      <c r="PU20" s="28">
        <v>7.6044999999999998</v>
      </c>
      <c r="PV20" s="28">
        <v>7.4989999999999997</v>
      </c>
      <c r="PW20" s="28">
        <v>7.4469000000000003</v>
      </c>
      <c r="PX20" s="28">
        <v>7.5743</v>
      </c>
      <c r="PY20" s="28">
        <v>7.6429</v>
      </c>
      <c r="PZ20" s="28">
        <v>7.5106000000000002</v>
      </c>
      <c r="QA20" s="28">
        <v>7.5416999999999996</v>
      </c>
      <c r="QB20" s="28">
        <v>7.6109</v>
      </c>
      <c r="QC20" s="28">
        <v>7.9154999999999998</v>
      </c>
      <c r="QD20" s="28">
        <v>7.8723000000000001</v>
      </c>
      <c r="QE20" s="22">
        <v>14</v>
      </c>
      <c r="QH20" s="22">
        <v>14</v>
      </c>
      <c r="QI20" s="28">
        <v>5.6875</v>
      </c>
      <c r="QJ20" s="28">
        <v>5.6375000000000002</v>
      </c>
      <c r="QK20" s="28">
        <v>6.4675000000000002</v>
      </c>
      <c r="QL20" s="28">
        <v>6.3033000000000001</v>
      </c>
      <c r="QM20" s="28">
        <v>5.9082999999999997</v>
      </c>
      <c r="QN20" s="28">
        <v>6.2792000000000003</v>
      </c>
      <c r="QO20" s="28">
        <v>6.0971000000000002</v>
      </c>
      <c r="QP20" s="28">
        <v>6.1452999999999998</v>
      </c>
      <c r="QQ20" s="28">
        <v>6.2850000000000001</v>
      </c>
      <c r="QR20" s="28">
        <v>6.7042000000000002</v>
      </c>
      <c r="QS20" s="28">
        <v>7.665</v>
      </c>
      <c r="QT20" s="28">
        <v>7.7504</v>
      </c>
      <c r="QU20" s="22">
        <v>14</v>
      </c>
      <c r="QX20" s="22">
        <v>14</v>
      </c>
      <c r="QY20" s="28">
        <v>3.1093999999999999</v>
      </c>
      <c r="QZ20" s="28">
        <v>3.105</v>
      </c>
      <c r="RA20" s="28">
        <v>3.2888000000000002</v>
      </c>
      <c r="RB20" s="28">
        <v>3.3656999999999999</v>
      </c>
      <c r="RC20" s="28">
        <v>3.3325</v>
      </c>
      <c r="RD20" s="28">
        <v>3.3613</v>
      </c>
      <c r="RE20" s="28">
        <v>3.4022000000000001</v>
      </c>
      <c r="RF20" s="28">
        <v>3.3980000000000001</v>
      </c>
      <c r="RG20" s="28">
        <v>3.4134000000000002</v>
      </c>
      <c r="RH20" s="28">
        <v>3.4169999999999998</v>
      </c>
      <c r="RI20" s="28">
        <v>3.4424000000000001</v>
      </c>
      <c r="RJ20" s="28">
        <v>3.4533999999999998</v>
      </c>
      <c r="RK20" s="22">
        <v>14</v>
      </c>
      <c r="RN20" s="22">
        <v>14</v>
      </c>
      <c r="RO20" s="28">
        <v>3.1095999999999999</v>
      </c>
      <c r="RP20" s="28">
        <v>3.1009000000000002</v>
      </c>
      <c r="RQ20" s="28">
        <v>3.1196999999999999</v>
      </c>
      <c r="RR20" s="28">
        <v>3.0962000000000001</v>
      </c>
      <c r="RS20" s="28">
        <v>3.1291000000000002</v>
      </c>
      <c r="RT20" s="28">
        <v>3.1282000000000001</v>
      </c>
      <c r="RU20" s="28">
        <v>3.1294</v>
      </c>
      <c r="RV20" s="28">
        <v>3.1164999999999998</v>
      </c>
      <c r="RW20" s="28">
        <v>3.1118999999999999</v>
      </c>
      <c r="RX20" s="28">
        <v>3.1135999999999999</v>
      </c>
      <c r="RY20" s="28">
        <v>3.2162999999999999</v>
      </c>
      <c r="RZ20" s="28">
        <v>3.1168999999999998</v>
      </c>
      <c r="SA20" s="22">
        <v>14</v>
      </c>
      <c r="SD20" s="22">
        <v>14</v>
      </c>
      <c r="SE20" s="28">
        <v>3.0668000000000002</v>
      </c>
      <c r="SF20" s="28">
        <v>3.0632999999999999</v>
      </c>
      <c r="SG20" s="28">
        <v>3.0609999999999999</v>
      </c>
      <c r="SH20" s="28">
        <v>3.0657000000000001</v>
      </c>
      <c r="SI20" s="28">
        <v>3.0863</v>
      </c>
      <c r="SJ20" s="28">
        <v>3.1191</v>
      </c>
      <c r="SK20" s="28">
        <v>3.1179999999999999</v>
      </c>
      <c r="SL20" s="28">
        <v>3.0758999999999999</v>
      </c>
      <c r="SM20" s="28">
        <v>3.0768</v>
      </c>
      <c r="SN20" s="28">
        <v>3.1137999999999999</v>
      </c>
      <c r="SO20" s="28">
        <v>3.1156000000000001</v>
      </c>
      <c r="SP20" s="28">
        <v>3.1116999999999999</v>
      </c>
      <c r="SQ20" s="22">
        <v>14</v>
      </c>
      <c r="ST20" s="22">
        <v>14</v>
      </c>
      <c r="SU20" s="28">
        <v>2.9506000000000001</v>
      </c>
      <c r="SV20" s="28">
        <v>2.9638</v>
      </c>
      <c r="SW20" s="28">
        <v>2.9750000000000001</v>
      </c>
      <c r="SX20" s="28">
        <v>2.9870000000000001</v>
      </c>
      <c r="SY20" s="28">
        <v>2.9986000000000002</v>
      </c>
      <c r="SZ20" s="28">
        <v>3.0118</v>
      </c>
      <c r="TA20" s="28">
        <v>3.0234000000000001</v>
      </c>
      <c r="TB20" s="28">
        <v>3.0362</v>
      </c>
      <c r="TC20" s="28">
        <v>3.0486</v>
      </c>
      <c r="TD20" s="28">
        <v>3.0613999999999999</v>
      </c>
      <c r="TE20" s="28">
        <v>3.07348</v>
      </c>
      <c r="TF20" s="28">
        <v>3.0629900000000001</v>
      </c>
      <c r="TG20" s="22">
        <v>14</v>
      </c>
      <c r="TJ20" s="22">
        <v>14</v>
      </c>
      <c r="TK20" s="28">
        <v>2.6549999999999998</v>
      </c>
      <c r="TL20" s="28">
        <v>2.6869999999999998</v>
      </c>
      <c r="TM20" s="28">
        <v>2.7149999999999999</v>
      </c>
      <c r="TN20" s="28">
        <v>2.746</v>
      </c>
      <c r="TO20" s="28">
        <v>2.774</v>
      </c>
      <c r="TP20" s="28">
        <v>2.8041999999999998</v>
      </c>
      <c r="TQ20" s="28">
        <v>2.8281999999999998</v>
      </c>
      <c r="TR20" s="28">
        <v>2.8513999999999999</v>
      </c>
      <c r="TS20" s="28">
        <v>2.8778000000000001</v>
      </c>
      <c r="TT20" s="28">
        <v>2.9009999999999998</v>
      </c>
      <c r="TU20" s="28">
        <v>2.9266000000000001</v>
      </c>
      <c r="TV20" s="28">
        <v>2.9390000000000001</v>
      </c>
      <c r="TW20" s="22">
        <v>14</v>
      </c>
      <c r="TZ20" s="22">
        <v>14</v>
      </c>
      <c r="UA20" s="28">
        <v>2.2909999999999999</v>
      </c>
      <c r="UB20" s="28">
        <v>2.3199999999999998</v>
      </c>
      <c r="UC20" s="28">
        <v>2.3479999999999999</v>
      </c>
      <c r="UD20" s="28">
        <v>2.3809999999999998</v>
      </c>
      <c r="UE20" s="28">
        <v>2.41</v>
      </c>
      <c r="UF20" s="28">
        <v>2.4420000000000002</v>
      </c>
      <c r="UG20" s="28">
        <v>2.472</v>
      </c>
      <c r="UH20" s="28">
        <v>2.5009999999999999</v>
      </c>
      <c r="UI20" s="28">
        <v>2.5339999999999998</v>
      </c>
      <c r="UJ20" s="28">
        <v>2.5640000000000001</v>
      </c>
      <c r="UK20" s="28">
        <v>2.593</v>
      </c>
      <c r="UL20" s="28">
        <v>2.625</v>
      </c>
      <c r="UM20" s="22">
        <v>14</v>
      </c>
    </row>
    <row r="21" spans="2:559" s="7" customFormat="1" ht="19.2">
      <c r="B21" s="22">
        <v>15</v>
      </c>
      <c r="C21" s="28">
        <v>18.8735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2">
        <v>15</v>
      </c>
      <c r="R21" s="22">
        <v>15</v>
      </c>
      <c r="S21" s="28">
        <v>20.360700000000001</v>
      </c>
      <c r="T21" s="28">
        <v>20.418800000000001</v>
      </c>
      <c r="U21" s="28">
        <v>20.9695</v>
      </c>
      <c r="V21" s="28">
        <v>19.840699999999998</v>
      </c>
      <c r="W21" s="28">
        <v>20.32</v>
      </c>
      <c r="X21" s="28">
        <v>20.4527</v>
      </c>
      <c r="Y21" s="28">
        <v>20.761299999999999</v>
      </c>
      <c r="Z21" s="28">
        <v>19.959499999999998</v>
      </c>
      <c r="AA21" s="28">
        <v>20.055</v>
      </c>
      <c r="AB21" s="28">
        <v>20.0398</v>
      </c>
      <c r="AC21" s="28">
        <v>19.535299999999999</v>
      </c>
      <c r="AD21" s="28">
        <v>19.645800000000001</v>
      </c>
      <c r="AE21" s="22">
        <v>15</v>
      </c>
      <c r="AH21" s="22">
        <v>15</v>
      </c>
      <c r="AI21" s="28">
        <v>19.793500000000002</v>
      </c>
      <c r="AJ21" s="28">
        <v>19.953499999999998</v>
      </c>
      <c r="AK21" s="28">
        <v>20.7133</v>
      </c>
      <c r="AL21" s="28">
        <v>20.073499999999999</v>
      </c>
      <c r="AM21" s="28">
        <v>20.049499999999998</v>
      </c>
      <c r="AN21" s="28">
        <v>19.882300000000001</v>
      </c>
      <c r="AO21" s="28">
        <v>19.998799999999999</v>
      </c>
      <c r="AP21" s="28">
        <v>19.890699999999999</v>
      </c>
      <c r="AQ21" s="28">
        <v>19.867699999999999</v>
      </c>
      <c r="AR21" s="28">
        <v>20.682700000000001</v>
      </c>
      <c r="AS21" s="28">
        <v>20.465199999999999</v>
      </c>
      <c r="AT21" s="28">
        <v>20.938300000000002</v>
      </c>
      <c r="AU21" s="22">
        <v>15</v>
      </c>
      <c r="AV21" s="8"/>
      <c r="AW21" s="8"/>
      <c r="AX21" s="22">
        <v>15</v>
      </c>
      <c r="AY21" s="28">
        <v>18.8215</v>
      </c>
      <c r="AZ21" s="28">
        <v>18.645800000000001</v>
      </c>
      <c r="BA21" s="28">
        <v>22.151800000000001</v>
      </c>
      <c r="BB21" s="28">
        <v>23.742699999999999</v>
      </c>
      <c r="BC21" s="28">
        <v>24.211300000000001</v>
      </c>
      <c r="BD21" s="28">
        <v>22.4252</v>
      </c>
      <c r="BE21" s="28">
        <v>22.4633</v>
      </c>
      <c r="BF21" s="28">
        <v>22.262799999999999</v>
      </c>
      <c r="BG21" s="28">
        <v>21.321000000000002</v>
      </c>
      <c r="BH21" s="28">
        <v>21.367699999999999</v>
      </c>
      <c r="BI21" s="28">
        <v>20.5303</v>
      </c>
      <c r="BJ21" s="28">
        <v>20.107500000000002</v>
      </c>
      <c r="BK21" s="22">
        <v>15</v>
      </c>
      <c r="BN21" s="22">
        <v>15</v>
      </c>
      <c r="BO21" s="28">
        <v>19.1236</v>
      </c>
      <c r="BP21" s="28">
        <v>19.4084</v>
      </c>
      <c r="BQ21" s="28">
        <v>19.332000000000001</v>
      </c>
      <c r="BR21" s="28">
        <v>18.8432</v>
      </c>
      <c r="BS21" s="28">
        <v>19.192799999999998</v>
      </c>
      <c r="BT21" s="28">
        <v>19.1645</v>
      </c>
      <c r="BU21" s="28">
        <v>19.122699999999998</v>
      </c>
      <c r="BV21" s="28">
        <v>19.463000000000001</v>
      </c>
      <c r="BW21" s="28">
        <v>19.426500000000001</v>
      </c>
      <c r="BX21" s="28">
        <v>19.3217</v>
      </c>
      <c r="BY21" s="28">
        <v>19.4543</v>
      </c>
      <c r="BZ21" s="28">
        <v>19.1785</v>
      </c>
      <c r="CA21" s="22">
        <v>15</v>
      </c>
      <c r="CD21" s="22">
        <v>15</v>
      </c>
      <c r="CE21" s="28">
        <v>19.343299999999999</v>
      </c>
      <c r="CF21" s="28">
        <v>18.626899999999999</v>
      </c>
      <c r="CG21" s="29">
        <v>18.560400000000001</v>
      </c>
      <c r="CH21" s="28">
        <v>18.135300000000001</v>
      </c>
      <c r="CI21" s="28">
        <v>19.353899999999999</v>
      </c>
      <c r="CJ21" s="28">
        <v>20.625900000000001</v>
      </c>
      <c r="CK21" s="28">
        <v>18.824100000000001</v>
      </c>
      <c r="CL21" s="28">
        <v>19.180099999999999</v>
      </c>
      <c r="CM21" s="28">
        <v>18.877500000000001</v>
      </c>
      <c r="CN21" s="28">
        <v>19.021699999999999</v>
      </c>
      <c r="CO21" s="28">
        <v>20.515799999999999</v>
      </c>
      <c r="CP21" s="28">
        <v>20.256599999999999</v>
      </c>
      <c r="CQ21" s="22">
        <v>15</v>
      </c>
      <c r="CT21" s="22">
        <v>15</v>
      </c>
      <c r="CU21" s="28">
        <v>21.720400000000001</v>
      </c>
      <c r="CV21" s="28">
        <v>20.327999999999999</v>
      </c>
      <c r="CW21" s="28">
        <v>19.580300000000001</v>
      </c>
      <c r="CX21" s="28">
        <v>18.764600000000002</v>
      </c>
      <c r="CY21" s="28">
        <v>18.9039</v>
      </c>
      <c r="CZ21" s="28">
        <v>18.072500000000002</v>
      </c>
      <c r="DA21" s="28">
        <v>17.7422</v>
      </c>
      <c r="DB21" s="28">
        <v>17.847000000000001</v>
      </c>
      <c r="DC21" s="28">
        <v>17.7836</v>
      </c>
      <c r="DD21" s="28">
        <v>18.763100000000001</v>
      </c>
      <c r="DE21" s="28">
        <v>19.167999999999999</v>
      </c>
      <c r="DF21" s="28">
        <v>19.139099999999999</v>
      </c>
      <c r="DG21" s="22">
        <v>15</v>
      </c>
      <c r="DJ21" s="22">
        <v>15</v>
      </c>
      <c r="DK21" s="28">
        <v>17.850000000000001</v>
      </c>
      <c r="DL21" s="28">
        <v>19.1754</v>
      </c>
      <c r="DM21" s="28">
        <v>17.700199999999999</v>
      </c>
      <c r="DN21" s="28">
        <v>17.489999999999998</v>
      </c>
      <c r="DO21" s="28">
        <v>17.991499999999998</v>
      </c>
      <c r="DP21" s="28">
        <v>18.791499999999999</v>
      </c>
      <c r="DQ21" s="28">
        <v>18.393699999999999</v>
      </c>
      <c r="DR21" s="28">
        <v>18.267800000000001</v>
      </c>
      <c r="DS21" s="28">
        <v>19.152000000000001</v>
      </c>
      <c r="DT21" s="28">
        <v>19.039899999999999</v>
      </c>
      <c r="DU21" s="28">
        <v>21.051100000000002</v>
      </c>
      <c r="DV21" s="28">
        <v>20.256699999999999</v>
      </c>
      <c r="DW21" s="22">
        <v>15</v>
      </c>
      <c r="DZ21" s="22">
        <v>15</v>
      </c>
      <c r="EA21" s="28">
        <v>14.555899999999999</v>
      </c>
      <c r="EB21" s="28">
        <v>14.916700000000001</v>
      </c>
      <c r="EC21" s="28">
        <v>15.4003</v>
      </c>
      <c r="ED21" s="28">
        <v>15.294700000000001</v>
      </c>
      <c r="EE21" s="28">
        <v>15.221299999999999</v>
      </c>
      <c r="EF21" s="28">
        <v>15.440899999999999</v>
      </c>
      <c r="EG21" s="28">
        <v>15.740399999999999</v>
      </c>
      <c r="EH21" s="28">
        <v>16.297599999999999</v>
      </c>
      <c r="EI21" s="28">
        <v>16.8261</v>
      </c>
      <c r="EJ21" s="28">
        <v>16.584800000000001</v>
      </c>
      <c r="EK21" s="28">
        <v>16.740600000000001</v>
      </c>
      <c r="EL21" s="28">
        <v>17.359200000000001</v>
      </c>
      <c r="EM21" s="22">
        <v>15</v>
      </c>
      <c r="EP21" s="22">
        <v>15</v>
      </c>
      <c r="EQ21" s="28">
        <v>12.988899999999999</v>
      </c>
      <c r="ER21" s="28">
        <v>13.332000000000001</v>
      </c>
      <c r="ES21" s="28">
        <v>13.2456</v>
      </c>
      <c r="ET21" s="28">
        <v>13.078799999999999</v>
      </c>
      <c r="EU21" s="28">
        <v>12.923400000000001</v>
      </c>
      <c r="EV21" s="28">
        <v>12.9815</v>
      </c>
      <c r="EW21" s="28">
        <v>12.984999999999999</v>
      </c>
      <c r="EX21" s="28">
        <v>13.1113</v>
      </c>
      <c r="EY21" s="28">
        <v>13.214399999999999</v>
      </c>
      <c r="EZ21" s="28">
        <v>13.420299999999999</v>
      </c>
      <c r="FA21" s="28">
        <v>13.599500000000001</v>
      </c>
      <c r="FB21" s="28">
        <v>14.5181</v>
      </c>
      <c r="FC21" s="22">
        <v>15</v>
      </c>
      <c r="FF21" s="22">
        <v>15</v>
      </c>
      <c r="FG21" s="28">
        <v>12.6478</v>
      </c>
      <c r="FH21" s="28">
        <v>12.711600000000001</v>
      </c>
      <c r="FI21" s="28">
        <v>12.396699999999999</v>
      </c>
      <c r="FJ21" s="28">
        <v>12.069100000000001</v>
      </c>
      <c r="FK21" s="28">
        <v>12.1448</v>
      </c>
      <c r="FL21" s="28">
        <v>12.7812</v>
      </c>
      <c r="FM21" s="28">
        <v>12.8599</v>
      </c>
      <c r="FN21" s="28">
        <v>12.7545</v>
      </c>
      <c r="FO21" s="28">
        <v>13.0854</v>
      </c>
      <c r="FP21" s="28">
        <v>13.051399999999999</v>
      </c>
      <c r="FQ21" s="28">
        <v>13.103</v>
      </c>
      <c r="FR21" s="28">
        <v>12.934200000000001</v>
      </c>
      <c r="FS21" s="22">
        <v>15</v>
      </c>
      <c r="FV21" s="22">
        <v>15</v>
      </c>
      <c r="FW21" s="28">
        <v>13.5982</v>
      </c>
      <c r="FX21" s="28">
        <v>12.7392</v>
      </c>
      <c r="FY21" s="28">
        <v>12.633599999999999</v>
      </c>
      <c r="FZ21" s="28">
        <v>13.073600000000001</v>
      </c>
      <c r="GA21" s="28">
        <v>13.492900000000001</v>
      </c>
      <c r="GB21" s="28">
        <v>13.97</v>
      </c>
      <c r="GC21" s="28">
        <v>13.4795</v>
      </c>
      <c r="GD21" s="28">
        <v>13.147399999999999</v>
      </c>
      <c r="GE21" s="28">
        <v>12.9749</v>
      </c>
      <c r="GF21" s="28">
        <v>12.879200000000001</v>
      </c>
      <c r="GG21" s="28">
        <v>13.228400000000001</v>
      </c>
      <c r="GH21" s="28">
        <v>12.786899999999999</v>
      </c>
      <c r="GI21" s="22">
        <v>15</v>
      </c>
      <c r="GL21" s="22">
        <v>15</v>
      </c>
      <c r="GM21" s="28">
        <v>12.1028</v>
      </c>
      <c r="GN21" s="28">
        <v>12.063499999999999</v>
      </c>
      <c r="GO21" s="28">
        <v>11.944100000000001</v>
      </c>
      <c r="GP21" s="28">
        <v>11.790699999999999</v>
      </c>
      <c r="GQ21" s="28">
        <v>11.6656</v>
      </c>
      <c r="GR21" s="28">
        <v>11.868</v>
      </c>
      <c r="GS21" s="28">
        <v>11.717000000000001</v>
      </c>
      <c r="GT21" s="28">
        <v>12.389900000000001</v>
      </c>
      <c r="GU21" s="28">
        <v>12.8994</v>
      </c>
      <c r="GV21" s="28">
        <v>13.364699999999999</v>
      </c>
      <c r="GW21" s="28">
        <v>13.416499999999999</v>
      </c>
      <c r="GX21" s="28">
        <v>13.7714</v>
      </c>
      <c r="GY21" s="22">
        <v>15</v>
      </c>
      <c r="HB21" s="22">
        <v>15</v>
      </c>
      <c r="HC21" s="28">
        <v>12.7698</v>
      </c>
      <c r="HD21" s="28">
        <v>13.0609</v>
      </c>
      <c r="HE21" s="28">
        <v>12.619199999999999</v>
      </c>
      <c r="HF21" s="28">
        <v>12.212199999999999</v>
      </c>
      <c r="HG21" s="28">
        <v>12.350099999999999</v>
      </c>
      <c r="HH21" s="28">
        <v>12.674799999999999</v>
      </c>
      <c r="HI21" s="28">
        <v>12.714</v>
      </c>
      <c r="HJ21" s="28">
        <v>12.7258</v>
      </c>
      <c r="HK21" s="28">
        <v>12.8729</v>
      </c>
      <c r="HL21" s="28">
        <v>12.3683</v>
      </c>
      <c r="HM21" s="28">
        <v>12.259600000000001</v>
      </c>
      <c r="HN21" s="28">
        <v>12.386900000000001</v>
      </c>
      <c r="HO21" s="22">
        <v>15</v>
      </c>
      <c r="HR21" s="22">
        <v>15</v>
      </c>
      <c r="HS21" s="28">
        <v>13.839</v>
      </c>
      <c r="HT21" s="28">
        <v>14.6013</v>
      </c>
      <c r="HU21" s="28">
        <v>14.908300000000001</v>
      </c>
      <c r="HV21" s="28">
        <v>13.0914</v>
      </c>
      <c r="HW21" s="28">
        <v>13.3177</v>
      </c>
      <c r="HX21" s="28">
        <v>13.4581</v>
      </c>
      <c r="HY21" s="28">
        <v>13.810499999999999</v>
      </c>
      <c r="HZ21" s="28">
        <v>12.8658</v>
      </c>
      <c r="IA21" s="28">
        <v>13.3432</v>
      </c>
      <c r="IB21" s="28">
        <v>13.1774</v>
      </c>
      <c r="IC21" s="28">
        <v>13.206099999999999</v>
      </c>
      <c r="ID21" s="28">
        <v>12.9253</v>
      </c>
      <c r="IE21" s="22">
        <v>15</v>
      </c>
      <c r="IH21" s="22">
        <v>15</v>
      </c>
      <c r="II21" s="28">
        <v>10.931800000000001</v>
      </c>
      <c r="IJ21" s="28">
        <v>10.7509</v>
      </c>
      <c r="IK21" s="28">
        <v>10.777799999999999</v>
      </c>
      <c r="IL21" s="28">
        <v>10.5337</v>
      </c>
      <c r="IM21" s="28">
        <v>10.483499999999999</v>
      </c>
      <c r="IN21" s="28">
        <v>10.395</v>
      </c>
      <c r="IO21" s="28">
        <v>10.311999999999999</v>
      </c>
      <c r="IP21" s="28">
        <v>10.1968</v>
      </c>
      <c r="IQ21" s="28">
        <v>10.6745</v>
      </c>
      <c r="IR21" s="28">
        <v>12.3743</v>
      </c>
      <c r="IS21" s="28">
        <v>13.1663</v>
      </c>
      <c r="IT21" s="28">
        <v>13.472200000000001</v>
      </c>
      <c r="IU21" s="22">
        <v>15</v>
      </c>
      <c r="IX21" s="22">
        <v>15</v>
      </c>
      <c r="IY21" s="28">
        <v>10.965</v>
      </c>
      <c r="IZ21" s="28">
        <v>10.9915</v>
      </c>
      <c r="JA21" s="28">
        <v>11.172700000000001</v>
      </c>
      <c r="JB21" s="28">
        <v>11.013500000000001</v>
      </c>
      <c r="JC21" s="28">
        <v>10.8148</v>
      </c>
      <c r="JD21" s="28">
        <v>10.953799999999999</v>
      </c>
      <c r="JE21" s="28">
        <v>10.7799</v>
      </c>
      <c r="JF21" s="28">
        <v>10.9915</v>
      </c>
      <c r="JG21" s="28">
        <v>11.074299999999999</v>
      </c>
      <c r="JH21" s="28">
        <v>10.8101</v>
      </c>
      <c r="JI21" s="28">
        <v>10.8941</v>
      </c>
      <c r="JJ21" s="28">
        <v>10.8376</v>
      </c>
      <c r="JK21" s="22">
        <v>15</v>
      </c>
      <c r="JN21" s="22">
        <v>15</v>
      </c>
      <c r="JO21" s="28">
        <v>10.5732</v>
      </c>
      <c r="JP21" s="28">
        <v>10.5258</v>
      </c>
      <c r="JQ21" s="28">
        <v>10.7126</v>
      </c>
      <c r="JR21" s="28">
        <v>11.0708</v>
      </c>
      <c r="JS21" s="28">
        <v>10.838100000000001</v>
      </c>
      <c r="JT21" s="28">
        <v>11.432700000000001</v>
      </c>
      <c r="JU21" s="28">
        <v>11.052300000000001</v>
      </c>
      <c r="JV21" s="28">
        <v>10.8147</v>
      </c>
      <c r="JW21" s="28">
        <v>11.011699999999999</v>
      </c>
      <c r="JX21" s="28">
        <v>10.9406</v>
      </c>
      <c r="JY21" s="28">
        <v>10.926299999999999</v>
      </c>
      <c r="JZ21" s="28">
        <v>10.8255</v>
      </c>
      <c r="KA21" s="22">
        <v>15</v>
      </c>
      <c r="KD21" s="22">
        <v>15</v>
      </c>
      <c r="KE21" s="28">
        <v>11.1858</v>
      </c>
      <c r="KF21" s="28">
        <v>11.1532</v>
      </c>
      <c r="KG21" s="28">
        <v>11.0223</v>
      </c>
      <c r="KH21" s="28">
        <v>11.061500000000001</v>
      </c>
      <c r="KI21" s="28">
        <v>11.0189</v>
      </c>
      <c r="KJ21" s="28">
        <v>10.868</v>
      </c>
      <c r="KK21" s="28">
        <v>10.6898</v>
      </c>
      <c r="KL21" s="28">
        <v>10.5815</v>
      </c>
      <c r="KM21" s="28">
        <v>10.7456</v>
      </c>
      <c r="KN21" s="28">
        <v>10.940799999999999</v>
      </c>
      <c r="KO21" s="28">
        <v>10.683299999999999</v>
      </c>
      <c r="KP21" s="28">
        <v>10.636799999999999</v>
      </c>
      <c r="KQ21" s="22">
        <v>15</v>
      </c>
      <c r="KT21" s="22">
        <v>15</v>
      </c>
      <c r="KU21" s="28">
        <v>10.8369</v>
      </c>
      <c r="KV21" s="28">
        <v>10.9626</v>
      </c>
      <c r="KW21" s="28">
        <v>10.9633</v>
      </c>
      <c r="KX21" s="28">
        <v>11.270200000000001</v>
      </c>
      <c r="KY21" s="28">
        <v>11.6281</v>
      </c>
      <c r="KZ21" s="28">
        <v>11.3689</v>
      </c>
      <c r="LA21" s="28">
        <v>11.494899999999999</v>
      </c>
      <c r="LB21" s="28">
        <v>11.4414</v>
      </c>
      <c r="LC21" s="28">
        <v>11.576000000000001</v>
      </c>
      <c r="LD21" s="28">
        <v>11.302099999999999</v>
      </c>
      <c r="LE21" s="28">
        <v>11.399699999999999</v>
      </c>
      <c r="LF21" s="28">
        <v>11.304500000000001</v>
      </c>
      <c r="LG21" s="22">
        <v>15</v>
      </c>
      <c r="LJ21" s="22">
        <v>15</v>
      </c>
      <c r="LK21" s="28">
        <v>10.536799999999999</v>
      </c>
      <c r="LL21" s="28">
        <v>10.972300000000001</v>
      </c>
      <c r="LM21" s="28">
        <v>10.817299999999999</v>
      </c>
      <c r="LN21" s="28">
        <v>10.702</v>
      </c>
      <c r="LO21" s="28">
        <v>10.160500000000001</v>
      </c>
      <c r="LP21" s="28">
        <v>10.577500000000001</v>
      </c>
      <c r="LQ21" s="28">
        <v>10.4213</v>
      </c>
      <c r="LR21" s="28">
        <v>10.7562</v>
      </c>
      <c r="LS21" s="28">
        <v>10.973699999999999</v>
      </c>
      <c r="LT21" s="28">
        <v>11.1853</v>
      </c>
      <c r="LU21" s="28">
        <v>11.175700000000001</v>
      </c>
      <c r="LV21" s="28">
        <v>11.214499999999999</v>
      </c>
      <c r="LW21" s="22">
        <v>15</v>
      </c>
      <c r="LZ21" s="22">
        <v>15</v>
      </c>
      <c r="MA21" s="28">
        <v>9.2734000000000005</v>
      </c>
      <c r="MB21" s="28">
        <v>9.0607000000000006</v>
      </c>
      <c r="MC21" s="28">
        <v>9.1152999999999995</v>
      </c>
      <c r="MD21" s="28">
        <v>9.0770999999999997</v>
      </c>
      <c r="ME21" s="28">
        <v>9.4932999999999996</v>
      </c>
      <c r="MF21" s="28">
        <v>9.6532</v>
      </c>
      <c r="MG21" s="28">
        <v>9.7979000000000003</v>
      </c>
      <c r="MH21" s="28">
        <v>9.9512</v>
      </c>
      <c r="MI21" s="28">
        <v>10.0023</v>
      </c>
      <c r="MJ21" s="28">
        <v>10.1592</v>
      </c>
      <c r="MK21" s="28">
        <v>10.278700000000001</v>
      </c>
      <c r="ML21" s="28">
        <v>10.1785</v>
      </c>
      <c r="MM21" s="22">
        <v>15</v>
      </c>
      <c r="MP21" s="22">
        <v>15</v>
      </c>
      <c r="MQ21" s="28">
        <v>9.8547999999999991</v>
      </c>
      <c r="MR21" s="28">
        <v>9.7065000000000001</v>
      </c>
      <c r="MS21" s="28">
        <v>9.6319999999999997</v>
      </c>
      <c r="MT21" s="28">
        <v>9.3093000000000004</v>
      </c>
      <c r="MU21" s="28">
        <v>9.2249999999999996</v>
      </c>
      <c r="MV21" s="28">
        <v>9.1180000000000003</v>
      </c>
      <c r="MW21" s="28">
        <v>9.3420000000000005</v>
      </c>
      <c r="MX21" s="28">
        <v>9.0862999999999996</v>
      </c>
      <c r="MY21" s="28">
        <v>9.4748000000000001</v>
      </c>
      <c r="MZ21" s="28">
        <v>9.3397000000000006</v>
      </c>
      <c r="NA21" s="28">
        <v>9.2518999999999991</v>
      </c>
      <c r="NB21" s="28">
        <v>9.1204000000000001</v>
      </c>
      <c r="NC21" s="22">
        <v>15</v>
      </c>
      <c r="NF21" s="22">
        <v>15</v>
      </c>
      <c r="NG21" s="28">
        <v>9.5056999999999992</v>
      </c>
      <c r="NH21" s="28">
        <v>9.4212000000000007</v>
      </c>
      <c r="NI21" s="28">
        <v>9.3338000000000001</v>
      </c>
      <c r="NJ21" s="28">
        <v>9.3987999999999996</v>
      </c>
      <c r="NK21" s="28">
        <v>9.5768000000000004</v>
      </c>
      <c r="NL21" s="28">
        <v>9.7645</v>
      </c>
      <c r="NM21" s="28">
        <v>9.4367999999999999</v>
      </c>
      <c r="NN21" s="28">
        <v>9.2918000000000003</v>
      </c>
      <c r="NO21" s="28">
        <v>9.2859999999999996</v>
      </c>
      <c r="NP21" s="28">
        <v>9.5192999999999994</v>
      </c>
      <c r="NQ21" s="28">
        <v>9.5579999999999998</v>
      </c>
      <c r="NR21" s="28">
        <v>9.4497</v>
      </c>
      <c r="NS21" s="22">
        <v>15</v>
      </c>
      <c r="NV21" s="22">
        <v>15</v>
      </c>
      <c r="NW21" s="28">
        <v>10.6</v>
      </c>
      <c r="NX21" s="28">
        <v>9.9793000000000003</v>
      </c>
      <c r="NY21" s="28">
        <v>9.7479999999999993</v>
      </c>
      <c r="NZ21" s="28">
        <v>9.5058000000000007</v>
      </c>
      <c r="OA21" s="28">
        <v>9.2698</v>
      </c>
      <c r="OB21" s="28">
        <v>9.5451999999999995</v>
      </c>
      <c r="OC21" s="28">
        <v>9.4589999999999996</v>
      </c>
      <c r="OD21" s="28">
        <v>9.3533000000000008</v>
      </c>
      <c r="OE21" s="28">
        <v>9.3192000000000004</v>
      </c>
      <c r="OF21" s="28">
        <v>9.5190000000000001</v>
      </c>
      <c r="OG21" s="28">
        <v>9.3856999999999999</v>
      </c>
      <c r="OH21" s="28">
        <v>9.4143000000000008</v>
      </c>
      <c r="OI21" s="22">
        <v>15</v>
      </c>
      <c r="OL21" s="22">
        <v>15</v>
      </c>
      <c r="OM21" s="28">
        <v>8.1628000000000007</v>
      </c>
      <c r="ON21" s="28">
        <v>8.4495000000000005</v>
      </c>
      <c r="OO21" s="28">
        <v>8.5672999999999995</v>
      </c>
      <c r="OP21" s="28">
        <v>8.5129999999999999</v>
      </c>
      <c r="OQ21" s="28">
        <v>8.5198</v>
      </c>
      <c r="OR21" s="28">
        <v>8.9609000000000005</v>
      </c>
      <c r="OS21" s="28">
        <v>8.9024999999999999</v>
      </c>
      <c r="OT21" s="28">
        <v>9.2324999999999999</v>
      </c>
      <c r="OU21" s="28">
        <v>10.5792</v>
      </c>
      <c r="OV21" s="28">
        <v>10.186299999999999</v>
      </c>
      <c r="OW21" s="28">
        <v>10.0563</v>
      </c>
      <c r="OX21" s="28">
        <v>9.9481999999999999</v>
      </c>
      <c r="OY21" s="22">
        <v>15</v>
      </c>
      <c r="PB21" s="22">
        <v>15</v>
      </c>
      <c r="PC21" s="28">
        <v>7.8125</v>
      </c>
      <c r="PD21" s="28">
        <v>7.7897999999999996</v>
      </c>
      <c r="PE21" s="28">
        <v>7.9987000000000004</v>
      </c>
      <c r="PF21" s="28">
        <v>7.9222000000000001</v>
      </c>
      <c r="PG21" s="28">
        <v>7.9065000000000003</v>
      </c>
      <c r="PH21" s="28">
        <v>7.9633000000000003</v>
      </c>
      <c r="PI21" s="28">
        <v>7.8525999999999998</v>
      </c>
      <c r="PJ21" s="28">
        <v>7.7827999999999999</v>
      </c>
      <c r="PK21" s="28">
        <v>7.7847</v>
      </c>
      <c r="PL21" s="28">
        <v>7.7483000000000004</v>
      </c>
      <c r="PM21" s="28">
        <v>8.3800000000000008</v>
      </c>
      <c r="PN21" s="28">
        <v>8.1394000000000002</v>
      </c>
      <c r="PO21" s="22">
        <v>15</v>
      </c>
      <c r="PR21" s="22">
        <v>15</v>
      </c>
      <c r="PS21" s="28">
        <v>7.5213000000000001</v>
      </c>
      <c r="PT21" s="28">
        <v>7.5688000000000004</v>
      </c>
      <c r="PU21" s="28">
        <v>7.5892999999999997</v>
      </c>
      <c r="PV21" s="28">
        <v>7.4989999999999997</v>
      </c>
      <c r="PW21" s="28">
        <v>7.4433999999999996</v>
      </c>
      <c r="PX21" s="28">
        <v>7.6342999999999996</v>
      </c>
      <c r="PY21" s="28">
        <v>7.6429</v>
      </c>
      <c r="PZ21" s="28">
        <v>7.4897</v>
      </c>
      <c r="QA21" s="28">
        <v>7.5416999999999996</v>
      </c>
      <c r="QB21" s="28">
        <v>7.6265000000000001</v>
      </c>
      <c r="QC21" s="28">
        <v>7.9215</v>
      </c>
      <c r="QD21" s="28">
        <v>7.8723000000000001</v>
      </c>
      <c r="QE21" s="22">
        <v>15</v>
      </c>
      <c r="QH21" s="22">
        <v>15</v>
      </c>
      <c r="QI21" s="28">
        <v>5.6875</v>
      </c>
      <c r="QJ21" s="28">
        <v>5.6150000000000002</v>
      </c>
      <c r="QK21" s="28">
        <v>6.47</v>
      </c>
      <c r="QL21" s="28">
        <v>6.3033000000000001</v>
      </c>
      <c r="QM21" s="28">
        <v>5.9082999999999997</v>
      </c>
      <c r="QN21" s="28">
        <v>6.1807999999999996</v>
      </c>
      <c r="QO21" s="28">
        <v>6.0282999999999998</v>
      </c>
      <c r="QP21" s="28">
        <v>6.14</v>
      </c>
      <c r="QQ21" s="28">
        <v>6.2743000000000002</v>
      </c>
      <c r="QR21" s="28">
        <v>6.7042000000000002</v>
      </c>
      <c r="QS21" s="28">
        <v>7.8724999999999996</v>
      </c>
      <c r="QT21" s="28">
        <v>7.7949999999999999</v>
      </c>
      <c r="QU21" s="22">
        <v>15</v>
      </c>
      <c r="QX21" s="22">
        <v>15</v>
      </c>
      <c r="QY21" s="28">
        <v>3.1061000000000001</v>
      </c>
      <c r="QZ21" s="28">
        <v>3.105</v>
      </c>
      <c r="RA21" s="28">
        <v>3.3025000000000002</v>
      </c>
      <c r="RB21" s="28">
        <v>3.3660000000000001</v>
      </c>
      <c r="RC21" s="28">
        <v>3.3325</v>
      </c>
      <c r="RD21" s="28">
        <v>3.3784000000000001</v>
      </c>
      <c r="RE21" s="28">
        <v>3.4026000000000001</v>
      </c>
      <c r="RF21" s="28">
        <v>3.3980000000000001</v>
      </c>
      <c r="RG21" s="28">
        <v>3.4199000000000002</v>
      </c>
      <c r="RH21" s="28">
        <v>3.4136000000000002</v>
      </c>
      <c r="RI21" s="28">
        <v>3.4434999999999998</v>
      </c>
      <c r="RJ21" s="28">
        <v>3.4584999999999999</v>
      </c>
      <c r="RK21" s="22">
        <v>15</v>
      </c>
      <c r="RN21" s="22">
        <v>15</v>
      </c>
      <c r="RO21" s="28">
        <v>3.113</v>
      </c>
      <c r="RP21" s="28">
        <v>3.1009000000000002</v>
      </c>
      <c r="RQ21" s="28">
        <v>3.1196999999999999</v>
      </c>
      <c r="RR21" s="28">
        <v>3.1006999999999998</v>
      </c>
      <c r="RS21" s="28">
        <v>3.1309999999999998</v>
      </c>
      <c r="RT21" s="28">
        <v>3.121</v>
      </c>
      <c r="RU21" s="28">
        <v>3.1284000000000001</v>
      </c>
      <c r="RV21" s="28">
        <v>3.1164999999999998</v>
      </c>
      <c r="RW21" s="28">
        <v>3.1118999999999999</v>
      </c>
      <c r="RX21" s="28">
        <v>3.1128999999999998</v>
      </c>
      <c r="RY21" s="28">
        <v>3.2162999999999999</v>
      </c>
      <c r="RZ21" s="28">
        <v>3.113</v>
      </c>
      <c r="SA21" s="22">
        <v>15</v>
      </c>
      <c r="SD21" s="22">
        <v>15</v>
      </c>
      <c r="SE21" s="28">
        <v>3.0661</v>
      </c>
      <c r="SF21" s="28">
        <v>3.0640000000000001</v>
      </c>
      <c r="SG21" s="28">
        <v>3.0609999999999999</v>
      </c>
      <c r="SH21" s="28">
        <v>3.0625</v>
      </c>
      <c r="SI21" s="28">
        <v>3.0884999999999998</v>
      </c>
      <c r="SJ21" s="28">
        <v>3.1191</v>
      </c>
      <c r="SK21" s="28">
        <v>3.1156000000000001</v>
      </c>
      <c r="SL21" s="28">
        <v>3.0733000000000001</v>
      </c>
      <c r="SM21" s="28">
        <v>3.0948000000000002</v>
      </c>
      <c r="SN21" s="28">
        <v>3.1219000000000001</v>
      </c>
      <c r="SO21" s="28">
        <v>3.1156000000000001</v>
      </c>
      <c r="SP21" s="28">
        <v>3.1137000000000001</v>
      </c>
      <c r="SQ21" s="22">
        <v>15</v>
      </c>
      <c r="ST21" s="22">
        <v>15</v>
      </c>
      <c r="SU21" s="28">
        <v>2.9510000000000001</v>
      </c>
      <c r="SV21" s="28">
        <v>2.9641999999999999</v>
      </c>
      <c r="SW21" s="28">
        <v>2.9754</v>
      </c>
      <c r="SX21" s="28">
        <v>2.9870000000000001</v>
      </c>
      <c r="SY21" s="28">
        <v>2.9998</v>
      </c>
      <c r="SZ21" s="28">
        <v>3.0122</v>
      </c>
      <c r="TA21" s="28">
        <v>3.0234000000000001</v>
      </c>
      <c r="TB21" s="28">
        <v>3.0366</v>
      </c>
      <c r="TC21" s="28">
        <v>3.0486</v>
      </c>
      <c r="TD21" s="28">
        <v>3.0617999999999999</v>
      </c>
      <c r="TE21" s="28">
        <v>3.0711499999999998</v>
      </c>
      <c r="TF21" s="28">
        <v>3.0629900000000001</v>
      </c>
      <c r="TG21" s="22">
        <v>15</v>
      </c>
      <c r="TJ21" s="22">
        <v>15</v>
      </c>
      <c r="TK21" s="28">
        <v>2.6549999999999998</v>
      </c>
      <c r="TL21" s="28">
        <v>2.6880000000000002</v>
      </c>
      <c r="TM21" s="28">
        <v>2.7160000000000002</v>
      </c>
      <c r="TN21" s="28">
        <v>2.746</v>
      </c>
      <c r="TO21" s="28">
        <v>2.7749999999999999</v>
      </c>
      <c r="TP21" s="28">
        <v>2.8050000000000002</v>
      </c>
      <c r="TQ21" s="28">
        <v>2.8281999999999998</v>
      </c>
      <c r="TR21" s="28">
        <v>2.8538000000000001</v>
      </c>
      <c r="TS21" s="28">
        <v>2.8786</v>
      </c>
      <c r="TT21" s="28">
        <v>2.9009999999999998</v>
      </c>
      <c r="TU21" s="28">
        <v>2.9274</v>
      </c>
      <c r="TV21" s="28">
        <v>2.9394</v>
      </c>
      <c r="TW21" s="22">
        <v>15</v>
      </c>
      <c r="TZ21" s="22">
        <v>15</v>
      </c>
      <c r="UA21" s="28">
        <v>2.2909999999999999</v>
      </c>
      <c r="UB21" s="28">
        <v>2.323</v>
      </c>
      <c r="UC21" s="28">
        <v>2.351</v>
      </c>
      <c r="UD21" s="28">
        <v>2.3820000000000001</v>
      </c>
      <c r="UE21" s="28">
        <v>2.41</v>
      </c>
      <c r="UF21" s="28">
        <v>2.4430000000000001</v>
      </c>
      <c r="UG21" s="28">
        <v>2.4729999999999999</v>
      </c>
      <c r="UH21" s="28">
        <v>2.5019999999999998</v>
      </c>
      <c r="UI21" s="28">
        <v>2.5350000000000001</v>
      </c>
      <c r="UJ21" s="28">
        <v>2.5640000000000001</v>
      </c>
      <c r="UK21" s="28">
        <v>2.5960000000000001</v>
      </c>
      <c r="UL21" s="28">
        <v>2.6259999999999999</v>
      </c>
      <c r="UM21" s="22">
        <v>15</v>
      </c>
    </row>
    <row r="22" spans="2:559" s="7" customFormat="1" ht="19.2">
      <c r="B22" s="22">
        <v>16</v>
      </c>
      <c r="C22" s="28">
        <v>18.8735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2">
        <v>16</v>
      </c>
      <c r="R22" s="22">
        <v>16</v>
      </c>
      <c r="S22" s="28">
        <v>20.360700000000001</v>
      </c>
      <c r="T22" s="28">
        <v>20.411000000000001</v>
      </c>
      <c r="U22" s="28">
        <v>20.890799999999999</v>
      </c>
      <c r="V22" s="28">
        <v>19.840699999999998</v>
      </c>
      <c r="W22" s="28">
        <v>20.32</v>
      </c>
      <c r="X22" s="28">
        <v>20.658300000000001</v>
      </c>
      <c r="Y22" s="28">
        <v>20.941500000000001</v>
      </c>
      <c r="Z22" s="28">
        <v>19.873999999999999</v>
      </c>
      <c r="AA22" s="28">
        <v>19.976800000000001</v>
      </c>
      <c r="AB22" s="28">
        <v>20.0398</v>
      </c>
      <c r="AC22" s="28">
        <v>19.401499999999999</v>
      </c>
      <c r="AD22" s="28">
        <v>19.695499999999999</v>
      </c>
      <c r="AE22" s="22">
        <v>16</v>
      </c>
      <c r="AH22" s="22">
        <v>16</v>
      </c>
      <c r="AI22" s="28">
        <v>19.779299999999999</v>
      </c>
      <c r="AJ22" s="28">
        <v>19.962199999999999</v>
      </c>
      <c r="AK22" s="28">
        <v>20.7133</v>
      </c>
      <c r="AL22" s="28">
        <v>20.058299999999999</v>
      </c>
      <c r="AM22" s="28">
        <v>20.049499999999998</v>
      </c>
      <c r="AN22" s="28">
        <v>19.906500000000001</v>
      </c>
      <c r="AO22" s="28">
        <v>19.8992</v>
      </c>
      <c r="AP22" s="28">
        <v>19.890699999999999</v>
      </c>
      <c r="AQ22" s="28">
        <v>19.903500000000001</v>
      </c>
      <c r="AR22" s="28">
        <v>20.607500000000002</v>
      </c>
      <c r="AS22" s="28">
        <v>20.465199999999999</v>
      </c>
      <c r="AT22" s="28">
        <v>21.164999999999999</v>
      </c>
      <c r="AU22" s="22">
        <v>16</v>
      </c>
      <c r="AV22" s="8"/>
      <c r="AW22" s="8"/>
      <c r="AX22" s="22">
        <v>16</v>
      </c>
      <c r="AY22" s="28">
        <v>18.812000000000001</v>
      </c>
      <c r="AZ22" s="28">
        <v>18.645800000000001</v>
      </c>
      <c r="BA22" s="28">
        <v>22.151800000000001</v>
      </c>
      <c r="BB22" s="28">
        <v>23.564499999999999</v>
      </c>
      <c r="BC22" s="28">
        <v>24.270800000000001</v>
      </c>
      <c r="BD22" s="28">
        <v>22.334700000000002</v>
      </c>
      <c r="BE22" s="28">
        <v>22.6173</v>
      </c>
      <c r="BF22" s="28">
        <v>22.262799999999999</v>
      </c>
      <c r="BG22" s="28">
        <v>21.072800000000001</v>
      </c>
      <c r="BH22" s="28">
        <v>21.299800000000001</v>
      </c>
      <c r="BI22" s="28">
        <v>20.5303</v>
      </c>
      <c r="BJ22" s="28">
        <v>20.177800000000001</v>
      </c>
      <c r="BK22" s="22">
        <v>16</v>
      </c>
      <c r="BN22" s="22">
        <v>16</v>
      </c>
      <c r="BO22" s="28">
        <v>19.006399999999999</v>
      </c>
      <c r="BP22" s="28">
        <v>19.3569</v>
      </c>
      <c r="BQ22" s="28">
        <v>19.3233</v>
      </c>
      <c r="BR22" s="28">
        <v>18.771899999999999</v>
      </c>
      <c r="BS22" s="28">
        <v>19.142700000000001</v>
      </c>
      <c r="BT22" s="28">
        <v>19.1645</v>
      </c>
      <c r="BU22" s="28">
        <v>19.0307</v>
      </c>
      <c r="BV22" s="28">
        <v>19.5763</v>
      </c>
      <c r="BW22" s="28">
        <v>19.426500000000001</v>
      </c>
      <c r="BX22" s="28">
        <v>19.2652</v>
      </c>
      <c r="BY22" s="28">
        <v>19.422799999999999</v>
      </c>
      <c r="BZ22" s="28">
        <v>19.1785</v>
      </c>
      <c r="CA22" s="22">
        <v>16</v>
      </c>
      <c r="CD22" s="22">
        <v>16</v>
      </c>
      <c r="CE22" s="28">
        <v>19.044599999999999</v>
      </c>
      <c r="CF22" s="28">
        <v>18.602499999999999</v>
      </c>
      <c r="CG22" s="29">
        <v>18.5854</v>
      </c>
      <c r="CH22" s="28">
        <v>18.135300000000001</v>
      </c>
      <c r="CI22" s="28">
        <v>19.5214</v>
      </c>
      <c r="CJ22" s="28">
        <v>20.6953</v>
      </c>
      <c r="CK22" s="28">
        <v>18.824100000000001</v>
      </c>
      <c r="CL22" s="28">
        <v>18.997299999999999</v>
      </c>
      <c r="CM22" s="28">
        <v>18.877500000000001</v>
      </c>
      <c r="CN22" s="28">
        <v>18.920200000000001</v>
      </c>
      <c r="CO22" s="28">
        <v>20.3979</v>
      </c>
      <c r="CP22" s="28">
        <v>20.256599999999999</v>
      </c>
      <c r="CQ22" s="22">
        <v>16</v>
      </c>
      <c r="CT22" s="22">
        <v>16</v>
      </c>
      <c r="CU22" s="28">
        <v>21.720400000000001</v>
      </c>
      <c r="CV22" s="28">
        <v>20.3507</v>
      </c>
      <c r="CW22" s="28">
        <v>19.654299999999999</v>
      </c>
      <c r="CX22" s="28">
        <v>18.764600000000002</v>
      </c>
      <c r="CY22" s="28">
        <v>18.759399999999999</v>
      </c>
      <c r="CZ22" s="28">
        <v>17.9343</v>
      </c>
      <c r="DA22" s="28">
        <v>17.7422</v>
      </c>
      <c r="DB22" s="28">
        <v>17.775500000000001</v>
      </c>
      <c r="DC22" s="28">
        <v>17.727799999999998</v>
      </c>
      <c r="DD22" s="28">
        <v>18.763100000000001</v>
      </c>
      <c r="DE22" s="28">
        <v>19.133400000000002</v>
      </c>
      <c r="DF22" s="28">
        <v>19.120200000000001</v>
      </c>
      <c r="DG22" s="22">
        <v>16</v>
      </c>
      <c r="DJ22" s="22">
        <v>16</v>
      </c>
      <c r="DK22" s="28">
        <v>17.912099999999999</v>
      </c>
      <c r="DL22" s="28">
        <v>19.039200000000001</v>
      </c>
      <c r="DM22" s="28">
        <v>17.769100000000002</v>
      </c>
      <c r="DN22" s="28">
        <v>17.388000000000002</v>
      </c>
      <c r="DO22" s="28">
        <v>17.991499999999998</v>
      </c>
      <c r="DP22" s="28">
        <v>18.981400000000001</v>
      </c>
      <c r="DQ22" s="28">
        <v>18.306100000000001</v>
      </c>
      <c r="DR22" s="28">
        <v>18.2455</v>
      </c>
      <c r="DS22" s="28">
        <v>19.227499999999999</v>
      </c>
      <c r="DT22" s="28">
        <v>19.039899999999999</v>
      </c>
      <c r="DU22" s="28">
        <v>20.872900000000001</v>
      </c>
      <c r="DV22" s="28">
        <v>20.2226</v>
      </c>
      <c r="DW22" s="22">
        <v>16</v>
      </c>
      <c r="DZ22" s="22">
        <v>16</v>
      </c>
      <c r="EA22" s="28">
        <v>14.564399999999999</v>
      </c>
      <c r="EB22" s="28">
        <v>14.916700000000001</v>
      </c>
      <c r="EC22" s="28">
        <v>15.4003</v>
      </c>
      <c r="ED22" s="28">
        <v>15.2339</v>
      </c>
      <c r="EE22" s="28">
        <v>15.1235</v>
      </c>
      <c r="EF22" s="28">
        <v>15.4129</v>
      </c>
      <c r="EG22" s="28">
        <v>15.672800000000001</v>
      </c>
      <c r="EH22" s="28">
        <v>16.297599999999999</v>
      </c>
      <c r="EI22" s="28">
        <v>16.816800000000001</v>
      </c>
      <c r="EJ22" s="28">
        <v>16.580400000000001</v>
      </c>
      <c r="EK22" s="28">
        <v>16.740600000000001</v>
      </c>
      <c r="EL22" s="28">
        <v>17.377600000000001</v>
      </c>
      <c r="EM22" s="22">
        <v>16</v>
      </c>
      <c r="EP22" s="22">
        <v>16</v>
      </c>
      <c r="EQ22" s="28">
        <v>13.095599999999999</v>
      </c>
      <c r="ER22" s="28">
        <v>13.332000000000001</v>
      </c>
      <c r="ES22" s="28">
        <v>13.2456</v>
      </c>
      <c r="ET22" s="28">
        <v>13.049300000000001</v>
      </c>
      <c r="EU22" s="28">
        <v>12.8993</v>
      </c>
      <c r="EV22" s="28">
        <v>12.9815</v>
      </c>
      <c r="EW22" s="28">
        <v>12.9755</v>
      </c>
      <c r="EX22" s="28">
        <v>13.0717</v>
      </c>
      <c r="EY22" s="28">
        <v>13.2644</v>
      </c>
      <c r="EZ22" s="28">
        <v>13.4094</v>
      </c>
      <c r="FA22" s="28">
        <v>13.599500000000001</v>
      </c>
      <c r="FB22" s="28">
        <v>14.6648</v>
      </c>
      <c r="FC22" s="22">
        <v>16</v>
      </c>
      <c r="FF22" s="22">
        <v>16</v>
      </c>
      <c r="FG22" s="28">
        <v>12.6533</v>
      </c>
      <c r="FH22" s="28">
        <v>12.6982</v>
      </c>
      <c r="FI22" s="28">
        <v>12.454499999999999</v>
      </c>
      <c r="FJ22" s="28">
        <v>12.0824</v>
      </c>
      <c r="FK22" s="28">
        <v>12.1485</v>
      </c>
      <c r="FL22" s="28">
        <v>12.7812</v>
      </c>
      <c r="FM22" s="28">
        <v>12.823399999999999</v>
      </c>
      <c r="FN22" s="28">
        <v>12.7255</v>
      </c>
      <c r="FO22" s="28">
        <v>13.0854</v>
      </c>
      <c r="FP22" s="28">
        <v>13.049200000000001</v>
      </c>
      <c r="FQ22" s="28">
        <v>13.017300000000001</v>
      </c>
      <c r="FR22" s="28">
        <v>12.934200000000001</v>
      </c>
      <c r="FS22" s="22">
        <v>16</v>
      </c>
      <c r="FV22" s="22">
        <v>16</v>
      </c>
      <c r="FW22" s="28">
        <v>13.5982</v>
      </c>
      <c r="FX22" s="28">
        <v>12.7753</v>
      </c>
      <c r="FY22" s="28">
        <v>12.671900000000001</v>
      </c>
      <c r="FZ22" s="28">
        <v>13.073600000000001</v>
      </c>
      <c r="GA22" s="28">
        <v>13.6739</v>
      </c>
      <c r="GB22" s="28">
        <v>13.997400000000001</v>
      </c>
      <c r="GC22" s="28">
        <v>13.4795</v>
      </c>
      <c r="GD22" s="28">
        <v>13.1311</v>
      </c>
      <c r="GE22" s="28">
        <v>12.9749</v>
      </c>
      <c r="GF22" s="28">
        <v>12.8901</v>
      </c>
      <c r="GG22" s="28">
        <v>13.235300000000001</v>
      </c>
      <c r="GH22" s="28">
        <v>12.786899999999999</v>
      </c>
      <c r="GI22" s="22">
        <v>16</v>
      </c>
      <c r="GL22" s="22">
        <v>16</v>
      </c>
      <c r="GM22" s="28">
        <v>12.1028</v>
      </c>
      <c r="GN22" s="28">
        <v>12.046099999999999</v>
      </c>
      <c r="GO22" s="28">
        <v>11.923500000000001</v>
      </c>
      <c r="GP22" s="28">
        <v>11.767899999999999</v>
      </c>
      <c r="GQ22" s="28">
        <v>11.6656</v>
      </c>
      <c r="GR22" s="28">
        <v>11.7982</v>
      </c>
      <c r="GS22" s="28">
        <v>11.701000000000001</v>
      </c>
      <c r="GT22" s="28">
        <v>12.299200000000001</v>
      </c>
      <c r="GU22" s="28">
        <v>12.964600000000001</v>
      </c>
      <c r="GV22" s="28">
        <v>13.364699999999999</v>
      </c>
      <c r="GW22" s="28">
        <v>13.5122</v>
      </c>
      <c r="GX22" s="28">
        <v>13.9412</v>
      </c>
      <c r="GY22" s="22">
        <v>16</v>
      </c>
      <c r="HB22" s="22">
        <v>16</v>
      </c>
      <c r="HC22" s="28">
        <v>12.7364</v>
      </c>
      <c r="HD22" s="28">
        <v>12.9764</v>
      </c>
      <c r="HE22" s="28">
        <v>12.619199999999999</v>
      </c>
      <c r="HF22" s="28">
        <v>12.182700000000001</v>
      </c>
      <c r="HG22" s="28">
        <v>12.350099999999999</v>
      </c>
      <c r="HH22" s="28">
        <v>12.5974</v>
      </c>
      <c r="HI22" s="28">
        <v>12.717599999999999</v>
      </c>
      <c r="HJ22" s="28">
        <v>12.7258</v>
      </c>
      <c r="HK22" s="28">
        <v>12.8355</v>
      </c>
      <c r="HL22" s="28">
        <v>12.4101</v>
      </c>
      <c r="HM22" s="28">
        <v>12.259600000000001</v>
      </c>
      <c r="HN22" s="28">
        <v>12.3703</v>
      </c>
      <c r="HO22" s="22">
        <v>16</v>
      </c>
      <c r="HR22" s="22">
        <v>16</v>
      </c>
      <c r="HS22" s="28">
        <v>14.1083</v>
      </c>
      <c r="HT22" s="28">
        <v>14.6013</v>
      </c>
      <c r="HU22" s="28">
        <v>14.908300000000001</v>
      </c>
      <c r="HV22" s="28">
        <v>13.086</v>
      </c>
      <c r="HW22" s="28">
        <v>13.298299999999999</v>
      </c>
      <c r="HX22" s="28">
        <v>13.399699999999999</v>
      </c>
      <c r="HY22" s="28">
        <v>13.7645</v>
      </c>
      <c r="HZ22" s="28">
        <v>12.8658</v>
      </c>
      <c r="IA22" s="28">
        <v>13.389200000000001</v>
      </c>
      <c r="IB22" s="28">
        <v>13.0779</v>
      </c>
      <c r="IC22" s="28">
        <v>13.206099999999999</v>
      </c>
      <c r="ID22" s="28">
        <v>12.810499999999999</v>
      </c>
      <c r="IE22" s="22">
        <v>16</v>
      </c>
      <c r="IH22" s="22">
        <v>16</v>
      </c>
      <c r="II22" s="28">
        <v>10.914</v>
      </c>
      <c r="IJ22" s="28">
        <v>10.741300000000001</v>
      </c>
      <c r="IK22" s="28">
        <v>10.777799999999999</v>
      </c>
      <c r="IL22" s="28">
        <v>10.491899999999999</v>
      </c>
      <c r="IM22" s="28">
        <v>10.4884</v>
      </c>
      <c r="IN22" s="28">
        <v>10.395</v>
      </c>
      <c r="IO22" s="28">
        <v>10.2925</v>
      </c>
      <c r="IP22" s="28">
        <v>10.1586</v>
      </c>
      <c r="IQ22" s="28">
        <v>10.582800000000001</v>
      </c>
      <c r="IR22" s="28">
        <v>12.345000000000001</v>
      </c>
      <c r="IS22" s="28">
        <v>13.1663</v>
      </c>
      <c r="IT22" s="28">
        <v>13.1821</v>
      </c>
      <c r="IU22" s="22">
        <v>16</v>
      </c>
      <c r="IX22" s="22">
        <v>16</v>
      </c>
      <c r="IY22" s="28">
        <v>10.9765</v>
      </c>
      <c r="IZ22" s="28">
        <v>10.9152</v>
      </c>
      <c r="JA22" s="28">
        <v>11.1867</v>
      </c>
      <c r="JB22" s="28">
        <v>11.013500000000001</v>
      </c>
      <c r="JC22" s="28">
        <v>10.7987</v>
      </c>
      <c r="JD22" s="28">
        <v>10.901199999999999</v>
      </c>
      <c r="JE22" s="28">
        <v>10.7799</v>
      </c>
      <c r="JF22" s="28">
        <v>11.0549</v>
      </c>
      <c r="JG22" s="28">
        <v>11.074299999999999</v>
      </c>
      <c r="JH22" s="28">
        <v>10.825200000000001</v>
      </c>
      <c r="JI22" s="28">
        <v>10.868499999999999</v>
      </c>
      <c r="JJ22" s="28">
        <v>10.8376</v>
      </c>
      <c r="JK22" s="22">
        <v>16</v>
      </c>
      <c r="JN22" s="22">
        <v>16</v>
      </c>
      <c r="JO22" s="28">
        <v>10.5732</v>
      </c>
      <c r="JP22" s="28">
        <v>10.524900000000001</v>
      </c>
      <c r="JQ22" s="28">
        <v>10.6942</v>
      </c>
      <c r="JR22" s="28">
        <v>11.0708</v>
      </c>
      <c r="JS22" s="28">
        <v>11.032500000000001</v>
      </c>
      <c r="JT22" s="28">
        <v>11.4527</v>
      </c>
      <c r="JU22" s="28">
        <v>11.052300000000001</v>
      </c>
      <c r="JV22" s="28">
        <v>10.8028</v>
      </c>
      <c r="JW22" s="28">
        <v>10.9818</v>
      </c>
      <c r="JX22" s="28">
        <v>10.9406</v>
      </c>
      <c r="JY22" s="28">
        <v>10.8675</v>
      </c>
      <c r="JZ22" s="28">
        <v>10.792199999999999</v>
      </c>
      <c r="KA22" s="22">
        <v>16</v>
      </c>
      <c r="KD22" s="22">
        <v>16</v>
      </c>
      <c r="KE22" s="28">
        <v>11.1858</v>
      </c>
      <c r="KF22" s="28">
        <v>11.155799999999999</v>
      </c>
      <c r="KG22" s="28">
        <v>11.135</v>
      </c>
      <c r="KH22" s="28">
        <v>11.103199999999999</v>
      </c>
      <c r="KI22" s="28">
        <v>11.0189</v>
      </c>
      <c r="KJ22" s="28">
        <v>10.8392</v>
      </c>
      <c r="KK22" s="28">
        <v>10.6372</v>
      </c>
      <c r="KL22" s="28">
        <v>10.6343</v>
      </c>
      <c r="KM22" s="28">
        <v>10.8355</v>
      </c>
      <c r="KN22" s="28">
        <v>10.940799999999999</v>
      </c>
      <c r="KO22" s="28">
        <v>10.6897</v>
      </c>
      <c r="KP22" s="28">
        <v>10.693099999999999</v>
      </c>
      <c r="KQ22" s="22">
        <v>16</v>
      </c>
      <c r="KT22" s="22">
        <v>16</v>
      </c>
      <c r="KU22" s="28">
        <v>10.8231</v>
      </c>
      <c r="KV22" s="28">
        <v>10.9626</v>
      </c>
      <c r="KW22" s="28">
        <v>10.963800000000001</v>
      </c>
      <c r="KX22" s="28">
        <v>11.284800000000001</v>
      </c>
      <c r="KY22" s="28">
        <v>11.6281</v>
      </c>
      <c r="KZ22" s="28">
        <v>11.432700000000001</v>
      </c>
      <c r="LA22" s="28">
        <v>11.4552</v>
      </c>
      <c r="LB22" s="28">
        <v>11.4414</v>
      </c>
      <c r="LC22" s="28">
        <v>11.585100000000001</v>
      </c>
      <c r="LD22" s="28">
        <v>11.3195</v>
      </c>
      <c r="LE22" s="28">
        <v>11.381</v>
      </c>
      <c r="LF22" s="28">
        <v>11.2903</v>
      </c>
      <c r="LG22" s="22">
        <v>16</v>
      </c>
      <c r="LJ22" s="22">
        <v>16</v>
      </c>
      <c r="LK22" s="28">
        <v>10.5274</v>
      </c>
      <c r="LL22" s="28">
        <v>10.972300000000001</v>
      </c>
      <c r="LM22" s="28">
        <v>10.817299999999999</v>
      </c>
      <c r="LN22" s="28">
        <v>10.610200000000001</v>
      </c>
      <c r="LO22" s="28">
        <v>10.142799999999999</v>
      </c>
      <c r="LP22" s="28">
        <v>10.577500000000001</v>
      </c>
      <c r="LQ22" s="28">
        <v>10.382099999999999</v>
      </c>
      <c r="LR22" s="28">
        <v>10.696099999999999</v>
      </c>
      <c r="LS22" s="28">
        <v>10.9793</v>
      </c>
      <c r="LT22" s="28">
        <v>11.2347</v>
      </c>
      <c r="LU22" s="28">
        <v>11.175700000000001</v>
      </c>
      <c r="LV22" s="28">
        <v>11.1877</v>
      </c>
      <c r="LW22" s="22">
        <v>16</v>
      </c>
      <c r="LZ22" s="22">
        <v>16</v>
      </c>
      <c r="MA22" s="28">
        <v>9.1922999999999995</v>
      </c>
      <c r="MB22" s="28">
        <v>9.0838000000000001</v>
      </c>
      <c r="MC22" s="28">
        <v>9.1181999999999999</v>
      </c>
      <c r="MD22" s="28">
        <v>9.0748999999999995</v>
      </c>
      <c r="ME22" s="28">
        <v>9.5204000000000004</v>
      </c>
      <c r="MF22" s="28">
        <v>9.6532</v>
      </c>
      <c r="MG22" s="28">
        <v>9.7072000000000003</v>
      </c>
      <c r="MH22" s="28">
        <v>9.9667999999999992</v>
      </c>
      <c r="MI22" s="28">
        <v>10.0023</v>
      </c>
      <c r="MJ22" s="28">
        <v>10.1084</v>
      </c>
      <c r="MK22" s="28">
        <v>10.209199999999999</v>
      </c>
      <c r="ML22" s="28">
        <v>10.1785</v>
      </c>
      <c r="MM22" s="22">
        <v>16</v>
      </c>
      <c r="MP22" s="22">
        <v>16</v>
      </c>
      <c r="MQ22" s="28">
        <v>9.8797999999999995</v>
      </c>
      <c r="MR22" s="28">
        <v>9.7218999999999998</v>
      </c>
      <c r="MS22" s="28">
        <v>9.5760000000000005</v>
      </c>
      <c r="MT22" s="28">
        <v>9.3093000000000004</v>
      </c>
      <c r="MU22" s="28">
        <v>9.1921999999999997</v>
      </c>
      <c r="MV22" s="28">
        <v>9.0523000000000007</v>
      </c>
      <c r="MW22" s="28">
        <v>9.3420000000000005</v>
      </c>
      <c r="MX22" s="28">
        <v>9.1205999999999996</v>
      </c>
      <c r="MY22" s="28">
        <v>9.4748000000000001</v>
      </c>
      <c r="MZ22" s="28">
        <v>9.3537999999999997</v>
      </c>
      <c r="NA22" s="28">
        <v>9.2362000000000002</v>
      </c>
      <c r="NB22" s="28">
        <v>9.1204000000000001</v>
      </c>
      <c r="NC22" s="22">
        <v>16</v>
      </c>
      <c r="NF22" s="22">
        <v>16</v>
      </c>
      <c r="NG22" s="28">
        <v>9.5056999999999992</v>
      </c>
      <c r="NH22" s="28">
        <v>9.3987999999999996</v>
      </c>
      <c r="NI22" s="28">
        <v>9.3126999999999995</v>
      </c>
      <c r="NJ22" s="28">
        <v>9.3987999999999996</v>
      </c>
      <c r="NK22" s="28">
        <v>9.5661000000000005</v>
      </c>
      <c r="NL22" s="28">
        <v>9.7879000000000005</v>
      </c>
      <c r="NM22" s="28">
        <v>9.4367999999999999</v>
      </c>
      <c r="NN22" s="28">
        <v>9.2515999999999998</v>
      </c>
      <c r="NO22" s="28">
        <v>9.3125</v>
      </c>
      <c r="NP22" s="28">
        <v>9.5192999999999994</v>
      </c>
      <c r="NQ22" s="28">
        <v>9.4962999999999997</v>
      </c>
      <c r="NR22" s="28">
        <v>9.4126999999999992</v>
      </c>
      <c r="NS22" s="22">
        <v>16</v>
      </c>
      <c r="NV22" s="22">
        <v>16</v>
      </c>
      <c r="NW22" s="28">
        <v>10.5383</v>
      </c>
      <c r="NX22" s="28">
        <v>9.9486000000000008</v>
      </c>
      <c r="NY22" s="28">
        <v>9.7527000000000008</v>
      </c>
      <c r="NZ22" s="28">
        <v>9.5084999999999997</v>
      </c>
      <c r="OA22" s="28">
        <v>9.2698</v>
      </c>
      <c r="OB22" s="28">
        <v>9.5767000000000007</v>
      </c>
      <c r="OC22" s="28">
        <v>9.3388000000000009</v>
      </c>
      <c r="OD22" s="28">
        <v>9.3533000000000008</v>
      </c>
      <c r="OE22" s="28">
        <v>9.3323</v>
      </c>
      <c r="OF22" s="28">
        <v>9.6308000000000007</v>
      </c>
      <c r="OG22" s="28">
        <v>9.3787000000000003</v>
      </c>
      <c r="OH22" s="28">
        <v>9.4109999999999996</v>
      </c>
      <c r="OI22" s="22">
        <v>16</v>
      </c>
      <c r="OL22" s="22">
        <v>16</v>
      </c>
      <c r="OM22" s="28">
        <v>8.1661999999999999</v>
      </c>
      <c r="ON22" s="28">
        <v>8.4495000000000005</v>
      </c>
      <c r="OO22" s="28">
        <v>8.5672999999999995</v>
      </c>
      <c r="OP22" s="28">
        <v>8.4928000000000008</v>
      </c>
      <c r="OQ22" s="28">
        <v>8.5068999999999999</v>
      </c>
      <c r="OR22" s="28">
        <v>9.0463000000000005</v>
      </c>
      <c r="OS22" s="28">
        <v>8.8547999999999991</v>
      </c>
      <c r="OT22" s="28">
        <v>9.2324999999999999</v>
      </c>
      <c r="OU22" s="28">
        <v>10.523300000000001</v>
      </c>
      <c r="OV22" s="28">
        <v>10.18</v>
      </c>
      <c r="OW22" s="28">
        <v>10.0563</v>
      </c>
      <c r="OX22" s="28">
        <v>9.9490999999999996</v>
      </c>
      <c r="OY22" s="22">
        <v>16</v>
      </c>
      <c r="PB22" s="22">
        <v>16</v>
      </c>
      <c r="PC22" s="28">
        <v>7.8005000000000004</v>
      </c>
      <c r="PD22" s="28">
        <v>7.7897999999999996</v>
      </c>
      <c r="PE22" s="28">
        <v>7.9987000000000004</v>
      </c>
      <c r="PF22" s="28">
        <v>7.9063999999999997</v>
      </c>
      <c r="PG22" s="28">
        <v>7.8925000000000001</v>
      </c>
      <c r="PH22" s="28">
        <v>7.9633000000000003</v>
      </c>
      <c r="PI22" s="28">
        <v>7.8693</v>
      </c>
      <c r="PJ22" s="28">
        <v>7.766</v>
      </c>
      <c r="PK22" s="28">
        <v>7.7793999999999999</v>
      </c>
      <c r="PL22" s="28">
        <v>7.7427000000000001</v>
      </c>
      <c r="PM22" s="28">
        <v>8.3800000000000008</v>
      </c>
      <c r="PN22" s="28">
        <v>8.1997999999999998</v>
      </c>
      <c r="PO22" s="22">
        <v>16</v>
      </c>
      <c r="PR22" s="22">
        <v>16</v>
      </c>
      <c r="PS22" s="28">
        <v>7.4679000000000002</v>
      </c>
      <c r="PT22" s="28">
        <v>7.5297999999999998</v>
      </c>
      <c r="PU22" s="28">
        <v>7.5616000000000003</v>
      </c>
      <c r="PV22" s="28">
        <v>7.4995000000000003</v>
      </c>
      <c r="PW22" s="28">
        <v>7.4074999999999998</v>
      </c>
      <c r="PX22" s="28">
        <v>7.6342999999999996</v>
      </c>
      <c r="PY22" s="28">
        <v>7.6390000000000002</v>
      </c>
      <c r="PZ22" s="28">
        <v>7.4867999999999997</v>
      </c>
      <c r="QA22" s="28">
        <v>7.5416999999999996</v>
      </c>
      <c r="QB22" s="28">
        <v>7.6923000000000004</v>
      </c>
      <c r="QC22" s="28">
        <v>7.9181999999999997</v>
      </c>
      <c r="QD22" s="28">
        <v>7.8723000000000001</v>
      </c>
      <c r="QE22" s="22">
        <v>16</v>
      </c>
      <c r="QH22" s="22">
        <v>16</v>
      </c>
      <c r="QI22" s="28">
        <v>5.6875</v>
      </c>
      <c r="QJ22" s="28">
        <v>5.7675000000000001</v>
      </c>
      <c r="QK22" s="28">
        <v>6.57</v>
      </c>
      <c r="QL22" s="28">
        <v>6.3033000000000001</v>
      </c>
      <c r="QM22" s="28">
        <v>5.9408000000000003</v>
      </c>
      <c r="QN22" s="28">
        <v>6.2275</v>
      </c>
      <c r="QO22" s="28">
        <v>6.0282999999999998</v>
      </c>
      <c r="QP22" s="28">
        <v>6.1425999999999998</v>
      </c>
      <c r="QQ22" s="28">
        <v>6.2775999999999996</v>
      </c>
      <c r="QR22" s="28">
        <v>6.7042000000000002</v>
      </c>
      <c r="QS22" s="28">
        <v>8.0950000000000006</v>
      </c>
      <c r="QT22" s="28">
        <v>7.8192000000000004</v>
      </c>
      <c r="QU22" s="22">
        <v>16</v>
      </c>
      <c r="QX22" s="22">
        <v>16</v>
      </c>
      <c r="QY22" s="28">
        <v>3.1061000000000001</v>
      </c>
      <c r="QZ22" s="28">
        <v>3.1055000000000001</v>
      </c>
      <c r="RA22" s="28">
        <v>3.2848999999999999</v>
      </c>
      <c r="RB22" s="28">
        <v>3.3666</v>
      </c>
      <c r="RC22" s="28">
        <v>3.3325</v>
      </c>
      <c r="RD22" s="28">
        <v>3.3734000000000002</v>
      </c>
      <c r="RE22" s="28">
        <v>3.4024999999999999</v>
      </c>
      <c r="RF22" s="28">
        <v>3.3996</v>
      </c>
      <c r="RG22" s="28">
        <v>3.4167999999999998</v>
      </c>
      <c r="RH22" s="28">
        <v>3.4136000000000002</v>
      </c>
      <c r="RI22" s="28">
        <v>3.4512999999999998</v>
      </c>
      <c r="RJ22" s="28">
        <v>3.4542999999999999</v>
      </c>
      <c r="RK22" s="22">
        <v>16</v>
      </c>
      <c r="RN22" s="22">
        <v>16</v>
      </c>
      <c r="RO22" s="28">
        <v>3.113</v>
      </c>
      <c r="RP22" s="28">
        <v>3.0966999999999998</v>
      </c>
      <c r="RQ22" s="28">
        <v>3.1196000000000002</v>
      </c>
      <c r="RR22" s="28">
        <v>3.0989</v>
      </c>
      <c r="RS22" s="28">
        <v>3.1309999999999998</v>
      </c>
      <c r="RT22" s="28">
        <v>3.1221999999999999</v>
      </c>
      <c r="RU22" s="28">
        <v>3.1234999999999999</v>
      </c>
      <c r="RV22" s="28">
        <v>3.1164999999999998</v>
      </c>
      <c r="RW22" s="28">
        <v>3.1109</v>
      </c>
      <c r="RX22" s="28">
        <v>3.1135000000000002</v>
      </c>
      <c r="RY22" s="28">
        <v>3.2324999999999999</v>
      </c>
      <c r="RZ22" s="28">
        <v>3.1118000000000001</v>
      </c>
      <c r="SA22" s="22">
        <v>16</v>
      </c>
      <c r="SD22" s="22">
        <v>16</v>
      </c>
      <c r="SE22" s="28">
        <v>3.0642</v>
      </c>
      <c r="SF22" s="28">
        <v>3.0640000000000001</v>
      </c>
      <c r="SG22" s="28">
        <v>3.0609999999999999</v>
      </c>
      <c r="SH22" s="28">
        <v>3.0649999999999999</v>
      </c>
      <c r="SI22" s="28">
        <v>3.1093999999999999</v>
      </c>
      <c r="SJ22" s="28">
        <v>3.1191</v>
      </c>
      <c r="SK22" s="28">
        <v>3.1173999999999999</v>
      </c>
      <c r="SL22" s="28">
        <v>3.0733000000000001</v>
      </c>
      <c r="SM22" s="28">
        <v>3.0941000000000001</v>
      </c>
      <c r="SN22" s="28">
        <v>3.1360000000000001</v>
      </c>
      <c r="SO22" s="28">
        <v>3.1156000000000001</v>
      </c>
      <c r="SP22" s="28">
        <v>3.1168999999999998</v>
      </c>
      <c r="SQ22" s="22">
        <v>16</v>
      </c>
      <c r="ST22" s="22">
        <v>16</v>
      </c>
      <c r="SU22" s="28">
        <v>2.9521999999999999</v>
      </c>
      <c r="SV22" s="28">
        <v>2.9645999999999999</v>
      </c>
      <c r="SW22" s="28">
        <v>2.9758</v>
      </c>
      <c r="SX22" s="28">
        <v>2.9874000000000001</v>
      </c>
      <c r="SY22" s="28">
        <v>3.0002</v>
      </c>
      <c r="SZ22" s="28">
        <v>3.0122</v>
      </c>
      <c r="TA22" s="28">
        <v>3.0238</v>
      </c>
      <c r="TB22" s="28">
        <v>3.0369999999999999</v>
      </c>
      <c r="TC22" s="28">
        <v>3.0486</v>
      </c>
      <c r="TD22" s="28">
        <v>3.0621999999999998</v>
      </c>
      <c r="TE22" s="28">
        <v>3.07179</v>
      </c>
      <c r="TF22" s="28">
        <v>3.0629900000000001</v>
      </c>
      <c r="TG22" s="22">
        <v>16</v>
      </c>
      <c r="TJ22" s="22">
        <v>16</v>
      </c>
      <c r="TK22" s="28">
        <v>2.6560000000000001</v>
      </c>
      <c r="TL22" s="28">
        <v>2.6890000000000001</v>
      </c>
      <c r="TM22" s="28">
        <v>2.7170000000000001</v>
      </c>
      <c r="TN22" s="28">
        <v>2.746</v>
      </c>
      <c r="TO22" s="28">
        <v>2.778</v>
      </c>
      <c r="TP22" s="28">
        <v>2.8058000000000001</v>
      </c>
      <c r="TQ22" s="28">
        <v>2.8281999999999998</v>
      </c>
      <c r="TR22" s="28">
        <v>2.8546</v>
      </c>
      <c r="TS22" s="28">
        <v>2.8786</v>
      </c>
      <c r="TT22" s="28">
        <v>2.9018000000000002</v>
      </c>
      <c r="TU22" s="28">
        <v>2.9278</v>
      </c>
      <c r="TV22" s="28">
        <v>2.9394</v>
      </c>
      <c r="TW22" s="22">
        <v>16</v>
      </c>
      <c r="TZ22" s="22">
        <v>16</v>
      </c>
      <c r="UA22" s="28">
        <v>2.2909999999999999</v>
      </c>
      <c r="UB22" s="28">
        <v>2.3239999999999998</v>
      </c>
      <c r="UC22" s="28">
        <v>2.3519999999999999</v>
      </c>
      <c r="UD22" s="28">
        <v>2.3820000000000001</v>
      </c>
      <c r="UE22" s="28">
        <v>2.411</v>
      </c>
      <c r="UF22" s="28">
        <v>2.444</v>
      </c>
      <c r="UG22" s="28">
        <v>2.4729999999999999</v>
      </c>
      <c r="UH22" s="28">
        <v>2.5049999999999999</v>
      </c>
      <c r="UI22" s="28">
        <v>2.536</v>
      </c>
      <c r="UJ22" s="28">
        <v>2.5640000000000001</v>
      </c>
      <c r="UK22" s="28">
        <v>2.597</v>
      </c>
      <c r="UL22" s="28">
        <v>2.6269999999999998</v>
      </c>
      <c r="UM22" s="22">
        <v>16</v>
      </c>
    </row>
    <row r="23" spans="2:559" s="7" customFormat="1" ht="19.2">
      <c r="B23" s="22">
        <v>17</v>
      </c>
      <c r="C23" s="28">
        <v>18.792200000000001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2">
        <v>17</v>
      </c>
      <c r="R23" s="22">
        <v>17</v>
      </c>
      <c r="S23" s="28">
        <v>20.360700000000001</v>
      </c>
      <c r="T23" s="28">
        <v>20.3992</v>
      </c>
      <c r="U23" s="28">
        <v>20.874300000000002</v>
      </c>
      <c r="V23" s="28">
        <v>19.840699999999998</v>
      </c>
      <c r="W23" s="28">
        <v>20.144300000000001</v>
      </c>
      <c r="X23" s="28">
        <v>20.6675</v>
      </c>
      <c r="Y23" s="28">
        <v>20.941500000000001</v>
      </c>
      <c r="Z23" s="28">
        <v>19.861799999999999</v>
      </c>
      <c r="AA23" s="28">
        <v>19.976800000000001</v>
      </c>
      <c r="AB23" s="28">
        <v>20.0398</v>
      </c>
      <c r="AC23" s="28">
        <v>19.381799999999998</v>
      </c>
      <c r="AD23" s="28">
        <v>19.796299999999999</v>
      </c>
      <c r="AE23" s="22">
        <v>17</v>
      </c>
      <c r="AH23" s="22">
        <v>17</v>
      </c>
      <c r="AI23" s="28">
        <v>19.779299999999999</v>
      </c>
      <c r="AJ23" s="28">
        <v>19.951799999999999</v>
      </c>
      <c r="AK23" s="28">
        <v>20.7637</v>
      </c>
      <c r="AL23" s="28">
        <v>19.927</v>
      </c>
      <c r="AM23" s="28">
        <v>20.049499999999998</v>
      </c>
      <c r="AN23" s="28">
        <v>20.1235</v>
      </c>
      <c r="AO23" s="28">
        <v>19.941199999999998</v>
      </c>
      <c r="AP23" s="28">
        <v>19.860299999999999</v>
      </c>
      <c r="AQ23" s="28">
        <v>19.903500000000001</v>
      </c>
      <c r="AR23" s="28">
        <v>20.607500000000002</v>
      </c>
      <c r="AS23" s="28">
        <v>20.507200000000001</v>
      </c>
      <c r="AT23" s="28">
        <v>21.2393</v>
      </c>
      <c r="AU23" s="22">
        <v>17</v>
      </c>
      <c r="AV23" s="8"/>
      <c r="AW23" s="8"/>
      <c r="AX23" s="22">
        <v>17</v>
      </c>
      <c r="AY23" s="28">
        <v>18.807700000000001</v>
      </c>
      <c r="AZ23" s="28">
        <v>18.645800000000001</v>
      </c>
      <c r="BA23" s="28">
        <v>22.151800000000001</v>
      </c>
      <c r="BB23" s="28">
        <v>24.115500000000001</v>
      </c>
      <c r="BC23" s="28">
        <v>24.270800000000001</v>
      </c>
      <c r="BD23" s="28">
        <v>22.543500000000002</v>
      </c>
      <c r="BE23" s="28">
        <v>22.364699999999999</v>
      </c>
      <c r="BF23" s="28">
        <v>22.262799999999999</v>
      </c>
      <c r="BG23" s="28">
        <v>21.072800000000001</v>
      </c>
      <c r="BH23" s="28">
        <v>21.383199999999999</v>
      </c>
      <c r="BI23" s="28">
        <v>20.5303</v>
      </c>
      <c r="BJ23" s="28">
        <v>20.1113</v>
      </c>
      <c r="BK23" s="22">
        <v>17</v>
      </c>
      <c r="BN23" s="22">
        <v>17</v>
      </c>
      <c r="BO23" s="28">
        <v>19.0457</v>
      </c>
      <c r="BP23" s="28">
        <v>19.3569</v>
      </c>
      <c r="BQ23" s="28">
        <v>19.3233</v>
      </c>
      <c r="BR23" s="28">
        <v>18.8489</v>
      </c>
      <c r="BS23" s="28">
        <v>19.1236</v>
      </c>
      <c r="BT23" s="28">
        <v>19.1645</v>
      </c>
      <c r="BU23" s="28">
        <v>18.9803</v>
      </c>
      <c r="BV23" s="28">
        <v>19.636500000000002</v>
      </c>
      <c r="BW23" s="28">
        <v>19.426500000000001</v>
      </c>
      <c r="BX23" s="28">
        <v>19.251999999999999</v>
      </c>
      <c r="BY23" s="28">
        <v>19.422799999999999</v>
      </c>
      <c r="BZ23" s="28">
        <v>19.045500000000001</v>
      </c>
      <c r="CA23" s="22">
        <v>17</v>
      </c>
      <c r="CD23" s="22">
        <v>17</v>
      </c>
      <c r="CE23" s="28">
        <v>18.811299999999999</v>
      </c>
      <c r="CF23" s="28">
        <v>18.515899999999998</v>
      </c>
      <c r="CG23" s="29">
        <v>18.702300000000001</v>
      </c>
      <c r="CH23" s="28">
        <v>18.087</v>
      </c>
      <c r="CI23" s="28">
        <v>19.785399999999999</v>
      </c>
      <c r="CJ23" s="28">
        <v>20.6953</v>
      </c>
      <c r="CK23" s="28">
        <v>18.885400000000001</v>
      </c>
      <c r="CL23" s="28">
        <v>19.233899999999998</v>
      </c>
      <c r="CM23" s="28">
        <v>18.877500000000001</v>
      </c>
      <c r="CN23" s="28">
        <v>18.8096</v>
      </c>
      <c r="CO23" s="28">
        <v>20.3371</v>
      </c>
      <c r="CP23" s="28">
        <v>20.256599999999999</v>
      </c>
      <c r="CQ23" s="22">
        <v>17</v>
      </c>
      <c r="CT23" s="22">
        <v>17</v>
      </c>
      <c r="CU23" s="28">
        <v>21.632999999999999</v>
      </c>
      <c r="CV23" s="28">
        <v>20.325399999999998</v>
      </c>
      <c r="CW23" s="28">
        <v>19.449300000000001</v>
      </c>
      <c r="CX23" s="28">
        <v>18.764600000000002</v>
      </c>
      <c r="CY23" s="28">
        <v>18.670000000000002</v>
      </c>
      <c r="CZ23" s="28">
        <v>18.115400000000001</v>
      </c>
      <c r="DA23" s="28">
        <v>17.7422</v>
      </c>
      <c r="DB23" s="28">
        <v>17.848299999999998</v>
      </c>
      <c r="DC23" s="28">
        <v>17.727799999999998</v>
      </c>
      <c r="DD23" s="28">
        <v>18.9008</v>
      </c>
      <c r="DE23" s="28">
        <v>19.226800000000001</v>
      </c>
      <c r="DF23" s="28">
        <v>19.120200000000001</v>
      </c>
      <c r="DG23" s="22">
        <v>17</v>
      </c>
      <c r="DJ23" s="22">
        <v>17</v>
      </c>
      <c r="DK23" s="28">
        <v>17.912099999999999</v>
      </c>
      <c r="DL23" s="28">
        <v>18.847100000000001</v>
      </c>
      <c r="DM23" s="28">
        <v>17.925999999999998</v>
      </c>
      <c r="DN23" s="28">
        <v>17.388000000000002</v>
      </c>
      <c r="DO23" s="28">
        <v>18.156199999999998</v>
      </c>
      <c r="DP23" s="28">
        <v>18.8672</v>
      </c>
      <c r="DQ23" s="28">
        <v>18.306100000000001</v>
      </c>
      <c r="DR23" s="28">
        <v>18.036300000000001</v>
      </c>
      <c r="DS23" s="28">
        <v>19.227499999999999</v>
      </c>
      <c r="DT23" s="28">
        <v>19.039899999999999</v>
      </c>
      <c r="DU23" s="28">
        <v>20.349</v>
      </c>
      <c r="DV23" s="28">
        <v>20.597300000000001</v>
      </c>
      <c r="DW23" s="22">
        <v>17</v>
      </c>
      <c r="DZ23" s="22">
        <v>17</v>
      </c>
      <c r="EA23" s="28">
        <v>14.582100000000001</v>
      </c>
      <c r="EB23" s="28">
        <v>14.8605</v>
      </c>
      <c r="EC23" s="28">
        <v>15.4003</v>
      </c>
      <c r="ED23" s="28">
        <v>15.389099999999999</v>
      </c>
      <c r="EE23" s="28">
        <v>15.1235</v>
      </c>
      <c r="EF23" s="28">
        <v>15.432700000000001</v>
      </c>
      <c r="EG23" s="28">
        <v>15.747</v>
      </c>
      <c r="EH23" s="28">
        <v>16.354099999999999</v>
      </c>
      <c r="EI23" s="28">
        <v>16.816800000000001</v>
      </c>
      <c r="EJ23" s="28">
        <v>16.580400000000001</v>
      </c>
      <c r="EK23" s="28">
        <v>16.740600000000001</v>
      </c>
      <c r="EL23" s="28">
        <v>17.152899999999999</v>
      </c>
      <c r="EM23" s="22">
        <v>17</v>
      </c>
      <c r="EP23" s="22">
        <v>17</v>
      </c>
      <c r="EQ23" s="28">
        <v>13.168900000000001</v>
      </c>
      <c r="ER23" s="28">
        <v>13.332000000000001</v>
      </c>
      <c r="ES23" s="28">
        <v>13.2456</v>
      </c>
      <c r="ET23" s="28">
        <v>13.098599999999999</v>
      </c>
      <c r="EU23" s="28">
        <v>12.9755</v>
      </c>
      <c r="EV23" s="28">
        <v>13.016400000000001</v>
      </c>
      <c r="EW23" s="28">
        <v>12.9611</v>
      </c>
      <c r="EX23" s="28">
        <v>13.0717</v>
      </c>
      <c r="EY23" s="28">
        <v>13.2644</v>
      </c>
      <c r="EZ23" s="28">
        <v>13.542299999999999</v>
      </c>
      <c r="FA23" s="28">
        <v>13.599500000000001</v>
      </c>
      <c r="FB23" s="28">
        <v>14.785299999999999</v>
      </c>
      <c r="FC23" s="22">
        <v>17</v>
      </c>
      <c r="FF23" s="22">
        <v>17</v>
      </c>
      <c r="FG23" s="28">
        <v>12.6526</v>
      </c>
      <c r="FH23" s="28">
        <v>12.6982</v>
      </c>
      <c r="FI23" s="28">
        <v>12.454499999999999</v>
      </c>
      <c r="FJ23" s="28">
        <v>12.1729</v>
      </c>
      <c r="FK23" s="28">
        <v>12.231299999999999</v>
      </c>
      <c r="FL23" s="28">
        <v>12.7812</v>
      </c>
      <c r="FM23" s="28">
        <v>12.7387</v>
      </c>
      <c r="FN23" s="28">
        <v>12.862500000000001</v>
      </c>
      <c r="FO23" s="28">
        <v>13.0854</v>
      </c>
      <c r="FP23" s="28">
        <v>12.9725</v>
      </c>
      <c r="FQ23" s="28">
        <v>13.017300000000001</v>
      </c>
      <c r="FR23" s="28">
        <v>12.951499999999999</v>
      </c>
      <c r="FS23" s="22">
        <v>17</v>
      </c>
      <c r="FV23" s="22">
        <v>17</v>
      </c>
      <c r="FW23" s="28">
        <v>13.626300000000001</v>
      </c>
      <c r="FX23" s="28">
        <v>12.7658</v>
      </c>
      <c r="FY23" s="28">
        <v>12.6591</v>
      </c>
      <c r="FZ23" s="28">
        <v>13.145799999999999</v>
      </c>
      <c r="GA23" s="28">
        <v>13.7302</v>
      </c>
      <c r="GB23" s="28">
        <v>13.997400000000001</v>
      </c>
      <c r="GC23" s="28">
        <v>13.344900000000001</v>
      </c>
      <c r="GD23" s="28">
        <v>13.1639</v>
      </c>
      <c r="GE23" s="28">
        <v>12.9749</v>
      </c>
      <c r="GF23" s="28">
        <v>12.8188</v>
      </c>
      <c r="GG23" s="28">
        <v>13.2522</v>
      </c>
      <c r="GH23" s="28">
        <v>12.786899999999999</v>
      </c>
      <c r="GI23" s="22">
        <v>17</v>
      </c>
      <c r="GL23" s="22">
        <v>17</v>
      </c>
      <c r="GM23" s="28">
        <v>12.1028</v>
      </c>
      <c r="GN23" s="28">
        <v>12.114000000000001</v>
      </c>
      <c r="GO23" s="28">
        <v>12.017099999999999</v>
      </c>
      <c r="GP23" s="28">
        <v>11.767899999999999</v>
      </c>
      <c r="GQ23" s="28">
        <v>11.7219</v>
      </c>
      <c r="GR23" s="28">
        <v>11.8751</v>
      </c>
      <c r="GS23" s="28">
        <v>11.701000000000001</v>
      </c>
      <c r="GT23" s="28">
        <v>12.2424</v>
      </c>
      <c r="GU23" s="28">
        <v>12.964600000000001</v>
      </c>
      <c r="GV23" s="28">
        <v>13.364699999999999</v>
      </c>
      <c r="GW23" s="28">
        <v>13.5672</v>
      </c>
      <c r="GX23" s="28">
        <v>13.823</v>
      </c>
      <c r="GY23" s="22">
        <v>17</v>
      </c>
      <c r="HB23" s="22">
        <v>17</v>
      </c>
      <c r="HC23" s="28">
        <v>12.7364</v>
      </c>
      <c r="HD23" s="28">
        <v>12.942</v>
      </c>
      <c r="HE23" s="28">
        <v>12.5527</v>
      </c>
      <c r="HF23" s="28">
        <v>12.1934</v>
      </c>
      <c r="HG23" s="28">
        <v>12.350099999999999</v>
      </c>
      <c r="HH23" s="28">
        <v>12.600099999999999</v>
      </c>
      <c r="HI23" s="28">
        <v>12.779500000000001</v>
      </c>
      <c r="HJ23" s="28">
        <v>12.7256</v>
      </c>
      <c r="HK23" s="28">
        <v>12.8355</v>
      </c>
      <c r="HL23" s="28">
        <v>12.4101</v>
      </c>
      <c r="HM23" s="28">
        <v>12.262600000000001</v>
      </c>
      <c r="HN23" s="28">
        <v>12.3963</v>
      </c>
      <c r="HO23" s="22">
        <v>17</v>
      </c>
      <c r="HR23" s="22">
        <v>17</v>
      </c>
      <c r="HS23" s="28">
        <v>14.219200000000001</v>
      </c>
      <c r="HT23" s="28">
        <v>14.432600000000001</v>
      </c>
      <c r="HU23" s="28">
        <v>14.908300000000001</v>
      </c>
      <c r="HV23" s="28">
        <v>13.1683</v>
      </c>
      <c r="HW23" s="28">
        <v>13.298299999999999</v>
      </c>
      <c r="HX23" s="28">
        <v>13.452299999999999</v>
      </c>
      <c r="HY23" s="28">
        <v>13.6526</v>
      </c>
      <c r="HZ23" s="28">
        <v>12.8658</v>
      </c>
      <c r="IA23" s="28">
        <v>13.389200000000001</v>
      </c>
      <c r="IB23" s="28">
        <v>13.0884</v>
      </c>
      <c r="IC23" s="28">
        <v>13.206099999999999</v>
      </c>
      <c r="ID23" s="28">
        <v>12.7234</v>
      </c>
      <c r="IE23" s="22">
        <v>17</v>
      </c>
      <c r="IH23" s="22">
        <v>17</v>
      </c>
      <c r="II23" s="28">
        <v>10.920299999999999</v>
      </c>
      <c r="IJ23" s="28">
        <v>10.741300000000001</v>
      </c>
      <c r="IK23" s="28">
        <v>10.777799999999999</v>
      </c>
      <c r="IL23" s="28">
        <v>10.484299999999999</v>
      </c>
      <c r="IM23" s="28">
        <v>10.476900000000001</v>
      </c>
      <c r="IN23" s="28">
        <v>10.365500000000001</v>
      </c>
      <c r="IO23" s="28">
        <v>10.322900000000001</v>
      </c>
      <c r="IP23" s="28">
        <v>10.1586</v>
      </c>
      <c r="IQ23" s="28">
        <v>10.582800000000001</v>
      </c>
      <c r="IR23" s="28">
        <v>12.719200000000001</v>
      </c>
      <c r="IS23" s="28">
        <v>13.1663</v>
      </c>
      <c r="IT23" s="28">
        <v>13.3317</v>
      </c>
      <c r="IU23" s="22">
        <v>17</v>
      </c>
      <c r="IX23" s="22">
        <v>17</v>
      </c>
      <c r="IY23" s="28">
        <v>10.9419</v>
      </c>
      <c r="IZ23" s="28">
        <v>10.952199999999999</v>
      </c>
      <c r="JA23" s="28">
        <v>11.1348</v>
      </c>
      <c r="JB23" s="28">
        <v>10.9917</v>
      </c>
      <c r="JC23" s="28">
        <v>10.8032</v>
      </c>
      <c r="JD23" s="28">
        <v>10.901199999999999</v>
      </c>
      <c r="JE23" s="28">
        <v>10.7608</v>
      </c>
      <c r="JF23" s="28">
        <v>11.114800000000001</v>
      </c>
      <c r="JG23" s="28">
        <v>11.074299999999999</v>
      </c>
      <c r="JH23" s="28">
        <v>10.8133</v>
      </c>
      <c r="JI23" s="28">
        <v>10.9145</v>
      </c>
      <c r="JJ23" s="28">
        <v>10.8376</v>
      </c>
      <c r="JK23" s="22">
        <v>17</v>
      </c>
      <c r="JN23" s="22">
        <v>17</v>
      </c>
      <c r="JO23" s="28">
        <v>10.575200000000001</v>
      </c>
      <c r="JP23" s="28">
        <v>10.516999999999999</v>
      </c>
      <c r="JQ23" s="28">
        <v>10.666700000000001</v>
      </c>
      <c r="JR23" s="28">
        <v>11.0708</v>
      </c>
      <c r="JS23" s="28">
        <v>11.1532</v>
      </c>
      <c r="JT23" s="28">
        <v>11.411300000000001</v>
      </c>
      <c r="JU23" s="28">
        <v>11.052300000000001</v>
      </c>
      <c r="JV23" s="28">
        <v>10.824999999999999</v>
      </c>
      <c r="JW23" s="28">
        <v>10.9818</v>
      </c>
      <c r="JX23" s="28">
        <v>10.8765</v>
      </c>
      <c r="JY23" s="28">
        <v>10.859500000000001</v>
      </c>
      <c r="JZ23" s="28">
        <v>10.792199999999999</v>
      </c>
      <c r="KA23" s="22">
        <v>17</v>
      </c>
      <c r="KD23" s="22">
        <v>17</v>
      </c>
      <c r="KE23" s="28">
        <v>11.1858</v>
      </c>
      <c r="KF23" s="28">
        <v>11.153499999999999</v>
      </c>
      <c r="KG23" s="28">
        <v>11.203799999999999</v>
      </c>
      <c r="KH23" s="28">
        <v>11.103199999999999</v>
      </c>
      <c r="KI23" s="28">
        <v>11.029</v>
      </c>
      <c r="KJ23" s="28">
        <v>10.8332</v>
      </c>
      <c r="KK23" s="28">
        <v>10.6372</v>
      </c>
      <c r="KL23" s="28">
        <v>10.603999999999999</v>
      </c>
      <c r="KM23" s="28">
        <v>10.8355</v>
      </c>
      <c r="KN23" s="28">
        <v>10.940799999999999</v>
      </c>
      <c r="KO23" s="28">
        <v>10.650499999999999</v>
      </c>
      <c r="KP23" s="28">
        <v>10.7378</v>
      </c>
      <c r="KQ23" s="22">
        <v>17</v>
      </c>
      <c r="KT23" s="22">
        <v>17</v>
      </c>
      <c r="KU23" s="28">
        <v>10.8514</v>
      </c>
      <c r="KV23" s="28">
        <v>10.9627</v>
      </c>
      <c r="KW23" s="28">
        <v>10.9621</v>
      </c>
      <c r="KX23" s="28">
        <v>11.27</v>
      </c>
      <c r="KY23" s="28">
        <v>11.6281</v>
      </c>
      <c r="KZ23" s="28">
        <v>11.4259</v>
      </c>
      <c r="LA23" s="28">
        <v>11.4909</v>
      </c>
      <c r="LB23" s="28">
        <v>11.4048</v>
      </c>
      <c r="LC23" s="28">
        <v>11.585100000000001</v>
      </c>
      <c r="LD23" s="28">
        <v>11.3195</v>
      </c>
      <c r="LE23" s="28">
        <v>11.3583</v>
      </c>
      <c r="LF23" s="28">
        <v>11.2028</v>
      </c>
      <c r="LG23" s="22">
        <v>17</v>
      </c>
      <c r="LJ23" s="22">
        <v>17</v>
      </c>
      <c r="LK23" s="28">
        <v>10.487500000000001</v>
      </c>
      <c r="LL23" s="28">
        <v>10.972300000000001</v>
      </c>
      <c r="LM23" s="28">
        <v>10.817299999999999</v>
      </c>
      <c r="LN23" s="28">
        <v>10.639799999999999</v>
      </c>
      <c r="LO23" s="28">
        <v>10.2927</v>
      </c>
      <c r="LP23" s="28">
        <v>10.5946</v>
      </c>
      <c r="LQ23" s="28">
        <v>10.4308</v>
      </c>
      <c r="LR23" s="28">
        <v>10.696099999999999</v>
      </c>
      <c r="LS23" s="28">
        <v>10.9793</v>
      </c>
      <c r="LT23" s="28">
        <v>11.1785</v>
      </c>
      <c r="LU23" s="28">
        <v>11.175700000000001</v>
      </c>
      <c r="LV23" s="28">
        <v>11.2728</v>
      </c>
      <c r="LW23" s="22">
        <v>17</v>
      </c>
      <c r="LZ23" s="22">
        <v>17</v>
      </c>
      <c r="MA23" s="28">
        <v>9.1710999999999991</v>
      </c>
      <c r="MB23" s="28">
        <v>9.0838000000000001</v>
      </c>
      <c r="MC23" s="28">
        <v>9.1181999999999999</v>
      </c>
      <c r="MD23" s="28">
        <v>9.1714000000000002</v>
      </c>
      <c r="ME23" s="28">
        <v>9.4717000000000002</v>
      </c>
      <c r="MF23" s="28">
        <v>9.6532</v>
      </c>
      <c r="MG23" s="28">
        <v>9.7522000000000002</v>
      </c>
      <c r="MH23" s="28">
        <v>9.9291999999999998</v>
      </c>
      <c r="MI23" s="28">
        <v>10.0023</v>
      </c>
      <c r="MJ23" s="28">
        <v>10.068300000000001</v>
      </c>
      <c r="MK23" s="28">
        <v>10.209199999999999</v>
      </c>
      <c r="ML23" s="28">
        <v>10.185</v>
      </c>
      <c r="MM23" s="22">
        <v>17</v>
      </c>
      <c r="MP23" s="22">
        <v>17</v>
      </c>
      <c r="MQ23" s="28">
        <v>9.9017999999999997</v>
      </c>
      <c r="MR23" s="28">
        <v>9.6762999999999995</v>
      </c>
      <c r="MS23" s="28">
        <v>9.5843000000000007</v>
      </c>
      <c r="MT23" s="28">
        <v>9.2908000000000008</v>
      </c>
      <c r="MU23" s="28">
        <v>9.1609999999999996</v>
      </c>
      <c r="MV23" s="28">
        <v>9.0523000000000007</v>
      </c>
      <c r="MW23" s="28">
        <v>9.3542000000000005</v>
      </c>
      <c r="MX23" s="28">
        <v>9.0939999999999994</v>
      </c>
      <c r="MY23" s="28">
        <v>9.4748000000000001</v>
      </c>
      <c r="MZ23" s="28">
        <v>9.2752999999999997</v>
      </c>
      <c r="NA23" s="28">
        <v>9.2027999999999999</v>
      </c>
      <c r="NB23" s="28">
        <v>9.1204000000000001</v>
      </c>
      <c r="NC23" s="22">
        <v>17</v>
      </c>
      <c r="NF23" s="22">
        <v>17</v>
      </c>
      <c r="NG23" s="28">
        <v>9.5056999999999992</v>
      </c>
      <c r="NH23" s="28">
        <v>9.3879999999999999</v>
      </c>
      <c r="NI23" s="28">
        <v>9.3436000000000003</v>
      </c>
      <c r="NJ23" s="28">
        <v>9.3987999999999996</v>
      </c>
      <c r="NK23" s="28">
        <v>9.5820000000000007</v>
      </c>
      <c r="NL23" s="28">
        <v>9.8477999999999994</v>
      </c>
      <c r="NM23" s="28">
        <v>9.4367999999999999</v>
      </c>
      <c r="NN23" s="28">
        <v>9.2504000000000008</v>
      </c>
      <c r="NO23" s="28">
        <v>9.3125</v>
      </c>
      <c r="NP23" s="28">
        <v>9.5878999999999994</v>
      </c>
      <c r="NQ23" s="28">
        <v>9.4625000000000004</v>
      </c>
      <c r="NR23" s="28">
        <v>9.4126999999999992</v>
      </c>
      <c r="NS23" s="22">
        <v>17</v>
      </c>
      <c r="NV23" s="22">
        <v>17</v>
      </c>
      <c r="NW23" s="28">
        <v>10.5383</v>
      </c>
      <c r="NX23" s="28">
        <v>9.9314999999999998</v>
      </c>
      <c r="NY23" s="28">
        <v>9.7052999999999994</v>
      </c>
      <c r="NZ23" s="28">
        <v>9.5429999999999993</v>
      </c>
      <c r="OA23" s="28">
        <v>9.2698</v>
      </c>
      <c r="OB23" s="28">
        <v>9.5017999999999994</v>
      </c>
      <c r="OC23" s="28">
        <v>9.3343000000000007</v>
      </c>
      <c r="OD23" s="28">
        <v>9.3882999999999992</v>
      </c>
      <c r="OE23" s="28">
        <v>9.3323</v>
      </c>
      <c r="OF23" s="28">
        <v>9.6308000000000007</v>
      </c>
      <c r="OG23" s="28">
        <v>9.3684999999999992</v>
      </c>
      <c r="OH23" s="28">
        <v>9.3789999999999996</v>
      </c>
      <c r="OI23" s="22">
        <v>17</v>
      </c>
      <c r="OL23" s="22">
        <v>17</v>
      </c>
      <c r="OM23" s="28">
        <v>8.2761999999999993</v>
      </c>
      <c r="ON23" s="28">
        <v>8.4651999999999994</v>
      </c>
      <c r="OO23" s="28">
        <v>8.5594999999999999</v>
      </c>
      <c r="OP23" s="28">
        <v>8.4716000000000005</v>
      </c>
      <c r="OQ23" s="28">
        <v>8.5068999999999999</v>
      </c>
      <c r="OR23" s="28">
        <v>9.0374999999999996</v>
      </c>
      <c r="OS23" s="28">
        <v>8.8535000000000004</v>
      </c>
      <c r="OT23" s="28">
        <v>9.2324999999999999</v>
      </c>
      <c r="OU23" s="28">
        <v>10.523300000000001</v>
      </c>
      <c r="OV23" s="28">
        <v>10.1312</v>
      </c>
      <c r="OW23" s="28">
        <v>9.9964999999999993</v>
      </c>
      <c r="OX23" s="28">
        <v>9.9497999999999998</v>
      </c>
      <c r="OY23" s="22">
        <v>17</v>
      </c>
      <c r="PB23" s="22">
        <v>17</v>
      </c>
      <c r="PC23" s="28">
        <v>7.8085000000000004</v>
      </c>
      <c r="PD23" s="28">
        <v>7.7897999999999996</v>
      </c>
      <c r="PE23" s="28">
        <v>7.9987000000000004</v>
      </c>
      <c r="PF23" s="28">
        <v>7.8876999999999997</v>
      </c>
      <c r="PG23" s="28">
        <v>7.9031000000000002</v>
      </c>
      <c r="PH23" s="28">
        <v>7.9581</v>
      </c>
      <c r="PI23" s="28">
        <v>7.8860999999999999</v>
      </c>
      <c r="PJ23" s="28">
        <v>7.766</v>
      </c>
      <c r="PK23" s="28">
        <v>7.7793999999999999</v>
      </c>
      <c r="PL23" s="28">
        <v>7.7403000000000004</v>
      </c>
      <c r="PM23" s="28">
        <v>8.3800000000000008</v>
      </c>
      <c r="PN23" s="28">
        <v>8.1376000000000008</v>
      </c>
      <c r="PO23" s="22">
        <v>17</v>
      </c>
      <c r="PR23" s="22">
        <v>17</v>
      </c>
      <c r="PS23" s="28">
        <v>7.5246000000000004</v>
      </c>
      <c r="PT23" s="28">
        <v>7.5007999999999999</v>
      </c>
      <c r="PU23" s="28">
        <v>7.5616000000000003</v>
      </c>
      <c r="PV23" s="28">
        <v>7.4736000000000002</v>
      </c>
      <c r="PW23" s="28">
        <v>7.4466999999999999</v>
      </c>
      <c r="PX23" s="28">
        <v>7.6342999999999996</v>
      </c>
      <c r="PY23" s="28">
        <v>7.6452999999999998</v>
      </c>
      <c r="PZ23" s="28">
        <v>7.5076999999999998</v>
      </c>
      <c r="QA23" s="28">
        <v>7.5416999999999996</v>
      </c>
      <c r="QB23" s="28">
        <v>7.7472000000000003</v>
      </c>
      <c r="QC23" s="28">
        <v>7.9181999999999997</v>
      </c>
      <c r="QD23" s="28">
        <v>7.9016999999999999</v>
      </c>
      <c r="QE23" s="22">
        <v>17</v>
      </c>
      <c r="QH23" s="22">
        <v>17</v>
      </c>
      <c r="QI23" s="28">
        <v>5.3949999999999996</v>
      </c>
      <c r="QJ23" s="28">
        <v>5.9924999999999997</v>
      </c>
      <c r="QK23" s="28">
        <v>6.9725000000000001</v>
      </c>
      <c r="QL23" s="28">
        <v>6.3033000000000001</v>
      </c>
      <c r="QM23" s="28">
        <v>5.9741999999999997</v>
      </c>
      <c r="QN23" s="28">
        <v>6.1867000000000001</v>
      </c>
      <c r="QO23" s="28">
        <v>6.0282999999999998</v>
      </c>
      <c r="QP23" s="28">
        <v>6.1544999999999996</v>
      </c>
      <c r="QQ23" s="28">
        <v>6.2775999999999996</v>
      </c>
      <c r="QR23" s="28">
        <v>6.7480000000000002</v>
      </c>
      <c r="QS23" s="28">
        <v>7.9</v>
      </c>
      <c r="QT23" s="28">
        <v>7.8192000000000004</v>
      </c>
      <c r="QU23" s="22">
        <v>17</v>
      </c>
      <c r="QX23" s="22">
        <v>17</v>
      </c>
      <c r="QY23" s="28">
        <v>3.1061000000000001</v>
      </c>
      <c r="QZ23" s="28">
        <v>3.105</v>
      </c>
      <c r="RA23" s="28">
        <v>3.3106</v>
      </c>
      <c r="RB23" s="28">
        <v>3.3666</v>
      </c>
      <c r="RC23" s="28">
        <v>3.3298000000000001</v>
      </c>
      <c r="RD23" s="28">
        <v>3.3673000000000002</v>
      </c>
      <c r="RE23" s="28">
        <v>3.4024999999999999</v>
      </c>
      <c r="RF23" s="28">
        <v>3.4047999999999998</v>
      </c>
      <c r="RG23" s="28">
        <v>3.4167999999999998</v>
      </c>
      <c r="RH23" s="28">
        <v>3.4136000000000002</v>
      </c>
      <c r="RI23" s="28">
        <v>3.4525999999999999</v>
      </c>
      <c r="RJ23" s="28">
        <v>3.4605999999999999</v>
      </c>
      <c r="RK23" s="22">
        <v>17</v>
      </c>
      <c r="RN23" s="22">
        <v>17</v>
      </c>
      <c r="RO23" s="28">
        <v>3.113</v>
      </c>
      <c r="RP23" s="28">
        <v>3.1</v>
      </c>
      <c r="RQ23" s="28">
        <v>3.1181999999999999</v>
      </c>
      <c r="RR23" s="28">
        <v>3.0939999999999999</v>
      </c>
      <c r="RS23" s="28">
        <v>3.1309999999999998</v>
      </c>
      <c r="RT23" s="28">
        <v>3.1166</v>
      </c>
      <c r="RU23" s="28">
        <v>3.1242000000000001</v>
      </c>
      <c r="RV23" s="28">
        <v>3.1078999999999999</v>
      </c>
      <c r="RW23" s="28">
        <v>3.1109</v>
      </c>
      <c r="RX23" s="28">
        <v>3.1135000000000002</v>
      </c>
      <c r="RY23" s="28">
        <v>3.2124999999999999</v>
      </c>
      <c r="RZ23" s="28">
        <v>3.1065</v>
      </c>
      <c r="SA23" s="22">
        <v>17</v>
      </c>
      <c r="SD23" s="22">
        <v>17</v>
      </c>
      <c r="SE23" s="28">
        <v>3.0646</v>
      </c>
      <c r="SF23" s="28">
        <v>3.0640000000000001</v>
      </c>
      <c r="SG23" s="28">
        <v>3.0621999999999998</v>
      </c>
      <c r="SH23" s="28">
        <v>3.0649999999999999</v>
      </c>
      <c r="SI23" s="28">
        <v>3.1093999999999999</v>
      </c>
      <c r="SJ23" s="28">
        <v>3.1193</v>
      </c>
      <c r="SK23" s="28">
        <v>3.1183999999999998</v>
      </c>
      <c r="SL23" s="28">
        <v>3.0733000000000001</v>
      </c>
      <c r="SM23" s="28">
        <v>3.0941000000000001</v>
      </c>
      <c r="SN23" s="28">
        <v>3.1343999999999999</v>
      </c>
      <c r="SO23" s="28">
        <v>3.113</v>
      </c>
      <c r="SP23" s="28">
        <v>3.1372</v>
      </c>
      <c r="SQ23" s="22">
        <v>17</v>
      </c>
      <c r="ST23" s="22">
        <v>17</v>
      </c>
      <c r="SU23" s="28">
        <v>2.9525999999999999</v>
      </c>
      <c r="SV23" s="28">
        <v>2.9645999999999999</v>
      </c>
      <c r="SW23" s="28">
        <v>2.9758</v>
      </c>
      <c r="SX23" s="28">
        <v>2.9885999999999999</v>
      </c>
      <c r="SY23" s="28">
        <v>3.0005999999999999</v>
      </c>
      <c r="SZ23" s="28">
        <v>3.0122</v>
      </c>
      <c r="TA23" s="28">
        <v>3.0249999999999999</v>
      </c>
      <c r="TB23" s="28">
        <v>3.0373999999999999</v>
      </c>
      <c r="TC23" s="28">
        <v>3.0489999999999999</v>
      </c>
      <c r="TD23" s="28">
        <v>3.0626000000000002</v>
      </c>
      <c r="TE23" s="28">
        <v>3.07179</v>
      </c>
      <c r="TF23" s="28">
        <v>3.06216</v>
      </c>
      <c r="TG23" s="22">
        <v>17</v>
      </c>
      <c r="TJ23" s="22">
        <v>17</v>
      </c>
      <c r="TK23" s="28">
        <v>2.6589999999999998</v>
      </c>
      <c r="TL23" s="28">
        <v>2.69</v>
      </c>
      <c r="TM23" s="28">
        <v>2.718</v>
      </c>
      <c r="TN23" s="28">
        <v>2.7469999999999999</v>
      </c>
      <c r="TO23" s="28">
        <v>2.7789999999999999</v>
      </c>
      <c r="TP23" s="28">
        <v>2.8058000000000001</v>
      </c>
      <c r="TQ23" s="28">
        <v>2.8290000000000002</v>
      </c>
      <c r="TR23" s="28">
        <v>2.8553999999999999</v>
      </c>
      <c r="TS23" s="28">
        <v>2.8786</v>
      </c>
      <c r="TT23" s="28">
        <v>2.9041999999999999</v>
      </c>
      <c r="TU23" s="28">
        <v>2.9281999999999999</v>
      </c>
      <c r="TV23" s="28">
        <v>2.9394</v>
      </c>
      <c r="TW23" s="22">
        <v>17</v>
      </c>
      <c r="TZ23" s="22">
        <v>17</v>
      </c>
      <c r="UA23" s="28">
        <v>2.2919999999999998</v>
      </c>
      <c r="UB23" s="28">
        <v>2.3250000000000002</v>
      </c>
      <c r="UC23" s="28">
        <v>2.3530000000000002</v>
      </c>
      <c r="UD23" s="28">
        <v>2.3820000000000001</v>
      </c>
      <c r="UE23" s="28">
        <v>2.4140000000000001</v>
      </c>
      <c r="UF23" s="28">
        <v>2.4449999999999998</v>
      </c>
      <c r="UG23" s="28">
        <v>2.4729999999999999</v>
      </c>
      <c r="UH23" s="28">
        <v>2.5059999999999998</v>
      </c>
      <c r="UI23" s="28">
        <v>2.536</v>
      </c>
      <c r="UJ23" s="28">
        <v>2.5649999999999999</v>
      </c>
      <c r="UK23" s="28">
        <v>2.5979999999999999</v>
      </c>
      <c r="UL23" s="28">
        <v>2.6269999999999998</v>
      </c>
      <c r="UM23" s="22">
        <v>17</v>
      </c>
    </row>
    <row r="24" spans="2:559" s="7" customFormat="1" ht="19.2">
      <c r="B24" s="22">
        <v>18</v>
      </c>
      <c r="C24" s="28">
        <v>18.7913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2">
        <v>18</v>
      </c>
      <c r="R24" s="22">
        <v>18</v>
      </c>
      <c r="S24" s="28">
        <v>20.311800000000002</v>
      </c>
      <c r="T24" s="28">
        <v>20.333500000000001</v>
      </c>
      <c r="U24" s="28">
        <v>20.703499999999998</v>
      </c>
      <c r="V24" s="28">
        <v>19.840699999999998</v>
      </c>
      <c r="W24" s="28">
        <v>20.078199999999999</v>
      </c>
      <c r="X24" s="28">
        <v>20.572800000000001</v>
      </c>
      <c r="Y24" s="28">
        <v>20.941500000000001</v>
      </c>
      <c r="Z24" s="28">
        <v>19.930299999999999</v>
      </c>
      <c r="AA24" s="28">
        <v>19.976800000000001</v>
      </c>
      <c r="AB24" s="28">
        <v>20.0838</v>
      </c>
      <c r="AC24" s="28">
        <v>19.313700000000001</v>
      </c>
      <c r="AD24" s="28">
        <v>19.796299999999999</v>
      </c>
      <c r="AE24" s="22">
        <v>18</v>
      </c>
      <c r="AH24" s="22">
        <v>18</v>
      </c>
      <c r="AI24" s="28">
        <v>19.779299999999999</v>
      </c>
      <c r="AJ24" s="28">
        <v>20.202300000000001</v>
      </c>
      <c r="AK24" s="28">
        <v>20.575299999999999</v>
      </c>
      <c r="AL24" s="28">
        <v>19.927</v>
      </c>
      <c r="AM24" s="28">
        <v>19.848700000000001</v>
      </c>
      <c r="AN24" s="28">
        <v>20.058800000000002</v>
      </c>
      <c r="AO24" s="28">
        <v>19.941199999999998</v>
      </c>
      <c r="AP24" s="28">
        <v>19.886299999999999</v>
      </c>
      <c r="AQ24" s="28">
        <v>19.900300000000001</v>
      </c>
      <c r="AR24" s="28">
        <v>20.607500000000002</v>
      </c>
      <c r="AS24" s="28">
        <v>20.809200000000001</v>
      </c>
      <c r="AT24" s="28">
        <v>20.9238</v>
      </c>
      <c r="AU24" s="22">
        <v>18</v>
      </c>
      <c r="AV24" s="8"/>
      <c r="AW24" s="8"/>
      <c r="AX24" s="22">
        <v>18</v>
      </c>
      <c r="AY24" s="28">
        <v>18.792999999999999</v>
      </c>
      <c r="AZ24" s="28">
        <v>18.571200000000001</v>
      </c>
      <c r="BA24" s="28">
        <v>21.928799999999999</v>
      </c>
      <c r="BB24" s="28">
        <v>24.209800000000001</v>
      </c>
      <c r="BC24" s="28">
        <v>24.270800000000001</v>
      </c>
      <c r="BD24" s="28">
        <v>22.216799999999999</v>
      </c>
      <c r="BE24" s="28">
        <v>22.3032</v>
      </c>
      <c r="BF24" s="28">
        <v>22.031300000000002</v>
      </c>
      <c r="BG24" s="28">
        <v>21.069199999999999</v>
      </c>
      <c r="BH24" s="28">
        <v>21.383199999999999</v>
      </c>
      <c r="BI24" s="28">
        <v>20.4833</v>
      </c>
      <c r="BJ24" s="28">
        <v>19.9513</v>
      </c>
      <c r="BK24" s="22">
        <v>18</v>
      </c>
      <c r="BN24" s="22">
        <v>18</v>
      </c>
      <c r="BO24" s="28">
        <v>18.9908</v>
      </c>
      <c r="BP24" s="28">
        <v>19.3569</v>
      </c>
      <c r="BQ24" s="28">
        <v>19.3233</v>
      </c>
      <c r="BR24" s="28">
        <v>18.951599999999999</v>
      </c>
      <c r="BS24" s="28">
        <v>19.071000000000002</v>
      </c>
      <c r="BT24" s="28">
        <v>19.148700000000002</v>
      </c>
      <c r="BU24" s="28">
        <v>19.078099999999999</v>
      </c>
      <c r="BV24" s="28">
        <v>19.636500000000002</v>
      </c>
      <c r="BW24" s="28">
        <v>19.366499999999998</v>
      </c>
      <c r="BX24" s="28">
        <v>19.2135</v>
      </c>
      <c r="BY24" s="28">
        <v>19.422799999999999</v>
      </c>
      <c r="BZ24" s="28">
        <v>18.970199999999998</v>
      </c>
      <c r="CA24" s="22">
        <v>18</v>
      </c>
      <c r="CD24" s="22">
        <v>18</v>
      </c>
      <c r="CE24" s="28">
        <v>18.836200000000002</v>
      </c>
      <c r="CF24" s="28">
        <v>18.515899999999998</v>
      </c>
      <c r="CG24" s="29">
        <v>18.702300000000001</v>
      </c>
      <c r="CH24" s="28">
        <v>18.039400000000001</v>
      </c>
      <c r="CI24" s="28">
        <v>19.709399999999999</v>
      </c>
      <c r="CJ24" s="28">
        <v>20.6953</v>
      </c>
      <c r="CK24" s="28">
        <v>18.835999999999999</v>
      </c>
      <c r="CL24" s="28">
        <v>19.010000000000002</v>
      </c>
      <c r="CM24" s="28">
        <v>18.8689</v>
      </c>
      <c r="CN24" s="28">
        <v>18.769300000000001</v>
      </c>
      <c r="CO24" s="28">
        <v>20.3371</v>
      </c>
      <c r="CP24" s="28">
        <v>20.3337</v>
      </c>
      <c r="CQ24" s="22">
        <v>18</v>
      </c>
      <c r="CT24" s="22">
        <v>18</v>
      </c>
      <c r="CU24" s="28">
        <v>21.664300000000001</v>
      </c>
      <c r="CV24" s="28">
        <v>20.3325</v>
      </c>
      <c r="CW24" s="28">
        <v>19.172999999999998</v>
      </c>
      <c r="CX24" s="28">
        <v>18.752800000000001</v>
      </c>
      <c r="CY24" s="28">
        <v>18.618300000000001</v>
      </c>
      <c r="CZ24" s="28">
        <v>18.115400000000001</v>
      </c>
      <c r="DA24" s="28">
        <v>17.561299999999999</v>
      </c>
      <c r="DB24" s="28">
        <v>17.716000000000001</v>
      </c>
      <c r="DC24" s="28">
        <v>17.727799999999998</v>
      </c>
      <c r="DD24" s="28">
        <v>19.075299999999999</v>
      </c>
      <c r="DE24" s="28">
        <v>19.122399999999999</v>
      </c>
      <c r="DF24" s="28">
        <v>19.120200000000001</v>
      </c>
      <c r="DG24" s="22">
        <v>18</v>
      </c>
      <c r="DJ24" s="22">
        <v>18</v>
      </c>
      <c r="DK24" s="28">
        <v>17.912099999999999</v>
      </c>
      <c r="DL24" s="28">
        <v>18.814800000000002</v>
      </c>
      <c r="DM24" s="28">
        <v>17.930800000000001</v>
      </c>
      <c r="DN24" s="28">
        <v>17.388000000000002</v>
      </c>
      <c r="DO24" s="28">
        <v>18.179500000000001</v>
      </c>
      <c r="DP24" s="28">
        <v>18.9968</v>
      </c>
      <c r="DQ24" s="28">
        <v>18.306100000000001</v>
      </c>
      <c r="DR24" s="28">
        <v>17.986899999999999</v>
      </c>
      <c r="DS24" s="28">
        <v>19.227499999999999</v>
      </c>
      <c r="DT24" s="28">
        <v>19.0046</v>
      </c>
      <c r="DU24" s="28">
        <v>20.288399999999999</v>
      </c>
      <c r="DV24" s="28">
        <v>20.597300000000001</v>
      </c>
      <c r="DW24" s="22">
        <v>18</v>
      </c>
      <c r="DZ24" s="22">
        <v>18</v>
      </c>
      <c r="EA24" s="28">
        <v>14.582100000000001</v>
      </c>
      <c r="EB24" s="28">
        <v>14.8979</v>
      </c>
      <c r="EC24" s="28">
        <v>15.4892</v>
      </c>
      <c r="ED24" s="28">
        <v>15.2455</v>
      </c>
      <c r="EE24" s="28">
        <v>15.1235</v>
      </c>
      <c r="EF24" s="28">
        <v>15.4192</v>
      </c>
      <c r="EG24" s="28">
        <v>15.747</v>
      </c>
      <c r="EH24" s="28">
        <v>16.3658</v>
      </c>
      <c r="EI24" s="28">
        <v>16.771599999999999</v>
      </c>
      <c r="EJ24" s="28">
        <v>16.580400000000001</v>
      </c>
      <c r="EK24" s="28">
        <v>16.7395</v>
      </c>
      <c r="EL24" s="28">
        <v>17.135999999999999</v>
      </c>
      <c r="EM24" s="22">
        <v>18</v>
      </c>
      <c r="EP24" s="22">
        <v>18</v>
      </c>
      <c r="EQ24" s="28">
        <v>13.290699999999999</v>
      </c>
      <c r="ER24" s="28">
        <v>13.2477</v>
      </c>
      <c r="ES24" s="28">
        <v>13.2456</v>
      </c>
      <c r="ET24" s="28">
        <v>13.098599999999999</v>
      </c>
      <c r="EU24" s="28">
        <v>12.9755</v>
      </c>
      <c r="EV24" s="28">
        <v>13.032299999999999</v>
      </c>
      <c r="EW24" s="28">
        <v>12.939</v>
      </c>
      <c r="EX24" s="28">
        <v>13.0717</v>
      </c>
      <c r="EY24" s="28">
        <v>13.222300000000001</v>
      </c>
      <c r="EZ24" s="28">
        <v>13.5616</v>
      </c>
      <c r="FA24" s="28">
        <v>13.599500000000001</v>
      </c>
      <c r="FB24" s="28">
        <v>14.7499</v>
      </c>
      <c r="FC24" s="22">
        <v>18</v>
      </c>
      <c r="FF24" s="22">
        <v>18</v>
      </c>
      <c r="FG24" s="28">
        <v>12.6305</v>
      </c>
      <c r="FH24" s="28">
        <v>12.6982</v>
      </c>
      <c r="FI24" s="28">
        <v>12.454499999999999</v>
      </c>
      <c r="FJ24" s="28">
        <v>12.1668</v>
      </c>
      <c r="FK24" s="28">
        <v>12.2378</v>
      </c>
      <c r="FL24" s="28">
        <v>12.691599999999999</v>
      </c>
      <c r="FM24" s="28">
        <v>12.629899999999999</v>
      </c>
      <c r="FN24" s="28">
        <v>12.862500000000001</v>
      </c>
      <c r="FO24" s="28">
        <v>13.054</v>
      </c>
      <c r="FP24" s="28">
        <v>12.881600000000001</v>
      </c>
      <c r="FQ24" s="28">
        <v>13.017300000000001</v>
      </c>
      <c r="FR24" s="28">
        <v>12.943899999999999</v>
      </c>
      <c r="FS24" s="22">
        <v>18</v>
      </c>
      <c r="FV24" s="22">
        <v>18</v>
      </c>
      <c r="FW24" s="28">
        <v>13.540100000000001</v>
      </c>
      <c r="FX24" s="28">
        <v>12.882199999999999</v>
      </c>
      <c r="FY24" s="28">
        <v>12.6591</v>
      </c>
      <c r="FZ24" s="28">
        <v>13.216799999999999</v>
      </c>
      <c r="GA24" s="28">
        <v>13.774699999999999</v>
      </c>
      <c r="GB24" s="28">
        <v>13.997400000000001</v>
      </c>
      <c r="GC24" s="28">
        <v>13.283200000000001</v>
      </c>
      <c r="GD24" s="28">
        <v>13.143000000000001</v>
      </c>
      <c r="GE24" s="28">
        <v>12.745799999999999</v>
      </c>
      <c r="GF24" s="28">
        <v>12.807700000000001</v>
      </c>
      <c r="GG24" s="28">
        <v>13.2522</v>
      </c>
      <c r="GH24" s="28">
        <v>12.7768</v>
      </c>
      <c r="GI24" s="22">
        <v>18</v>
      </c>
      <c r="GL24" s="22">
        <v>18</v>
      </c>
      <c r="GM24" s="28">
        <v>12.0871</v>
      </c>
      <c r="GN24" s="28">
        <v>12.095700000000001</v>
      </c>
      <c r="GO24" s="28">
        <v>12.071</v>
      </c>
      <c r="GP24" s="28">
        <v>11.767899999999999</v>
      </c>
      <c r="GQ24" s="28">
        <v>11.7094</v>
      </c>
      <c r="GR24" s="28">
        <v>11.959099999999999</v>
      </c>
      <c r="GS24" s="28">
        <v>11.701000000000001</v>
      </c>
      <c r="GT24" s="28">
        <v>12.2631</v>
      </c>
      <c r="GU24" s="28">
        <v>12.964600000000001</v>
      </c>
      <c r="GV24" s="28">
        <v>13.271100000000001</v>
      </c>
      <c r="GW24" s="28">
        <v>13.5847</v>
      </c>
      <c r="GX24" s="28">
        <v>13.823</v>
      </c>
      <c r="GY24" s="22">
        <v>18</v>
      </c>
      <c r="HB24" s="22">
        <v>18</v>
      </c>
      <c r="HC24" s="28">
        <v>12.7364</v>
      </c>
      <c r="HD24" s="28">
        <v>12.8683</v>
      </c>
      <c r="HE24" s="28">
        <v>12.525399999999999</v>
      </c>
      <c r="HF24" s="28">
        <v>12.1934</v>
      </c>
      <c r="HG24" s="28">
        <v>12.5684</v>
      </c>
      <c r="HH24" s="28">
        <v>12.5878</v>
      </c>
      <c r="HI24" s="28">
        <v>12.779500000000001</v>
      </c>
      <c r="HJ24" s="28">
        <v>12.645799999999999</v>
      </c>
      <c r="HK24" s="28">
        <v>12.8355</v>
      </c>
      <c r="HL24" s="28">
        <v>12.4101</v>
      </c>
      <c r="HM24" s="28">
        <v>12.4353</v>
      </c>
      <c r="HN24" s="28">
        <v>12.4505</v>
      </c>
      <c r="HO24" s="22">
        <v>18</v>
      </c>
      <c r="HR24" s="22">
        <v>18</v>
      </c>
      <c r="HS24" s="28">
        <v>14.219200000000001</v>
      </c>
      <c r="HT24" s="28">
        <v>14.5288</v>
      </c>
      <c r="HU24" s="28">
        <v>14.569000000000001</v>
      </c>
      <c r="HV24" s="28">
        <v>13.0511</v>
      </c>
      <c r="HW24" s="28">
        <v>13.298299999999999</v>
      </c>
      <c r="HX24" s="28">
        <v>13.352499999999999</v>
      </c>
      <c r="HY24" s="28">
        <v>13.587</v>
      </c>
      <c r="HZ24" s="28">
        <v>12.8766</v>
      </c>
      <c r="IA24" s="28">
        <v>13.3475</v>
      </c>
      <c r="IB24" s="28">
        <v>13.0884</v>
      </c>
      <c r="IC24" s="28">
        <v>13.1012</v>
      </c>
      <c r="ID24" s="28">
        <v>12.698</v>
      </c>
      <c r="IE24" s="22">
        <v>18</v>
      </c>
      <c r="IH24" s="22">
        <v>18</v>
      </c>
      <c r="II24" s="28">
        <v>10.9458</v>
      </c>
      <c r="IJ24" s="28">
        <v>10.741300000000001</v>
      </c>
      <c r="IK24" s="28">
        <v>10.777799999999999</v>
      </c>
      <c r="IL24" s="28">
        <v>10.4579</v>
      </c>
      <c r="IM24" s="28">
        <v>10.476900000000001</v>
      </c>
      <c r="IN24" s="28">
        <v>10.3399</v>
      </c>
      <c r="IO24" s="28">
        <v>10.2608</v>
      </c>
      <c r="IP24" s="28">
        <v>10.1586</v>
      </c>
      <c r="IQ24" s="28">
        <v>10.705399999999999</v>
      </c>
      <c r="IR24" s="28">
        <v>13.0633</v>
      </c>
      <c r="IS24" s="28">
        <v>13.1663</v>
      </c>
      <c r="IT24" s="28">
        <v>13.271699999999999</v>
      </c>
      <c r="IU24" s="22">
        <v>18</v>
      </c>
      <c r="IX24" s="22">
        <v>18</v>
      </c>
      <c r="IY24" s="28">
        <v>10.986000000000001</v>
      </c>
      <c r="IZ24" s="28">
        <v>10.952199999999999</v>
      </c>
      <c r="JA24" s="28">
        <v>11.1348</v>
      </c>
      <c r="JB24" s="28">
        <v>10.9856</v>
      </c>
      <c r="JC24" s="28">
        <v>10.7905</v>
      </c>
      <c r="JD24" s="28">
        <v>10.901199999999999</v>
      </c>
      <c r="JE24" s="28">
        <v>10.7653</v>
      </c>
      <c r="JF24" s="28">
        <v>11.2676</v>
      </c>
      <c r="JG24" s="28">
        <v>11.111000000000001</v>
      </c>
      <c r="JH24" s="28">
        <v>10.841799999999999</v>
      </c>
      <c r="JI24" s="28">
        <v>10.9145</v>
      </c>
      <c r="JJ24" s="28">
        <v>10.8249</v>
      </c>
      <c r="JK24" s="22">
        <v>18</v>
      </c>
      <c r="JN24" s="22">
        <v>18</v>
      </c>
      <c r="JO24" s="28">
        <v>10.558999999999999</v>
      </c>
      <c r="JP24" s="28">
        <v>10.5175</v>
      </c>
      <c r="JQ24" s="28">
        <v>10.6212</v>
      </c>
      <c r="JR24" s="28">
        <v>11.047700000000001</v>
      </c>
      <c r="JS24" s="28">
        <v>11.0518</v>
      </c>
      <c r="JT24" s="28">
        <v>11.411300000000001</v>
      </c>
      <c r="JU24" s="28">
        <v>11.0275</v>
      </c>
      <c r="JV24" s="28">
        <v>10.75</v>
      </c>
      <c r="JW24" s="28">
        <v>10.9818</v>
      </c>
      <c r="JX24" s="28">
        <v>10.836399999999999</v>
      </c>
      <c r="JY24" s="28">
        <v>10.8527</v>
      </c>
      <c r="JZ24" s="28">
        <v>10.792199999999999</v>
      </c>
      <c r="KA24" s="22">
        <v>18</v>
      </c>
      <c r="KD24" s="22">
        <v>18</v>
      </c>
      <c r="KE24" s="28">
        <v>11.2339</v>
      </c>
      <c r="KF24" s="28">
        <v>11.1625</v>
      </c>
      <c r="KG24" s="28">
        <v>11.227600000000001</v>
      </c>
      <c r="KH24" s="28">
        <v>11.103199999999999</v>
      </c>
      <c r="KI24" s="28">
        <v>11.037599999999999</v>
      </c>
      <c r="KJ24" s="28">
        <v>10.800700000000001</v>
      </c>
      <c r="KK24" s="28">
        <v>10.6372</v>
      </c>
      <c r="KL24" s="28">
        <v>10.5809</v>
      </c>
      <c r="KM24" s="28">
        <v>10.8355</v>
      </c>
      <c r="KN24" s="28">
        <v>10.916399999999999</v>
      </c>
      <c r="KO24" s="28">
        <v>10.635</v>
      </c>
      <c r="KP24" s="28">
        <v>10.7378</v>
      </c>
      <c r="KQ24" s="22">
        <v>18</v>
      </c>
      <c r="KT24" s="22">
        <v>18</v>
      </c>
      <c r="KU24" s="28">
        <v>10.8514</v>
      </c>
      <c r="KV24" s="28">
        <v>10.9434</v>
      </c>
      <c r="KW24" s="28">
        <v>11.039</v>
      </c>
      <c r="KX24" s="28">
        <v>11.27</v>
      </c>
      <c r="KY24" s="28">
        <v>11.571300000000001</v>
      </c>
      <c r="KZ24" s="28">
        <v>11.399100000000001</v>
      </c>
      <c r="LA24" s="28">
        <v>11.4909</v>
      </c>
      <c r="LB24" s="28">
        <v>11.3848</v>
      </c>
      <c r="LC24" s="28">
        <v>11.533300000000001</v>
      </c>
      <c r="LD24" s="28">
        <v>11.3195</v>
      </c>
      <c r="LE24" s="28">
        <v>11.3508</v>
      </c>
      <c r="LF24" s="28">
        <v>11.2316</v>
      </c>
      <c r="LG24" s="22">
        <v>18</v>
      </c>
      <c r="LJ24" s="22">
        <v>18</v>
      </c>
      <c r="LK24" s="28">
        <v>10.5083</v>
      </c>
      <c r="LL24" s="28">
        <v>10.882300000000001</v>
      </c>
      <c r="LM24" s="28">
        <v>10.848100000000001</v>
      </c>
      <c r="LN24" s="28">
        <v>10.639799999999999</v>
      </c>
      <c r="LO24" s="28">
        <v>10.2927</v>
      </c>
      <c r="LP24" s="28">
        <v>10.4983</v>
      </c>
      <c r="LQ24" s="28">
        <v>10.4079</v>
      </c>
      <c r="LR24" s="28">
        <v>10.696099999999999</v>
      </c>
      <c r="LS24" s="28">
        <v>10.971299999999999</v>
      </c>
      <c r="LT24" s="28">
        <v>11.247199999999999</v>
      </c>
      <c r="LU24" s="28">
        <v>11.1442</v>
      </c>
      <c r="LV24" s="28">
        <v>11.306100000000001</v>
      </c>
      <c r="LW24" s="22">
        <v>18</v>
      </c>
      <c r="LZ24" s="22">
        <v>18</v>
      </c>
      <c r="MA24" s="28">
        <v>9.1992999999999991</v>
      </c>
      <c r="MB24" s="28">
        <v>9.0838000000000001</v>
      </c>
      <c r="MC24" s="28">
        <v>9.1181999999999999</v>
      </c>
      <c r="MD24" s="28">
        <v>9.1597000000000008</v>
      </c>
      <c r="ME24" s="28">
        <v>9.4863</v>
      </c>
      <c r="MF24" s="28">
        <v>9.6684000000000001</v>
      </c>
      <c r="MG24" s="28">
        <v>9.7345000000000006</v>
      </c>
      <c r="MH24" s="28">
        <v>9.9291999999999998</v>
      </c>
      <c r="MI24" s="28">
        <v>9.9673999999999996</v>
      </c>
      <c r="MJ24" s="28">
        <v>10.075699999999999</v>
      </c>
      <c r="MK24" s="28">
        <v>10.209199999999999</v>
      </c>
      <c r="ML24" s="28">
        <v>10.1966</v>
      </c>
      <c r="MM24" s="22">
        <v>18</v>
      </c>
      <c r="MP24" s="22">
        <v>18</v>
      </c>
      <c r="MQ24" s="28">
        <v>9.9778000000000002</v>
      </c>
      <c r="MR24" s="28">
        <v>9.6762999999999995</v>
      </c>
      <c r="MS24" s="28">
        <v>9.5843000000000007</v>
      </c>
      <c r="MT24" s="28">
        <v>9.3230000000000004</v>
      </c>
      <c r="MU24" s="28">
        <v>9.1645000000000003</v>
      </c>
      <c r="MV24" s="28">
        <v>9.0523000000000007</v>
      </c>
      <c r="MW24" s="28">
        <v>9.2918000000000003</v>
      </c>
      <c r="MX24" s="28">
        <v>9.0832999999999995</v>
      </c>
      <c r="MY24" s="28">
        <v>9.4941999999999993</v>
      </c>
      <c r="MZ24" s="28">
        <v>9.2349999999999994</v>
      </c>
      <c r="NA24" s="28">
        <v>9.2027999999999999</v>
      </c>
      <c r="NB24" s="28">
        <v>9.0798000000000005</v>
      </c>
      <c r="NC24" s="22">
        <v>18</v>
      </c>
      <c r="NF24" s="22">
        <v>18</v>
      </c>
      <c r="NG24" s="28">
        <v>9.4482999999999997</v>
      </c>
      <c r="NH24" s="28">
        <v>9.3710000000000004</v>
      </c>
      <c r="NI24" s="28">
        <v>9.3224</v>
      </c>
      <c r="NJ24" s="28">
        <v>9.4841999999999995</v>
      </c>
      <c r="NK24" s="28">
        <v>9.5088000000000008</v>
      </c>
      <c r="NL24" s="28">
        <v>9.8477999999999994</v>
      </c>
      <c r="NM24" s="28">
        <v>9.4152000000000005</v>
      </c>
      <c r="NN24" s="28">
        <v>9.1922999999999995</v>
      </c>
      <c r="NO24" s="28">
        <v>9.3125</v>
      </c>
      <c r="NP24" s="28">
        <v>9.5350999999999999</v>
      </c>
      <c r="NQ24" s="28">
        <v>9.4827999999999992</v>
      </c>
      <c r="NR24" s="28">
        <v>9.4126999999999992</v>
      </c>
      <c r="NS24" s="22">
        <v>18</v>
      </c>
      <c r="NV24" s="22">
        <v>18</v>
      </c>
      <c r="NW24" s="28">
        <v>10.5383</v>
      </c>
      <c r="NX24" s="28">
        <v>9.9190000000000005</v>
      </c>
      <c r="NY24" s="28">
        <v>9.6586999999999996</v>
      </c>
      <c r="NZ24" s="28">
        <v>9.5429999999999993</v>
      </c>
      <c r="OA24" s="28">
        <v>9.3590999999999998</v>
      </c>
      <c r="OB24" s="28">
        <v>9.4585000000000008</v>
      </c>
      <c r="OC24" s="28">
        <v>9.3343000000000007</v>
      </c>
      <c r="OD24" s="28">
        <v>9.3567999999999998</v>
      </c>
      <c r="OE24" s="28">
        <v>9.3092000000000006</v>
      </c>
      <c r="OF24" s="28">
        <v>9.6308000000000007</v>
      </c>
      <c r="OG24" s="28">
        <v>9.4017999999999997</v>
      </c>
      <c r="OH24" s="28">
        <v>9.3577999999999992</v>
      </c>
      <c r="OI24" s="22">
        <v>18</v>
      </c>
      <c r="OL24" s="22">
        <v>18</v>
      </c>
      <c r="OM24" s="28">
        <v>8.2761999999999993</v>
      </c>
      <c r="ON24" s="28">
        <v>8.4628999999999994</v>
      </c>
      <c r="OO24" s="28">
        <v>8.5927000000000007</v>
      </c>
      <c r="OP24" s="28">
        <v>8.5008999999999997</v>
      </c>
      <c r="OQ24" s="28">
        <v>8.5068999999999999</v>
      </c>
      <c r="OR24" s="28">
        <v>8.9815000000000005</v>
      </c>
      <c r="OS24" s="28">
        <v>8.8392999999999997</v>
      </c>
      <c r="OT24" s="28">
        <v>9.1812000000000005</v>
      </c>
      <c r="OU24" s="28">
        <v>10.2058</v>
      </c>
      <c r="OV24" s="28">
        <v>10.1312</v>
      </c>
      <c r="OW24" s="28">
        <v>9.9764999999999997</v>
      </c>
      <c r="OX24" s="28">
        <v>9.8827999999999996</v>
      </c>
      <c r="OY24" s="22">
        <v>18</v>
      </c>
      <c r="PB24" s="22">
        <v>18</v>
      </c>
      <c r="PC24" s="28">
        <v>7.8221999999999996</v>
      </c>
      <c r="PD24" s="28">
        <v>7.7779999999999996</v>
      </c>
      <c r="PE24" s="28">
        <v>7.9789000000000003</v>
      </c>
      <c r="PF24" s="28">
        <v>7.8978000000000002</v>
      </c>
      <c r="PG24" s="28">
        <v>7.9031000000000002</v>
      </c>
      <c r="PH24" s="28">
        <v>7.9537000000000004</v>
      </c>
      <c r="PI24" s="28">
        <v>7.9282000000000004</v>
      </c>
      <c r="PJ24" s="28">
        <v>7.766</v>
      </c>
      <c r="PK24" s="28">
        <v>7.7676999999999996</v>
      </c>
      <c r="PL24" s="28">
        <v>7.7336</v>
      </c>
      <c r="PM24" s="28">
        <v>8.3275000000000006</v>
      </c>
      <c r="PN24" s="28">
        <v>8.0915999999999997</v>
      </c>
      <c r="PO24" s="22">
        <v>18</v>
      </c>
      <c r="PR24" s="22">
        <v>18</v>
      </c>
      <c r="PS24" s="28">
        <v>7.5254000000000003</v>
      </c>
      <c r="PT24" s="28">
        <v>7.5007999999999999</v>
      </c>
      <c r="PU24" s="28">
        <v>7.5616000000000003</v>
      </c>
      <c r="PV24" s="28">
        <v>7.4314999999999998</v>
      </c>
      <c r="PW24" s="28">
        <v>7.4179000000000004</v>
      </c>
      <c r="PX24" s="28">
        <v>7.5934999999999997</v>
      </c>
      <c r="PY24" s="28">
        <v>7.6574999999999998</v>
      </c>
      <c r="PZ24" s="28">
        <v>7.5076999999999998</v>
      </c>
      <c r="QA24" s="28">
        <v>7.5138999999999996</v>
      </c>
      <c r="QB24" s="28">
        <v>7.7949999999999999</v>
      </c>
      <c r="QC24" s="28">
        <v>7.9181999999999997</v>
      </c>
      <c r="QD24" s="28">
        <v>7.9272</v>
      </c>
      <c r="QE24" s="22">
        <v>18</v>
      </c>
      <c r="QH24" s="22">
        <v>18</v>
      </c>
      <c r="QI24" s="28">
        <v>5.49</v>
      </c>
      <c r="QJ24" s="28">
        <v>6.1</v>
      </c>
      <c r="QK24" s="28">
        <v>7.2074999999999996</v>
      </c>
      <c r="QL24" s="28">
        <v>6.2866999999999997</v>
      </c>
      <c r="QM24" s="28">
        <v>5.9492000000000003</v>
      </c>
      <c r="QN24" s="28">
        <v>6.1867000000000001</v>
      </c>
      <c r="QO24" s="28">
        <v>6.0449999999999999</v>
      </c>
      <c r="QP24" s="28">
        <v>6.1673</v>
      </c>
      <c r="QQ24" s="28">
        <v>6.2775999999999996</v>
      </c>
      <c r="QR24" s="28">
        <v>6.75</v>
      </c>
      <c r="QS24" s="28">
        <v>7.8</v>
      </c>
      <c r="QT24" s="28">
        <v>7.8192000000000004</v>
      </c>
      <c r="QU24" s="22">
        <v>18</v>
      </c>
      <c r="QX24" s="22">
        <v>18</v>
      </c>
      <c r="QY24" s="28">
        <v>3.1088</v>
      </c>
      <c r="QZ24" s="28">
        <v>3.1055000000000001</v>
      </c>
      <c r="RA24" s="28">
        <v>3.3033000000000001</v>
      </c>
      <c r="RB24" s="28">
        <v>3.3666</v>
      </c>
      <c r="RC24" s="28">
        <v>3.3319000000000001</v>
      </c>
      <c r="RD24" s="28">
        <v>3.3675000000000002</v>
      </c>
      <c r="RE24" s="28">
        <v>3.4024999999999999</v>
      </c>
      <c r="RF24" s="28">
        <v>3.4077999999999999</v>
      </c>
      <c r="RG24" s="28">
        <v>3.4167999999999998</v>
      </c>
      <c r="RH24" s="28">
        <v>3.4178999999999999</v>
      </c>
      <c r="RI24" s="28">
        <v>3.4529999999999998</v>
      </c>
      <c r="RJ24" s="28">
        <v>3.4605999999999999</v>
      </c>
      <c r="RK24" s="22">
        <v>18</v>
      </c>
      <c r="RN24" s="22">
        <v>18</v>
      </c>
      <c r="RO24" s="28">
        <v>3.113</v>
      </c>
      <c r="RP24" s="28">
        <v>3.0977000000000001</v>
      </c>
      <c r="RQ24" s="28">
        <v>3.12</v>
      </c>
      <c r="RR24" s="28">
        <v>3.0939999999999999</v>
      </c>
      <c r="RS24" s="28">
        <v>3.1288999999999998</v>
      </c>
      <c r="RT24" s="28">
        <v>3.1198999999999999</v>
      </c>
      <c r="RU24" s="28">
        <v>3.1242000000000001</v>
      </c>
      <c r="RV24" s="28">
        <v>3.1110000000000002</v>
      </c>
      <c r="RW24" s="28">
        <v>3.1107999999999998</v>
      </c>
      <c r="RX24" s="28">
        <v>3.1135000000000002</v>
      </c>
      <c r="RY24" s="28">
        <v>3.1850000000000001</v>
      </c>
      <c r="RZ24" s="28">
        <v>3.1053000000000002</v>
      </c>
      <c r="SA24" s="22">
        <v>18</v>
      </c>
      <c r="SD24" s="22">
        <v>18</v>
      </c>
      <c r="SE24" s="28">
        <v>3.0678999999999998</v>
      </c>
      <c r="SF24" s="28">
        <v>3.0634000000000001</v>
      </c>
      <c r="SG24" s="28">
        <v>3.0609000000000002</v>
      </c>
      <c r="SH24" s="28">
        <v>3.0649999999999999</v>
      </c>
      <c r="SI24" s="28">
        <v>3.1093999999999999</v>
      </c>
      <c r="SJ24" s="28">
        <v>3.121</v>
      </c>
      <c r="SK24" s="28">
        <v>3.1175000000000002</v>
      </c>
      <c r="SL24" s="28">
        <v>3.0768</v>
      </c>
      <c r="SM24" s="28">
        <v>3.0926</v>
      </c>
      <c r="SN24" s="28">
        <v>3.1343999999999999</v>
      </c>
      <c r="SO24" s="28">
        <v>3.1194999999999999</v>
      </c>
      <c r="SP24" s="28">
        <v>3.1352000000000002</v>
      </c>
      <c r="SQ24" s="22">
        <v>18</v>
      </c>
      <c r="ST24" s="22">
        <v>18</v>
      </c>
      <c r="SU24" s="28">
        <v>2.9529999999999998</v>
      </c>
      <c r="SV24" s="28">
        <v>2.9645999999999999</v>
      </c>
      <c r="SW24" s="28">
        <v>2.9758</v>
      </c>
      <c r="SX24" s="28">
        <v>2.9889999999999999</v>
      </c>
      <c r="SY24" s="28">
        <v>3.0009999999999999</v>
      </c>
      <c r="SZ24" s="28">
        <v>3.0125999999999999</v>
      </c>
      <c r="TA24" s="28">
        <v>3.0253999999999999</v>
      </c>
      <c r="TB24" s="28">
        <v>3.0373999999999999</v>
      </c>
      <c r="TC24" s="28">
        <v>3.0501999999999998</v>
      </c>
      <c r="TD24" s="28">
        <v>3.0630000000000002</v>
      </c>
      <c r="TE24" s="28">
        <v>3.07179</v>
      </c>
      <c r="TF24" s="28">
        <v>3.07531</v>
      </c>
      <c r="TG24" s="22">
        <v>18</v>
      </c>
      <c r="TJ24" s="22">
        <v>18</v>
      </c>
      <c r="TK24" s="28">
        <v>2.66</v>
      </c>
      <c r="TL24" s="28">
        <v>2.69</v>
      </c>
      <c r="TM24" s="28">
        <v>2.718</v>
      </c>
      <c r="TN24" s="28">
        <v>2.75</v>
      </c>
      <c r="TO24" s="28">
        <v>2.78</v>
      </c>
      <c r="TP24" s="28">
        <v>2.8058000000000001</v>
      </c>
      <c r="TQ24" s="28">
        <v>2.8313999999999999</v>
      </c>
      <c r="TR24" s="28">
        <v>2.8561999999999999</v>
      </c>
      <c r="TS24" s="28">
        <v>2.8794</v>
      </c>
      <c r="TT24" s="28">
        <v>2.9049999999999998</v>
      </c>
      <c r="TU24" s="28">
        <v>2.9281999999999999</v>
      </c>
      <c r="TV24" s="28">
        <v>2.9398</v>
      </c>
      <c r="TW24" s="22">
        <v>18</v>
      </c>
      <c r="TZ24" s="22">
        <v>18</v>
      </c>
      <c r="UA24" s="28">
        <v>2.2949999999999999</v>
      </c>
      <c r="UB24" s="28">
        <v>2.3260000000000001</v>
      </c>
      <c r="UC24" s="28">
        <v>2.3540000000000001</v>
      </c>
      <c r="UD24" s="28">
        <v>2.383</v>
      </c>
      <c r="UE24" s="28">
        <v>2.415</v>
      </c>
      <c r="UF24" s="28">
        <v>2.4449999999999998</v>
      </c>
      <c r="UG24" s="28">
        <v>2.4740000000000002</v>
      </c>
      <c r="UH24" s="28">
        <v>2.5070000000000001</v>
      </c>
      <c r="UI24" s="28">
        <v>2.536</v>
      </c>
      <c r="UJ24" s="28">
        <v>2.5680000000000001</v>
      </c>
      <c r="UK24" s="28">
        <v>2.5990000000000002</v>
      </c>
      <c r="UL24" s="28">
        <v>2.6269999999999998</v>
      </c>
      <c r="UM24" s="22">
        <v>18</v>
      </c>
    </row>
    <row r="25" spans="2:559" s="7" customFormat="1" ht="19.2">
      <c r="B25" s="22">
        <v>19</v>
      </c>
      <c r="C25" s="28">
        <v>18.749300000000002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2">
        <v>19</v>
      </c>
      <c r="R25" s="22">
        <v>19</v>
      </c>
      <c r="S25" s="28">
        <v>20.3002</v>
      </c>
      <c r="T25" s="28">
        <v>20.297799999999999</v>
      </c>
      <c r="U25" s="28">
        <v>20.558499999999999</v>
      </c>
      <c r="V25" s="28">
        <v>19.796700000000001</v>
      </c>
      <c r="W25" s="28">
        <v>19.963699999999999</v>
      </c>
      <c r="X25" s="28">
        <v>20.572800000000001</v>
      </c>
      <c r="Y25" s="28">
        <v>20.611000000000001</v>
      </c>
      <c r="Z25" s="28">
        <v>20.038699999999999</v>
      </c>
      <c r="AA25" s="28">
        <v>19.976800000000001</v>
      </c>
      <c r="AB25" s="28">
        <v>19.991299999999999</v>
      </c>
      <c r="AC25" s="28">
        <v>19.433299999999999</v>
      </c>
      <c r="AD25" s="28">
        <v>19.796299999999999</v>
      </c>
      <c r="AE25" s="22">
        <v>19</v>
      </c>
      <c r="AH25" s="22">
        <v>19</v>
      </c>
      <c r="AI25" s="28">
        <v>19.787500000000001</v>
      </c>
      <c r="AJ25" s="28">
        <v>20.2257</v>
      </c>
      <c r="AK25" s="28">
        <v>20.6828</v>
      </c>
      <c r="AL25" s="28">
        <v>19.927</v>
      </c>
      <c r="AM25" s="28">
        <v>19.802800000000001</v>
      </c>
      <c r="AN25" s="28">
        <v>20.429200000000002</v>
      </c>
      <c r="AO25" s="28">
        <v>19.941199999999998</v>
      </c>
      <c r="AP25" s="28">
        <v>19.991199999999999</v>
      </c>
      <c r="AQ25" s="28">
        <v>19.900300000000001</v>
      </c>
      <c r="AR25" s="28">
        <v>20.467199999999998</v>
      </c>
      <c r="AS25" s="28">
        <v>20.691199999999998</v>
      </c>
      <c r="AT25" s="28">
        <v>20.9238</v>
      </c>
      <c r="AU25" s="22">
        <v>19</v>
      </c>
      <c r="AV25" s="8"/>
      <c r="AW25" s="8"/>
      <c r="AX25" s="22">
        <v>19</v>
      </c>
      <c r="AY25" s="28">
        <v>18.792999999999999</v>
      </c>
      <c r="AZ25" s="28">
        <v>18.5715</v>
      </c>
      <c r="BA25" s="28">
        <v>23.057300000000001</v>
      </c>
      <c r="BB25" s="28">
        <v>24.209800000000001</v>
      </c>
      <c r="BC25" s="28">
        <v>23.957999999999998</v>
      </c>
      <c r="BD25" s="28">
        <v>22.278300000000002</v>
      </c>
      <c r="BE25" s="28">
        <v>22.3032</v>
      </c>
      <c r="BF25" s="28">
        <v>22.056999999999999</v>
      </c>
      <c r="BG25" s="28">
        <v>20.984999999999999</v>
      </c>
      <c r="BH25" s="28">
        <v>21.383199999999999</v>
      </c>
      <c r="BI25" s="28">
        <v>20.321200000000001</v>
      </c>
      <c r="BJ25" s="28">
        <v>19.817299999999999</v>
      </c>
      <c r="BK25" s="22">
        <v>19</v>
      </c>
      <c r="BN25" s="22">
        <v>19</v>
      </c>
      <c r="BO25" s="28">
        <v>19.062999999999999</v>
      </c>
      <c r="BP25" s="28">
        <v>19.362500000000001</v>
      </c>
      <c r="BQ25" s="28">
        <v>19.3233</v>
      </c>
      <c r="BR25" s="28">
        <v>18.951599999999999</v>
      </c>
      <c r="BS25" s="28">
        <v>19.071000000000002</v>
      </c>
      <c r="BT25" s="28">
        <v>19.192399999999999</v>
      </c>
      <c r="BU25" s="28">
        <v>19.023299999999999</v>
      </c>
      <c r="BV25" s="28">
        <v>19.636500000000002</v>
      </c>
      <c r="BW25" s="28">
        <v>19.426200000000001</v>
      </c>
      <c r="BX25" s="28">
        <v>19.1602</v>
      </c>
      <c r="BY25" s="28">
        <v>19.422799999999999</v>
      </c>
      <c r="BZ25" s="28">
        <v>18.916499999999999</v>
      </c>
      <c r="CA25" s="22">
        <v>19</v>
      </c>
      <c r="CD25" s="22">
        <v>19</v>
      </c>
      <c r="CE25" s="28">
        <v>18.655000000000001</v>
      </c>
      <c r="CF25" s="28">
        <v>18.515899999999998</v>
      </c>
      <c r="CG25" s="29">
        <v>18.702300000000001</v>
      </c>
      <c r="CH25" s="28">
        <v>17.9787</v>
      </c>
      <c r="CI25" s="28">
        <v>19.703299999999999</v>
      </c>
      <c r="CJ25" s="28">
        <v>20.716000000000001</v>
      </c>
      <c r="CK25" s="28">
        <v>18.876300000000001</v>
      </c>
      <c r="CL25" s="28">
        <v>19.010000000000002</v>
      </c>
      <c r="CM25" s="28">
        <v>18.8399</v>
      </c>
      <c r="CN25" s="28">
        <v>18.801200000000001</v>
      </c>
      <c r="CO25" s="28">
        <v>20.3371</v>
      </c>
      <c r="CP25" s="28">
        <v>20.1126</v>
      </c>
      <c r="CQ25" s="22">
        <v>19</v>
      </c>
      <c r="CT25" s="22">
        <v>19</v>
      </c>
      <c r="CU25" s="28">
        <v>21.573799999999999</v>
      </c>
      <c r="CV25" s="28">
        <v>20.3325</v>
      </c>
      <c r="CW25" s="28">
        <v>19.172999999999998</v>
      </c>
      <c r="CX25" s="28">
        <v>18.558199999999999</v>
      </c>
      <c r="CY25" s="28">
        <v>18.676100000000002</v>
      </c>
      <c r="CZ25" s="28">
        <v>18.115400000000001</v>
      </c>
      <c r="DA25" s="28">
        <v>17.583600000000001</v>
      </c>
      <c r="DB25" s="28">
        <v>17.732399999999998</v>
      </c>
      <c r="DC25" s="28">
        <v>17.685700000000001</v>
      </c>
      <c r="DD25" s="28">
        <v>19.011700000000001</v>
      </c>
      <c r="DE25" s="28">
        <v>19.122399999999999</v>
      </c>
      <c r="DF25" s="28">
        <v>19.128900000000002</v>
      </c>
      <c r="DG25" s="22">
        <v>19</v>
      </c>
      <c r="DJ25" s="22">
        <v>19</v>
      </c>
      <c r="DK25" s="28">
        <v>18.210799999999999</v>
      </c>
      <c r="DL25" s="28">
        <v>18.389500000000002</v>
      </c>
      <c r="DM25" s="28">
        <v>17.403400000000001</v>
      </c>
      <c r="DN25" s="28">
        <v>17.5669</v>
      </c>
      <c r="DO25" s="28">
        <v>18.3217</v>
      </c>
      <c r="DP25" s="28">
        <v>18.9968</v>
      </c>
      <c r="DQ25" s="28">
        <v>18.492000000000001</v>
      </c>
      <c r="DR25" s="28">
        <v>18.259799999999998</v>
      </c>
      <c r="DS25" s="28">
        <v>19.227499999999999</v>
      </c>
      <c r="DT25" s="28">
        <v>18.872299999999999</v>
      </c>
      <c r="DU25" s="28">
        <v>20.189800000000002</v>
      </c>
      <c r="DV25" s="28">
        <v>20.597300000000001</v>
      </c>
      <c r="DW25" s="22">
        <v>19</v>
      </c>
      <c r="DZ25" s="22">
        <v>19</v>
      </c>
      <c r="EA25" s="28">
        <v>14.582100000000001</v>
      </c>
      <c r="EB25" s="28">
        <v>14.8971</v>
      </c>
      <c r="EC25" s="28">
        <v>15.427099999999999</v>
      </c>
      <c r="ED25" s="28">
        <v>15.2455</v>
      </c>
      <c r="EE25" s="28">
        <v>15.022500000000001</v>
      </c>
      <c r="EF25" s="28">
        <v>15.4199</v>
      </c>
      <c r="EG25" s="28">
        <v>15.747</v>
      </c>
      <c r="EH25" s="28">
        <v>16.3993</v>
      </c>
      <c r="EI25" s="28">
        <v>16.771599999999999</v>
      </c>
      <c r="EJ25" s="28">
        <v>16.425000000000001</v>
      </c>
      <c r="EK25" s="28">
        <v>16.757000000000001</v>
      </c>
      <c r="EL25" s="28">
        <v>17.100000000000001</v>
      </c>
      <c r="EM25" s="22">
        <v>19</v>
      </c>
      <c r="EP25" s="22">
        <v>19</v>
      </c>
      <c r="EQ25" s="28">
        <v>13.290699999999999</v>
      </c>
      <c r="ER25" s="28">
        <v>13.194900000000001</v>
      </c>
      <c r="ES25" s="28">
        <v>13.234</v>
      </c>
      <c r="ET25" s="28">
        <v>13.098599999999999</v>
      </c>
      <c r="EU25" s="28">
        <v>12.9755</v>
      </c>
      <c r="EV25" s="28">
        <v>13.1007</v>
      </c>
      <c r="EW25" s="28">
        <v>12.945399999999999</v>
      </c>
      <c r="EX25" s="28">
        <v>13.0748</v>
      </c>
      <c r="EY25" s="28">
        <v>13.1762</v>
      </c>
      <c r="EZ25" s="28">
        <v>13.5616</v>
      </c>
      <c r="FA25" s="28">
        <v>13.534800000000001</v>
      </c>
      <c r="FB25" s="28">
        <v>14.6028</v>
      </c>
      <c r="FC25" s="22">
        <v>19</v>
      </c>
      <c r="FF25" s="22">
        <v>19</v>
      </c>
      <c r="FG25" s="28">
        <v>12.5868</v>
      </c>
      <c r="FH25" s="28">
        <v>12.6866</v>
      </c>
      <c r="FI25" s="28">
        <v>12.454499999999999</v>
      </c>
      <c r="FJ25" s="28">
        <v>12.237</v>
      </c>
      <c r="FK25" s="28">
        <v>12.2378</v>
      </c>
      <c r="FL25" s="28">
        <v>12.737</v>
      </c>
      <c r="FM25" s="28">
        <v>12.545500000000001</v>
      </c>
      <c r="FN25" s="28">
        <v>12.862500000000001</v>
      </c>
      <c r="FO25" s="28">
        <v>12.924099999999999</v>
      </c>
      <c r="FP25" s="28">
        <v>12.771699999999999</v>
      </c>
      <c r="FQ25" s="28">
        <v>13.017300000000001</v>
      </c>
      <c r="FR25" s="28">
        <v>12.9575</v>
      </c>
      <c r="FS25" s="22">
        <v>19</v>
      </c>
      <c r="FV25" s="22">
        <v>19</v>
      </c>
      <c r="FW25" s="28">
        <v>13.4621</v>
      </c>
      <c r="FX25" s="28">
        <v>12.882199999999999</v>
      </c>
      <c r="FY25" s="28">
        <v>12.6591</v>
      </c>
      <c r="FZ25" s="28">
        <v>13.0816</v>
      </c>
      <c r="GA25" s="28">
        <v>13.7994</v>
      </c>
      <c r="GB25" s="28">
        <v>13.9115</v>
      </c>
      <c r="GC25" s="28">
        <v>13.2226</v>
      </c>
      <c r="GD25" s="28">
        <v>13.143000000000001</v>
      </c>
      <c r="GE25" s="28">
        <v>12.7492</v>
      </c>
      <c r="GF25" s="28">
        <v>12.7981</v>
      </c>
      <c r="GG25" s="28">
        <v>13.2522</v>
      </c>
      <c r="GH25" s="28">
        <v>12.7624</v>
      </c>
      <c r="GI25" s="22">
        <v>19</v>
      </c>
      <c r="GL25" s="22">
        <v>19</v>
      </c>
      <c r="GM25" s="28">
        <v>12.0299</v>
      </c>
      <c r="GN25" s="28">
        <v>12.048299999999999</v>
      </c>
      <c r="GO25" s="28">
        <v>12.092499999999999</v>
      </c>
      <c r="GP25" s="28">
        <v>11.709</v>
      </c>
      <c r="GQ25" s="28">
        <v>11.766</v>
      </c>
      <c r="GR25" s="28">
        <v>11.959099999999999</v>
      </c>
      <c r="GS25" s="28">
        <v>11.7178</v>
      </c>
      <c r="GT25" s="28">
        <v>12.165100000000001</v>
      </c>
      <c r="GU25" s="28">
        <v>12.964600000000001</v>
      </c>
      <c r="GV25" s="28">
        <v>13.295199999999999</v>
      </c>
      <c r="GW25" s="28">
        <v>13.637499999999999</v>
      </c>
      <c r="GX25" s="28">
        <v>13.823</v>
      </c>
      <c r="GY25" s="22">
        <v>19</v>
      </c>
      <c r="HB25" s="22">
        <v>19</v>
      </c>
      <c r="HC25" s="28">
        <v>12.6884</v>
      </c>
      <c r="HD25" s="28">
        <v>12.8781</v>
      </c>
      <c r="HE25" s="28">
        <v>12.4892</v>
      </c>
      <c r="HF25" s="28">
        <v>12.1934</v>
      </c>
      <c r="HG25" s="28">
        <v>12.692600000000001</v>
      </c>
      <c r="HH25" s="28">
        <v>12.592499999999999</v>
      </c>
      <c r="HI25" s="28">
        <v>12.779500000000001</v>
      </c>
      <c r="HJ25" s="28">
        <v>12.5944</v>
      </c>
      <c r="HK25" s="28">
        <v>12.8355</v>
      </c>
      <c r="HL25" s="28">
        <v>12.4276</v>
      </c>
      <c r="HM25" s="28">
        <v>12.378299999999999</v>
      </c>
      <c r="HN25" s="28">
        <v>12.4505</v>
      </c>
      <c r="HO25" s="22">
        <v>19</v>
      </c>
      <c r="HR25" s="22">
        <v>19</v>
      </c>
      <c r="HS25" s="28">
        <v>14.219200000000001</v>
      </c>
      <c r="HT25" s="28">
        <v>14.611800000000001</v>
      </c>
      <c r="HU25" s="28">
        <v>14.0502</v>
      </c>
      <c r="HV25" s="28">
        <v>13.0511</v>
      </c>
      <c r="HW25" s="28">
        <v>13.2058</v>
      </c>
      <c r="HX25" s="28">
        <v>13.469799999999999</v>
      </c>
      <c r="HY25" s="28">
        <v>13.587</v>
      </c>
      <c r="HZ25" s="28">
        <v>12.9963</v>
      </c>
      <c r="IA25" s="28">
        <v>13.23</v>
      </c>
      <c r="IB25" s="28">
        <v>13.0884</v>
      </c>
      <c r="IC25" s="28">
        <v>13.0875</v>
      </c>
      <c r="ID25" s="28">
        <v>12.9331</v>
      </c>
      <c r="IE25" s="22">
        <v>19</v>
      </c>
      <c r="IH25" s="22">
        <v>19</v>
      </c>
      <c r="II25" s="28">
        <v>10.9445</v>
      </c>
      <c r="IJ25" s="28">
        <v>10.7653</v>
      </c>
      <c r="IK25" s="28">
        <v>10.7613</v>
      </c>
      <c r="IL25" s="28">
        <v>10.482799999999999</v>
      </c>
      <c r="IM25" s="28">
        <v>10.476900000000001</v>
      </c>
      <c r="IN25" s="28">
        <v>10.315300000000001</v>
      </c>
      <c r="IO25" s="28">
        <v>10.2311</v>
      </c>
      <c r="IP25" s="28">
        <v>10.1966</v>
      </c>
      <c r="IQ25" s="28">
        <v>10.870200000000001</v>
      </c>
      <c r="IR25" s="28">
        <v>13.0633</v>
      </c>
      <c r="IS25" s="28">
        <v>13.0242</v>
      </c>
      <c r="IT25" s="28">
        <v>13.1275</v>
      </c>
      <c r="IU25" s="22">
        <v>19</v>
      </c>
      <c r="IX25" s="22">
        <v>19</v>
      </c>
      <c r="IY25" s="28">
        <v>10.923400000000001</v>
      </c>
      <c r="IZ25" s="28">
        <v>10.952199999999999</v>
      </c>
      <c r="JA25" s="28">
        <v>11.1348</v>
      </c>
      <c r="JB25" s="28">
        <v>10.991099999999999</v>
      </c>
      <c r="JC25" s="28">
        <v>10.8033</v>
      </c>
      <c r="JD25" s="28">
        <v>10.8148</v>
      </c>
      <c r="JE25" s="28">
        <v>10.7628</v>
      </c>
      <c r="JF25" s="28">
        <v>11.2676</v>
      </c>
      <c r="JG25" s="28">
        <v>11.1471</v>
      </c>
      <c r="JH25" s="28">
        <v>10.818099999999999</v>
      </c>
      <c r="JI25" s="28">
        <v>10.9145</v>
      </c>
      <c r="JJ25" s="28">
        <v>10.846</v>
      </c>
      <c r="JK25" s="22">
        <v>19</v>
      </c>
      <c r="JN25" s="22">
        <v>19</v>
      </c>
      <c r="JO25" s="28">
        <v>10.5372</v>
      </c>
      <c r="JP25" s="28">
        <v>10.5175</v>
      </c>
      <c r="JQ25" s="28">
        <v>10.6212</v>
      </c>
      <c r="JR25" s="28">
        <v>11.084199999999999</v>
      </c>
      <c r="JS25" s="28">
        <v>11.132999999999999</v>
      </c>
      <c r="JT25" s="28">
        <v>11.411300000000001</v>
      </c>
      <c r="JU25" s="28">
        <v>10.991400000000001</v>
      </c>
      <c r="JV25" s="28">
        <v>10.747999999999999</v>
      </c>
      <c r="JW25" s="28">
        <v>10.9468</v>
      </c>
      <c r="JX25" s="28">
        <v>10.8703</v>
      </c>
      <c r="JY25" s="28">
        <v>10.8527</v>
      </c>
      <c r="JZ25" s="28">
        <v>10.773999999999999</v>
      </c>
      <c r="KA25" s="22">
        <v>19</v>
      </c>
      <c r="KD25" s="22">
        <v>19</v>
      </c>
      <c r="KE25" s="28">
        <v>11.2285</v>
      </c>
      <c r="KF25" s="28">
        <v>11.1389</v>
      </c>
      <c r="KG25" s="28">
        <v>11.2193</v>
      </c>
      <c r="KH25" s="28">
        <v>11.1021</v>
      </c>
      <c r="KI25" s="28">
        <v>10.9963</v>
      </c>
      <c r="KJ25" s="28">
        <v>10.800700000000001</v>
      </c>
      <c r="KK25" s="28">
        <v>10.6312</v>
      </c>
      <c r="KL25" s="28">
        <v>10.6088</v>
      </c>
      <c r="KM25" s="28">
        <v>10.8355</v>
      </c>
      <c r="KN25" s="28">
        <v>10.8462</v>
      </c>
      <c r="KO25" s="28">
        <v>10.676</v>
      </c>
      <c r="KP25" s="28">
        <v>10.7378</v>
      </c>
      <c r="KQ25" s="22">
        <v>19</v>
      </c>
      <c r="KT25" s="22">
        <v>19</v>
      </c>
      <c r="KU25" s="28">
        <v>10.8514</v>
      </c>
      <c r="KV25" s="28">
        <v>10.9337</v>
      </c>
      <c r="KW25" s="28">
        <v>10.998799999999999</v>
      </c>
      <c r="KX25" s="28">
        <v>11.27</v>
      </c>
      <c r="KY25" s="28">
        <v>11.5282</v>
      </c>
      <c r="KZ25" s="28">
        <v>11.3523</v>
      </c>
      <c r="LA25" s="28">
        <v>11.4909</v>
      </c>
      <c r="LB25" s="28">
        <v>11.348100000000001</v>
      </c>
      <c r="LC25" s="28">
        <v>11.533300000000001</v>
      </c>
      <c r="LD25" s="28">
        <v>11.454000000000001</v>
      </c>
      <c r="LE25" s="28">
        <v>11.3271</v>
      </c>
      <c r="LF25" s="28">
        <v>11.2316</v>
      </c>
      <c r="LG25" s="22">
        <v>19</v>
      </c>
      <c r="LJ25" s="22">
        <v>19</v>
      </c>
      <c r="LK25" s="28">
        <v>10.5083</v>
      </c>
      <c r="LL25" s="28">
        <v>10.7667</v>
      </c>
      <c r="LM25" s="28">
        <v>10.8713</v>
      </c>
      <c r="LN25" s="28">
        <v>10.639799999999999</v>
      </c>
      <c r="LO25" s="28">
        <v>10.2927</v>
      </c>
      <c r="LP25" s="28">
        <v>10.5014</v>
      </c>
      <c r="LQ25" s="28">
        <v>10.349</v>
      </c>
      <c r="LR25" s="28">
        <v>10.7273</v>
      </c>
      <c r="LS25" s="28">
        <v>10.9054</v>
      </c>
      <c r="LT25" s="28">
        <v>11.247199999999999</v>
      </c>
      <c r="LU25" s="28">
        <v>11.1823</v>
      </c>
      <c r="LV25" s="28">
        <v>11.2676</v>
      </c>
      <c r="LW25" s="22">
        <v>19</v>
      </c>
      <c r="LZ25" s="22">
        <v>19</v>
      </c>
      <c r="MA25" s="28">
        <v>9.1255000000000006</v>
      </c>
      <c r="MB25" s="28">
        <v>9.0652000000000008</v>
      </c>
      <c r="MC25" s="28">
        <v>9.0929000000000002</v>
      </c>
      <c r="MD25" s="28">
        <v>9.1904000000000003</v>
      </c>
      <c r="ME25" s="28">
        <v>9.4863</v>
      </c>
      <c r="MF25" s="28">
        <v>9.6077999999999992</v>
      </c>
      <c r="MG25" s="28">
        <v>9.6468000000000007</v>
      </c>
      <c r="MH25" s="28">
        <v>9.9291999999999998</v>
      </c>
      <c r="MI25" s="28">
        <v>9.9657999999999998</v>
      </c>
      <c r="MJ25" s="28">
        <v>9.9987999999999992</v>
      </c>
      <c r="MK25" s="28">
        <v>10.2484</v>
      </c>
      <c r="ML25" s="28">
        <v>10.205299999999999</v>
      </c>
      <c r="MM25" s="22">
        <v>19</v>
      </c>
      <c r="MP25" s="22">
        <v>19</v>
      </c>
      <c r="MQ25" s="28">
        <v>9.8878000000000004</v>
      </c>
      <c r="MR25" s="28">
        <v>9.6762999999999995</v>
      </c>
      <c r="MS25" s="28">
        <v>9.5843000000000007</v>
      </c>
      <c r="MT25" s="28">
        <v>9.2722999999999995</v>
      </c>
      <c r="MU25" s="28">
        <v>8.9952000000000005</v>
      </c>
      <c r="MV25" s="28">
        <v>9.0521999999999991</v>
      </c>
      <c r="MW25" s="28">
        <v>9.1854999999999993</v>
      </c>
      <c r="MX25" s="28">
        <v>9.0832999999999995</v>
      </c>
      <c r="MY25" s="28">
        <v>9.4478000000000009</v>
      </c>
      <c r="MZ25" s="28">
        <v>9.234</v>
      </c>
      <c r="NA25" s="28">
        <v>9.2027999999999999</v>
      </c>
      <c r="NB25" s="28">
        <v>9.1197999999999997</v>
      </c>
      <c r="NC25" s="22">
        <v>19</v>
      </c>
      <c r="NF25" s="22">
        <v>19</v>
      </c>
      <c r="NG25" s="28">
        <v>9.4171999999999993</v>
      </c>
      <c r="NH25" s="28">
        <v>9.3904999999999994</v>
      </c>
      <c r="NI25" s="28">
        <v>9.3224</v>
      </c>
      <c r="NJ25" s="28">
        <v>9.4882000000000009</v>
      </c>
      <c r="NK25" s="28">
        <v>9.5450999999999997</v>
      </c>
      <c r="NL25" s="28">
        <v>9.8477999999999994</v>
      </c>
      <c r="NM25" s="28">
        <v>9.3491</v>
      </c>
      <c r="NN25" s="28">
        <v>9.1873000000000005</v>
      </c>
      <c r="NO25" s="28">
        <v>9.3516999999999992</v>
      </c>
      <c r="NP25" s="28">
        <v>9.5442999999999998</v>
      </c>
      <c r="NQ25" s="28">
        <v>9.4827999999999992</v>
      </c>
      <c r="NR25" s="28">
        <v>9.4078999999999997</v>
      </c>
      <c r="NS25" s="22">
        <v>19</v>
      </c>
      <c r="NV25" s="22">
        <v>19</v>
      </c>
      <c r="NW25" s="28">
        <v>10.3485</v>
      </c>
      <c r="NX25" s="28">
        <v>9.9042999999999992</v>
      </c>
      <c r="NY25" s="28">
        <v>9.6888000000000005</v>
      </c>
      <c r="NZ25" s="28">
        <v>9.5429999999999993</v>
      </c>
      <c r="OA25" s="28">
        <v>9.3663000000000007</v>
      </c>
      <c r="OB25" s="28">
        <v>9.4038000000000004</v>
      </c>
      <c r="OC25" s="28">
        <v>9.3343000000000007</v>
      </c>
      <c r="OD25" s="28">
        <v>9.3331999999999997</v>
      </c>
      <c r="OE25" s="28">
        <v>9.3092000000000006</v>
      </c>
      <c r="OF25" s="28">
        <v>9.7113999999999994</v>
      </c>
      <c r="OG25" s="28">
        <v>9.3549000000000007</v>
      </c>
      <c r="OH25" s="28">
        <v>9.3577999999999992</v>
      </c>
      <c r="OI25" s="22">
        <v>19</v>
      </c>
      <c r="OL25" s="22">
        <v>19</v>
      </c>
      <c r="OM25" s="28">
        <v>8.2761999999999993</v>
      </c>
      <c r="ON25" s="28">
        <v>8.4578000000000007</v>
      </c>
      <c r="OO25" s="28">
        <v>8.6047999999999991</v>
      </c>
      <c r="OP25" s="28">
        <v>8.5008999999999997</v>
      </c>
      <c r="OQ25" s="28">
        <v>8.5146999999999995</v>
      </c>
      <c r="OR25" s="28">
        <v>8.8803000000000001</v>
      </c>
      <c r="OS25" s="28">
        <v>8.8392999999999997</v>
      </c>
      <c r="OT25" s="28">
        <v>9.3018000000000001</v>
      </c>
      <c r="OU25" s="28">
        <v>10.315799999999999</v>
      </c>
      <c r="OV25" s="28">
        <v>10.1312</v>
      </c>
      <c r="OW25" s="28">
        <v>9.9440000000000008</v>
      </c>
      <c r="OX25" s="28">
        <v>9.7863000000000007</v>
      </c>
      <c r="OY25" s="22">
        <v>19</v>
      </c>
      <c r="PB25" s="22">
        <v>19</v>
      </c>
      <c r="PC25" s="28">
        <v>7.8221999999999996</v>
      </c>
      <c r="PD25" s="28">
        <v>7.7691999999999997</v>
      </c>
      <c r="PE25" s="28">
        <v>7.992</v>
      </c>
      <c r="PF25" s="28">
        <v>7.8852000000000002</v>
      </c>
      <c r="PG25" s="28">
        <v>7.9031000000000002</v>
      </c>
      <c r="PH25" s="28">
        <v>7.9424000000000001</v>
      </c>
      <c r="PI25" s="28">
        <v>7.8556999999999997</v>
      </c>
      <c r="PJ25" s="28">
        <v>7.7645999999999997</v>
      </c>
      <c r="PK25" s="28">
        <v>7.7545999999999999</v>
      </c>
      <c r="PL25" s="28">
        <v>7.7336</v>
      </c>
      <c r="PM25" s="28">
        <v>8.2424999999999997</v>
      </c>
      <c r="PN25" s="28">
        <v>8.0786999999999995</v>
      </c>
      <c r="PO25" s="22">
        <v>19</v>
      </c>
      <c r="PR25" s="22">
        <v>19</v>
      </c>
      <c r="PS25" s="28">
        <v>7.51</v>
      </c>
      <c r="PT25" s="28">
        <v>7.5007999999999999</v>
      </c>
      <c r="PU25" s="28">
        <v>7.5762</v>
      </c>
      <c r="PV25" s="28">
        <v>7.4276</v>
      </c>
      <c r="PW25" s="28">
        <v>7.4179000000000004</v>
      </c>
      <c r="PX25" s="28">
        <v>7.5842999999999998</v>
      </c>
      <c r="PY25" s="28">
        <v>7.6536</v>
      </c>
      <c r="PZ25" s="28">
        <v>7.5076999999999998</v>
      </c>
      <c r="QA25" s="28">
        <v>7.5054999999999996</v>
      </c>
      <c r="QB25" s="28">
        <v>7.7725999999999997</v>
      </c>
      <c r="QC25" s="28">
        <v>7.9020000000000001</v>
      </c>
      <c r="QD25" s="28">
        <v>7.8771000000000004</v>
      </c>
      <c r="QE25" s="22">
        <v>19</v>
      </c>
      <c r="QH25" s="22">
        <v>19</v>
      </c>
      <c r="QI25" s="28">
        <v>5.3075000000000001</v>
      </c>
      <c r="QJ25" s="28">
        <v>6.1</v>
      </c>
      <c r="QK25" s="28">
        <v>7.2074999999999996</v>
      </c>
      <c r="QL25" s="28">
        <v>6.2732999999999999</v>
      </c>
      <c r="QM25" s="28">
        <v>5.9275000000000002</v>
      </c>
      <c r="QN25" s="28">
        <v>6.1867000000000001</v>
      </c>
      <c r="QO25" s="28">
        <v>5.9896000000000003</v>
      </c>
      <c r="QP25" s="28">
        <v>6.1849999999999996</v>
      </c>
      <c r="QQ25" s="28">
        <v>6.2750000000000004</v>
      </c>
      <c r="QR25" s="28">
        <v>6.7607999999999997</v>
      </c>
      <c r="QS25" s="28">
        <v>7.8</v>
      </c>
      <c r="QT25" s="28">
        <v>7.7695999999999996</v>
      </c>
      <c r="QU25" s="22">
        <v>19</v>
      </c>
      <c r="QX25" s="22">
        <v>19</v>
      </c>
      <c r="QY25" s="28">
        <v>3.1061000000000001</v>
      </c>
      <c r="QZ25" s="28">
        <v>3.1053000000000002</v>
      </c>
      <c r="RA25" s="28">
        <v>3.3043</v>
      </c>
      <c r="RB25" s="28">
        <v>3.367</v>
      </c>
      <c r="RC25" s="28">
        <v>3.3290000000000002</v>
      </c>
      <c r="RD25" s="28">
        <v>3.3675000000000002</v>
      </c>
      <c r="RE25" s="28">
        <v>3.4020000000000001</v>
      </c>
      <c r="RF25" s="28">
        <v>3.3845000000000001</v>
      </c>
      <c r="RG25" s="28">
        <v>3.4167999999999998</v>
      </c>
      <c r="RH25" s="28">
        <v>3.4215</v>
      </c>
      <c r="RI25" s="28">
        <v>3.4533999999999998</v>
      </c>
      <c r="RJ25" s="28">
        <v>3.4605999999999999</v>
      </c>
      <c r="RK25" s="22">
        <v>19</v>
      </c>
      <c r="RN25" s="22">
        <v>19</v>
      </c>
      <c r="RO25" s="28">
        <v>3.1103000000000001</v>
      </c>
      <c r="RP25" s="28">
        <v>3.0985999999999998</v>
      </c>
      <c r="RQ25" s="28">
        <v>3.1190000000000002</v>
      </c>
      <c r="RR25" s="28">
        <v>3.0939999999999999</v>
      </c>
      <c r="RS25" s="28">
        <v>3.1269999999999998</v>
      </c>
      <c r="RT25" s="28">
        <v>3.1171000000000002</v>
      </c>
      <c r="RU25" s="28">
        <v>3.1242000000000001</v>
      </c>
      <c r="RV25" s="28">
        <v>3.1103999999999998</v>
      </c>
      <c r="RW25" s="28">
        <v>3.1107999999999998</v>
      </c>
      <c r="RX25" s="28">
        <v>3.1139999999999999</v>
      </c>
      <c r="RY25" s="28">
        <v>3.1608000000000001</v>
      </c>
      <c r="RZ25" s="28">
        <v>3.1053000000000002</v>
      </c>
      <c r="SA25" s="22">
        <v>19</v>
      </c>
      <c r="SD25" s="22">
        <v>19</v>
      </c>
      <c r="SE25" s="28">
        <v>3.0678999999999998</v>
      </c>
      <c r="SF25" s="28">
        <v>3.0621</v>
      </c>
      <c r="SG25" s="28">
        <v>3.0617999999999999</v>
      </c>
      <c r="SH25" s="28">
        <v>3.0649999999999999</v>
      </c>
      <c r="SI25" s="28">
        <v>3.1038999999999999</v>
      </c>
      <c r="SJ25" s="28">
        <v>3.1219999999999999</v>
      </c>
      <c r="SK25" s="28">
        <v>3.1175000000000002</v>
      </c>
      <c r="SL25" s="28">
        <v>3.0869</v>
      </c>
      <c r="SM25" s="28">
        <v>3.0916000000000001</v>
      </c>
      <c r="SN25" s="28">
        <v>3.1343999999999999</v>
      </c>
      <c r="SO25" s="28">
        <v>3.1168</v>
      </c>
      <c r="SP25" s="28">
        <v>3.1204000000000001</v>
      </c>
      <c r="SQ25" s="22">
        <v>19</v>
      </c>
      <c r="ST25" s="22">
        <v>19</v>
      </c>
      <c r="SU25" s="28">
        <v>2.9533999999999998</v>
      </c>
      <c r="SV25" s="28">
        <v>2.9649999999999999</v>
      </c>
      <c r="SW25" s="28">
        <v>2.9762</v>
      </c>
      <c r="SX25" s="28">
        <v>2.9893999999999998</v>
      </c>
      <c r="SY25" s="28">
        <v>3.0009999999999999</v>
      </c>
      <c r="SZ25" s="28">
        <v>3.0137999999999998</v>
      </c>
      <c r="TA25" s="28">
        <v>3.0257999999999998</v>
      </c>
      <c r="TB25" s="28">
        <v>3.0373999999999999</v>
      </c>
      <c r="TC25" s="28">
        <v>3.0506000000000002</v>
      </c>
      <c r="TD25" s="28">
        <v>3.0642</v>
      </c>
      <c r="TE25" s="28">
        <v>3.0683799999999999</v>
      </c>
      <c r="TF25" s="28">
        <v>3.0755599999999998</v>
      </c>
      <c r="TG25" s="22">
        <v>19</v>
      </c>
      <c r="TJ25" s="22">
        <v>19</v>
      </c>
      <c r="TK25" s="28">
        <v>2.661</v>
      </c>
      <c r="TL25" s="28">
        <v>2.69</v>
      </c>
      <c r="TM25" s="28">
        <v>2.718</v>
      </c>
      <c r="TN25" s="28">
        <v>2.7509999999999999</v>
      </c>
      <c r="TO25" s="28">
        <v>2.7810000000000001</v>
      </c>
      <c r="TP25" s="28">
        <v>2.8066</v>
      </c>
      <c r="TQ25" s="28">
        <v>2.8321999999999998</v>
      </c>
      <c r="TR25" s="28">
        <v>2.8561999999999999</v>
      </c>
      <c r="TS25" s="28">
        <v>2.8818000000000001</v>
      </c>
      <c r="TT25" s="28">
        <v>2.9058000000000002</v>
      </c>
      <c r="TU25" s="28">
        <v>2.9281999999999999</v>
      </c>
      <c r="TV25" s="28">
        <v>2.9409999999999998</v>
      </c>
      <c r="TW25" s="22">
        <v>19</v>
      </c>
      <c r="TZ25" s="22">
        <v>19</v>
      </c>
      <c r="UA25" s="28">
        <v>2.2959999999999998</v>
      </c>
      <c r="UB25" s="28">
        <v>2.3260000000000001</v>
      </c>
      <c r="UC25" s="28">
        <v>2.3540000000000001</v>
      </c>
      <c r="UD25" s="28">
        <v>2.3860000000000001</v>
      </c>
      <c r="UE25" s="28">
        <v>2.4159999999999999</v>
      </c>
      <c r="UF25" s="28">
        <v>2.4449999999999998</v>
      </c>
      <c r="UG25" s="28">
        <v>2.4769999999999999</v>
      </c>
      <c r="UH25" s="28">
        <v>2.508</v>
      </c>
      <c r="UI25" s="28">
        <v>2.5369999999999999</v>
      </c>
      <c r="UJ25" s="28">
        <v>2.569</v>
      </c>
      <c r="UK25" s="28">
        <v>2.5990000000000002</v>
      </c>
      <c r="UL25" s="28">
        <v>2.6280000000000001</v>
      </c>
      <c r="UM25" s="22">
        <v>19</v>
      </c>
    </row>
    <row r="26" spans="2:559" s="7" customFormat="1" ht="19.2">
      <c r="B26" s="22">
        <v>20</v>
      </c>
      <c r="C26" s="28">
        <v>18.749300000000002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2">
        <v>20</v>
      </c>
      <c r="R26" s="22">
        <v>20</v>
      </c>
      <c r="S26" s="28">
        <v>20.402999999999999</v>
      </c>
      <c r="T26" s="28">
        <v>20.297799999999999</v>
      </c>
      <c r="U26" s="28">
        <v>20.558499999999999</v>
      </c>
      <c r="V26" s="28">
        <v>19.9377</v>
      </c>
      <c r="W26" s="28">
        <v>19.9663</v>
      </c>
      <c r="X26" s="28">
        <v>20.572800000000001</v>
      </c>
      <c r="Y26" s="28">
        <v>20.395700000000001</v>
      </c>
      <c r="Z26" s="28">
        <v>20.083500000000001</v>
      </c>
      <c r="AA26" s="28">
        <v>20.052499999999998</v>
      </c>
      <c r="AB26" s="28">
        <v>20.020700000000001</v>
      </c>
      <c r="AC26" s="28">
        <v>19.433299999999999</v>
      </c>
      <c r="AD26" s="28">
        <v>19.793199999999999</v>
      </c>
      <c r="AE26" s="22">
        <v>20</v>
      </c>
      <c r="AH26" s="22">
        <v>20</v>
      </c>
      <c r="AI26" s="28">
        <v>19.757000000000001</v>
      </c>
      <c r="AJ26" s="28">
        <v>20.416499999999999</v>
      </c>
      <c r="AK26" s="28">
        <v>20.441500000000001</v>
      </c>
      <c r="AL26" s="28">
        <v>19.915800000000001</v>
      </c>
      <c r="AM26" s="28">
        <v>19.831299999999999</v>
      </c>
      <c r="AN26" s="28">
        <v>20.429200000000002</v>
      </c>
      <c r="AO26" s="28">
        <v>19.8537</v>
      </c>
      <c r="AP26" s="28">
        <v>20.0107</v>
      </c>
      <c r="AQ26" s="28">
        <v>19.900300000000001</v>
      </c>
      <c r="AR26" s="28">
        <v>20.358699999999999</v>
      </c>
      <c r="AS26" s="28">
        <v>20.762799999999999</v>
      </c>
      <c r="AT26" s="28">
        <v>20.9238</v>
      </c>
      <c r="AU26" s="22">
        <v>20</v>
      </c>
      <c r="AV26" s="8"/>
      <c r="AW26" s="8"/>
      <c r="AX26" s="22">
        <v>20</v>
      </c>
      <c r="AY26" s="28">
        <v>18.792999999999999</v>
      </c>
      <c r="AZ26" s="28">
        <v>18.595199999999998</v>
      </c>
      <c r="BA26" s="28">
        <v>23.9008</v>
      </c>
      <c r="BB26" s="28">
        <v>24.209800000000001</v>
      </c>
      <c r="BC26" s="28">
        <v>23.603200000000001</v>
      </c>
      <c r="BD26" s="28">
        <v>22.608799999999999</v>
      </c>
      <c r="BE26" s="28">
        <v>22.3032</v>
      </c>
      <c r="BF26" s="28">
        <v>22.153500000000001</v>
      </c>
      <c r="BG26" s="28">
        <v>20.984999999999999</v>
      </c>
      <c r="BH26" s="28">
        <v>21.176500000000001</v>
      </c>
      <c r="BI26" s="28">
        <v>20.238800000000001</v>
      </c>
      <c r="BJ26" s="28">
        <v>19.817299999999999</v>
      </c>
      <c r="BK26" s="22">
        <v>20</v>
      </c>
      <c r="BN26" s="22">
        <v>20</v>
      </c>
      <c r="BO26" s="28">
        <v>19.062999999999999</v>
      </c>
      <c r="BP26" s="28">
        <v>19.2578</v>
      </c>
      <c r="BQ26" s="29">
        <v>19.217600000000001</v>
      </c>
      <c r="BR26" s="28">
        <v>18.951599999999999</v>
      </c>
      <c r="BS26" s="28">
        <v>19.071000000000002</v>
      </c>
      <c r="BT26" s="28">
        <v>19.101099999999999</v>
      </c>
      <c r="BU26" s="28">
        <v>19.0108</v>
      </c>
      <c r="BV26" s="28">
        <v>19.5669</v>
      </c>
      <c r="BW26" s="28">
        <v>19.352799999999998</v>
      </c>
      <c r="BX26" s="28">
        <v>19.1602</v>
      </c>
      <c r="BY26" s="28">
        <v>19.206299999999999</v>
      </c>
      <c r="BZ26" s="28">
        <v>18.9542</v>
      </c>
      <c r="CA26" s="22">
        <v>20</v>
      </c>
      <c r="CD26" s="22">
        <v>20</v>
      </c>
      <c r="CE26" s="28">
        <v>18.636099999999999</v>
      </c>
      <c r="CF26" s="28">
        <v>18.479700000000001</v>
      </c>
      <c r="CG26" s="29">
        <v>18.702300000000001</v>
      </c>
      <c r="CH26" s="28">
        <v>18.033300000000001</v>
      </c>
      <c r="CI26" s="28">
        <v>19.703299999999999</v>
      </c>
      <c r="CJ26" s="28">
        <v>20.6968</v>
      </c>
      <c r="CK26" s="28">
        <v>18.91</v>
      </c>
      <c r="CL26" s="28">
        <v>19.010000000000002</v>
      </c>
      <c r="CM26" s="28">
        <v>18.769400000000001</v>
      </c>
      <c r="CN26" s="28">
        <v>19.101800000000001</v>
      </c>
      <c r="CO26" s="28">
        <v>20.3371</v>
      </c>
      <c r="CP26" s="28">
        <v>20.127700000000001</v>
      </c>
      <c r="CQ26" s="22">
        <v>20</v>
      </c>
      <c r="CT26" s="22">
        <v>20</v>
      </c>
      <c r="CU26" s="28">
        <v>21.851400000000002</v>
      </c>
      <c r="CV26" s="28">
        <v>20.3325</v>
      </c>
      <c r="CW26" s="28">
        <v>19.172999999999998</v>
      </c>
      <c r="CX26" s="28">
        <v>18.4863</v>
      </c>
      <c r="CY26" s="28">
        <v>18.889800000000001</v>
      </c>
      <c r="CZ26" s="28">
        <v>17.932099999999998</v>
      </c>
      <c r="DA26" s="28">
        <v>17.513400000000001</v>
      </c>
      <c r="DB26" s="28">
        <v>17.732399999999998</v>
      </c>
      <c r="DC26" s="28">
        <v>17.760999999999999</v>
      </c>
      <c r="DD26" s="28">
        <v>18.886900000000001</v>
      </c>
      <c r="DE26" s="28">
        <v>19.122399999999999</v>
      </c>
      <c r="DF26" s="28">
        <v>19.0289</v>
      </c>
      <c r="DG26" s="22">
        <v>20</v>
      </c>
      <c r="DJ26" s="22">
        <v>20</v>
      </c>
      <c r="DK26" s="28">
        <v>18.232700000000001</v>
      </c>
      <c r="DL26" s="28">
        <v>18.143899999999999</v>
      </c>
      <c r="DM26" s="28">
        <v>17.403400000000001</v>
      </c>
      <c r="DN26" s="28">
        <v>17.459800000000001</v>
      </c>
      <c r="DO26" s="28">
        <v>18.376100000000001</v>
      </c>
      <c r="DP26" s="28">
        <v>18.9968</v>
      </c>
      <c r="DQ26" s="28">
        <v>18.4879</v>
      </c>
      <c r="DR26" s="28">
        <v>18.083200000000001</v>
      </c>
      <c r="DS26" s="28">
        <v>19.2514</v>
      </c>
      <c r="DT26" s="28">
        <v>18.672599999999999</v>
      </c>
      <c r="DU26" s="28">
        <v>20.189800000000002</v>
      </c>
      <c r="DV26" s="28">
        <v>20.428000000000001</v>
      </c>
      <c r="DW26" s="22">
        <v>20</v>
      </c>
      <c r="DZ26" s="22">
        <v>20</v>
      </c>
      <c r="EA26" s="28">
        <v>14.622299999999999</v>
      </c>
      <c r="EB26" s="28">
        <v>14.9473</v>
      </c>
      <c r="EC26" s="28">
        <v>15.4192</v>
      </c>
      <c r="ED26" s="28">
        <v>15.2455</v>
      </c>
      <c r="EE26" s="28">
        <v>15.12</v>
      </c>
      <c r="EF26" s="28">
        <v>15.4199</v>
      </c>
      <c r="EG26" s="28">
        <v>15.801399999999999</v>
      </c>
      <c r="EH26" s="28">
        <v>16.431699999999999</v>
      </c>
      <c r="EI26" s="28">
        <v>16.771599999999999</v>
      </c>
      <c r="EJ26" s="28">
        <v>16.395900000000001</v>
      </c>
      <c r="EK26" s="28">
        <v>16.7636</v>
      </c>
      <c r="EL26" s="28">
        <v>17.100000000000001</v>
      </c>
      <c r="EM26" s="22">
        <v>20</v>
      </c>
      <c r="EP26" s="22">
        <v>20</v>
      </c>
      <c r="EQ26" s="28">
        <v>13.290699999999999</v>
      </c>
      <c r="ER26" s="28">
        <v>13.226100000000001</v>
      </c>
      <c r="ES26" s="28">
        <v>13.1675</v>
      </c>
      <c r="ET26" s="28">
        <v>13.098599999999999</v>
      </c>
      <c r="EU26" s="28">
        <v>12.9193</v>
      </c>
      <c r="EV26" s="28">
        <v>13.0672</v>
      </c>
      <c r="EW26" s="28">
        <v>12.945399999999999</v>
      </c>
      <c r="EX26" s="28">
        <v>13.0505</v>
      </c>
      <c r="EY26" s="28">
        <v>13.2402</v>
      </c>
      <c r="EZ26" s="28">
        <v>13.5616</v>
      </c>
      <c r="FA26" s="28">
        <v>13.544499999999999</v>
      </c>
      <c r="FB26" s="28">
        <v>14.5562</v>
      </c>
      <c r="FC26" s="22">
        <v>20</v>
      </c>
      <c r="FF26" s="22">
        <v>20</v>
      </c>
      <c r="FG26" s="28">
        <v>12.5868</v>
      </c>
      <c r="FH26" s="28">
        <v>12.6959</v>
      </c>
      <c r="FI26" s="28">
        <v>12.439</v>
      </c>
      <c r="FJ26" s="28">
        <v>12.2479</v>
      </c>
      <c r="FK26" s="28">
        <v>12.2378</v>
      </c>
      <c r="FL26" s="28">
        <v>12.88</v>
      </c>
      <c r="FM26" s="28">
        <v>12.4976</v>
      </c>
      <c r="FN26" s="28">
        <v>12.872199999999999</v>
      </c>
      <c r="FO26" s="28">
        <v>12.9687</v>
      </c>
      <c r="FP26" s="28">
        <v>12.771699999999999</v>
      </c>
      <c r="FQ26" s="28">
        <v>12.952400000000001</v>
      </c>
      <c r="FR26" s="28">
        <v>12.9937</v>
      </c>
      <c r="FS26" s="22">
        <v>20</v>
      </c>
      <c r="FV26" s="22">
        <v>20</v>
      </c>
      <c r="FW26" s="28">
        <v>13.326700000000001</v>
      </c>
      <c r="FX26" s="28">
        <v>12.882199999999999</v>
      </c>
      <c r="FY26" s="28">
        <v>12.6591</v>
      </c>
      <c r="FZ26" s="28">
        <v>13.132199999999999</v>
      </c>
      <c r="GA26" s="28">
        <v>13.7994</v>
      </c>
      <c r="GB26" s="28">
        <v>13.9154</v>
      </c>
      <c r="GC26" s="28">
        <v>13.120100000000001</v>
      </c>
      <c r="GD26" s="28">
        <v>13.143000000000001</v>
      </c>
      <c r="GE26" s="28">
        <v>12.8192</v>
      </c>
      <c r="GF26" s="28">
        <v>12.8299</v>
      </c>
      <c r="GG26" s="28">
        <v>13.2522</v>
      </c>
      <c r="GH26" s="28">
        <v>12.723599999999999</v>
      </c>
      <c r="GI26" s="22">
        <v>20</v>
      </c>
      <c r="GL26" s="22">
        <v>20</v>
      </c>
      <c r="GM26" s="28">
        <v>12.0261</v>
      </c>
      <c r="GN26" s="28">
        <v>12.048299999999999</v>
      </c>
      <c r="GO26" s="28">
        <v>12.092499999999999</v>
      </c>
      <c r="GP26" s="28">
        <v>11.7783</v>
      </c>
      <c r="GQ26" s="28">
        <v>11.7234</v>
      </c>
      <c r="GR26" s="28">
        <v>11.959099999999999</v>
      </c>
      <c r="GS26" s="28">
        <v>11.787699999999999</v>
      </c>
      <c r="GT26" s="28">
        <v>12.368499999999999</v>
      </c>
      <c r="GU26" s="28">
        <v>12.912699999999999</v>
      </c>
      <c r="GV26" s="28">
        <v>13.4445</v>
      </c>
      <c r="GW26" s="28">
        <v>13.637499999999999</v>
      </c>
      <c r="GX26" s="28">
        <v>13.845000000000001</v>
      </c>
      <c r="GY26" s="22">
        <v>20</v>
      </c>
      <c r="HB26" s="22">
        <v>20</v>
      </c>
      <c r="HC26" s="28">
        <v>12.666399999999999</v>
      </c>
      <c r="HD26" s="28">
        <v>12.844200000000001</v>
      </c>
      <c r="HE26" s="28">
        <v>12.472899999999999</v>
      </c>
      <c r="HF26" s="28">
        <v>12.2356</v>
      </c>
      <c r="HG26" s="28">
        <v>12.5787</v>
      </c>
      <c r="HH26" s="28">
        <v>12.592499999999999</v>
      </c>
      <c r="HI26" s="28">
        <v>12.901300000000001</v>
      </c>
      <c r="HJ26" s="28">
        <v>12.6073</v>
      </c>
      <c r="HK26" s="28">
        <v>12.8355</v>
      </c>
      <c r="HL26" s="28">
        <v>12.413500000000001</v>
      </c>
      <c r="HM26" s="28">
        <v>12.292400000000001</v>
      </c>
      <c r="HN26" s="28">
        <v>12.4505</v>
      </c>
      <c r="HO26" s="22">
        <v>20</v>
      </c>
      <c r="HR26" s="22">
        <v>20</v>
      </c>
      <c r="HS26" s="28">
        <v>13.905799999999999</v>
      </c>
      <c r="HT26" s="28">
        <v>14.672499999999999</v>
      </c>
      <c r="HU26" s="28">
        <v>14.1457</v>
      </c>
      <c r="HV26" s="28">
        <v>13.0511</v>
      </c>
      <c r="HW26" s="28">
        <v>13.1363</v>
      </c>
      <c r="HX26" s="28">
        <v>13.369400000000001</v>
      </c>
      <c r="HY26" s="28">
        <v>13.587</v>
      </c>
      <c r="HZ26" s="28">
        <v>12.955500000000001</v>
      </c>
      <c r="IA26" s="28">
        <v>13.23</v>
      </c>
      <c r="IB26" s="28">
        <v>13.105700000000001</v>
      </c>
      <c r="IC26" s="28">
        <v>12.9818</v>
      </c>
      <c r="ID26" s="28">
        <v>12.9331</v>
      </c>
      <c r="IE26" s="22">
        <v>20</v>
      </c>
      <c r="IH26" s="22">
        <v>20</v>
      </c>
      <c r="II26" s="28">
        <v>10.9445</v>
      </c>
      <c r="IJ26" s="28">
        <v>10.734999999999999</v>
      </c>
      <c r="IK26" s="28">
        <v>10.704000000000001</v>
      </c>
      <c r="IL26" s="28">
        <v>10.482799999999999</v>
      </c>
      <c r="IM26" s="28">
        <v>10.426600000000001</v>
      </c>
      <c r="IN26" s="28">
        <v>10.2935</v>
      </c>
      <c r="IO26" s="28">
        <v>10.2311</v>
      </c>
      <c r="IP26" s="28">
        <v>10.1395</v>
      </c>
      <c r="IQ26" s="28">
        <v>10.836499999999999</v>
      </c>
      <c r="IR26" s="28">
        <v>13.0633</v>
      </c>
      <c r="IS26" s="28">
        <v>13.195</v>
      </c>
      <c r="IT26" s="28">
        <v>13.215</v>
      </c>
      <c r="IU26" s="22">
        <v>20</v>
      </c>
      <c r="IX26" s="22">
        <v>20</v>
      </c>
      <c r="IY26" s="28">
        <v>10.9232</v>
      </c>
      <c r="IZ26" s="28">
        <v>10.995799999999999</v>
      </c>
      <c r="JA26" s="28">
        <v>11.1348</v>
      </c>
      <c r="JB26" s="28">
        <v>10.992000000000001</v>
      </c>
      <c r="JC26" s="28">
        <v>10.8033</v>
      </c>
      <c r="JD26" s="28">
        <v>10.776</v>
      </c>
      <c r="JE26" s="28">
        <v>10.752000000000001</v>
      </c>
      <c r="JF26" s="28">
        <v>11.2676</v>
      </c>
      <c r="JG26" s="28">
        <v>11.0959</v>
      </c>
      <c r="JH26" s="28">
        <v>10.8133</v>
      </c>
      <c r="JI26" s="28">
        <v>10.9145</v>
      </c>
      <c r="JJ26" s="28">
        <v>10.8553</v>
      </c>
      <c r="JK26" s="22">
        <v>20</v>
      </c>
      <c r="JN26" s="22">
        <v>20</v>
      </c>
      <c r="JO26" s="28">
        <v>10.5778</v>
      </c>
      <c r="JP26" s="28">
        <v>10.5175</v>
      </c>
      <c r="JQ26" s="28">
        <v>10.6212</v>
      </c>
      <c r="JR26" s="28">
        <v>11.001099999999999</v>
      </c>
      <c r="JS26" s="28">
        <v>11.2005</v>
      </c>
      <c r="JT26" s="28">
        <v>11.414</v>
      </c>
      <c r="JU26" s="28">
        <v>10.9618</v>
      </c>
      <c r="JV26" s="28">
        <v>10.747999999999999</v>
      </c>
      <c r="JW26" s="28">
        <v>10.927300000000001</v>
      </c>
      <c r="JX26" s="28">
        <v>10.825699999999999</v>
      </c>
      <c r="JY26" s="28">
        <v>10.8527</v>
      </c>
      <c r="JZ26" s="28">
        <v>10.8002</v>
      </c>
      <c r="KA26" s="22">
        <v>20</v>
      </c>
      <c r="KD26" s="22">
        <v>20</v>
      </c>
      <c r="KE26" s="28">
        <v>11.249499999999999</v>
      </c>
      <c r="KF26" s="28">
        <v>11.1389</v>
      </c>
      <c r="KG26" s="28">
        <v>11.2193</v>
      </c>
      <c r="KH26" s="28">
        <v>11.129</v>
      </c>
      <c r="KI26" s="28">
        <v>10.966799999999999</v>
      </c>
      <c r="KJ26" s="28">
        <v>10.800700000000001</v>
      </c>
      <c r="KK26" s="28">
        <v>10.595800000000001</v>
      </c>
      <c r="KL26" s="28">
        <v>10.6601</v>
      </c>
      <c r="KM26" s="28">
        <v>10.807</v>
      </c>
      <c r="KN26" s="28">
        <v>10.8307</v>
      </c>
      <c r="KO26" s="28">
        <v>10.676</v>
      </c>
      <c r="KP26" s="28">
        <v>10.7567</v>
      </c>
      <c r="KQ26" s="22">
        <v>20</v>
      </c>
      <c r="KT26" s="22">
        <v>20</v>
      </c>
      <c r="KU26" s="28">
        <v>10.8172</v>
      </c>
      <c r="KV26" s="28">
        <v>10.905799999999999</v>
      </c>
      <c r="KW26" s="28">
        <v>11.0128</v>
      </c>
      <c r="KX26" s="28">
        <v>11.2525</v>
      </c>
      <c r="KY26" s="28">
        <v>11.4933</v>
      </c>
      <c r="KZ26" s="28">
        <v>11.3523</v>
      </c>
      <c r="LA26" s="28">
        <v>11.4352</v>
      </c>
      <c r="LB26" s="28">
        <v>11.347200000000001</v>
      </c>
      <c r="LC26" s="28">
        <v>11.533300000000001</v>
      </c>
      <c r="LD26" s="28">
        <v>11.5068</v>
      </c>
      <c r="LE26" s="28">
        <v>11.333500000000001</v>
      </c>
      <c r="LF26" s="28">
        <v>11.2316</v>
      </c>
      <c r="LG26" s="22">
        <v>20</v>
      </c>
      <c r="LJ26" s="22">
        <v>20</v>
      </c>
      <c r="LK26" s="28">
        <v>10.5083</v>
      </c>
      <c r="LL26" s="28">
        <v>10.7722</v>
      </c>
      <c r="LM26" s="28">
        <v>10.8147</v>
      </c>
      <c r="LN26" s="28">
        <v>10.639799999999999</v>
      </c>
      <c r="LO26" s="28">
        <v>10.375999999999999</v>
      </c>
      <c r="LP26" s="28">
        <v>10.5883</v>
      </c>
      <c r="LQ26" s="28">
        <v>10.349</v>
      </c>
      <c r="LR26" s="28">
        <v>10.723000000000001</v>
      </c>
      <c r="LS26" s="28">
        <v>10.9163</v>
      </c>
      <c r="LT26" s="28">
        <v>11.247199999999999</v>
      </c>
      <c r="LU26" s="28">
        <v>11.164300000000001</v>
      </c>
      <c r="LV26" s="28">
        <v>11.2193</v>
      </c>
      <c r="LW26" s="22">
        <v>20</v>
      </c>
      <c r="LZ26" s="22">
        <v>20</v>
      </c>
      <c r="MA26" s="28">
        <v>9.1255000000000006</v>
      </c>
      <c r="MB26" s="28">
        <v>9.0638000000000005</v>
      </c>
      <c r="MC26" s="28">
        <v>9.0732999999999997</v>
      </c>
      <c r="MD26" s="28">
        <v>9.2345000000000006</v>
      </c>
      <c r="ME26" s="28">
        <v>9.4863</v>
      </c>
      <c r="MF26" s="28">
        <v>9.6257999999999999</v>
      </c>
      <c r="MG26" s="28">
        <v>9.6462000000000003</v>
      </c>
      <c r="MH26" s="28">
        <v>9.8643000000000001</v>
      </c>
      <c r="MI26" s="28">
        <v>10.0116</v>
      </c>
      <c r="MJ26" s="28">
        <v>9.9987999999999992</v>
      </c>
      <c r="MK26" s="28">
        <v>10.176</v>
      </c>
      <c r="ML26" s="28">
        <v>10.252599999999999</v>
      </c>
      <c r="MM26" s="22">
        <v>20</v>
      </c>
      <c r="MP26" s="22">
        <v>20</v>
      </c>
      <c r="MQ26" s="28">
        <v>9.8870000000000005</v>
      </c>
      <c r="MR26" s="28">
        <v>9.7021999999999995</v>
      </c>
      <c r="MS26" s="28">
        <v>9.6233000000000004</v>
      </c>
      <c r="MT26" s="28">
        <v>9.1966000000000001</v>
      </c>
      <c r="MU26" s="28">
        <v>8.9952000000000005</v>
      </c>
      <c r="MV26" s="28">
        <v>9.0502000000000002</v>
      </c>
      <c r="MW26" s="28">
        <v>9.1282999999999994</v>
      </c>
      <c r="MX26" s="28">
        <v>9.0832999999999995</v>
      </c>
      <c r="MY26" s="28">
        <v>9.4454999999999991</v>
      </c>
      <c r="MZ26" s="28">
        <v>9.2309999999999999</v>
      </c>
      <c r="NA26" s="28">
        <v>9.2120999999999995</v>
      </c>
      <c r="NB26" s="28">
        <v>9.1052</v>
      </c>
      <c r="NC26" s="22">
        <v>20</v>
      </c>
      <c r="NF26" s="22">
        <v>20</v>
      </c>
      <c r="NG26" s="28">
        <v>9.4382999999999999</v>
      </c>
      <c r="NH26" s="28">
        <v>9.3904999999999994</v>
      </c>
      <c r="NI26" s="28">
        <v>9.3224</v>
      </c>
      <c r="NJ26" s="28">
        <v>9.4388000000000005</v>
      </c>
      <c r="NK26" s="28">
        <v>9.5751000000000008</v>
      </c>
      <c r="NL26" s="28">
        <v>9.9243000000000006</v>
      </c>
      <c r="NM26" s="28">
        <v>9.3327000000000009</v>
      </c>
      <c r="NN26" s="28">
        <v>9.1873000000000005</v>
      </c>
      <c r="NO26" s="28">
        <v>9.4171999999999993</v>
      </c>
      <c r="NP26" s="28">
        <v>9.5764999999999993</v>
      </c>
      <c r="NQ26" s="28">
        <v>9.4827999999999992</v>
      </c>
      <c r="NR26" s="28">
        <v>9.3788</v>
      </c>
      <c r="NS26" s="22">
        <v>20</v>
      </c>
      <c r="NV26" s="22">
        <v>20</v>
      </c>
      <c r="NW26" s="28">
        <v>10.2258</v>
      </c>
      <c r="NX26" s="28">
        <v>9.8809000000000005</v>
      </c>
      <c r="NY26" s="28">
        <v>9.6462000000000003</v>
      </c>
      <c r="NZ26" s="28">
        <v>9.5236999999999998</v>
      </c>
      <c r="OA26" s="28">
        <v>9.2982999999999993</v>
      </c>
      <c r="OB26" s="28">
        <v>9.4038000000000004</v>
      </c>
      <c r="OC26" s="28">
        <v>9.3562999999999992</v>
      </c>
      <c r="OD26" s="28">
        <v>9.3217999999999996</v>
      </c>
      <c r="OE26" s="28">
        <v>9.3092000000000006</v>
      </c>
      <c r="OF26" s="28">
        <v>9.7142999999999997</v>
      </c>
      <c r="OG26" s="28">
        <v>9.3460000000000001</v>
      </c>
      <c r="OH26" s="28">
        <v>9.3577999999999992</v>
      </c>
      <c r="OI26" s="22">
        <v>20</v>
      </c>
      <c r="OL26" s="22">
        <v>20</v>
      </c>
      <c r="OM26" s="28">
        <v>8.1978000000000009</v>
      </c>
      <c r="ON26" s="28">
        <v>8.5427</v>
      </c>
      <c r="OO26" s="28">
        <v>8.5640999999999998</v>
      </c>
      <c r="OP26" s="28">
        <v>8.5008999999999997</v>
      </c>
      <c r="OQ26" s="28">
        <v>8.5303000000000004</v>
      </c>
      <c r="OR26" s="28">
        <v>8.8966999999999992</v>
      </c>
      <c r="OS26" s="28">
        <v>8.8392999999999997</v>
      </c>
      <c r="OT26" s="28">
        <v>9.2302</v>
      </c>
      <c r="OU26" s="28">
        <v>10.315799999999999</v>
      </c>
      <c r="OV26" s="28">
        <v>10.093299999999999</v>
      </c>
      <c r="OW26" s="28">
        <v>9.9305000000000003</v>
      </c>
      <c r="OX26" s="28">
        <v>9.7863000000000007</v>
      </c>
      <c r="OY26" s="22">
        <v>20</v>
      </c>
      <c r="PB26" s="22">
        <v>20</v>
      </c>
      <c r="PC26" s="28">
        <v>7.8221999999999996</v>
      </c>
      <c r="PD26" s="28">
        <v>7.8010000000000002</v>
      </c>
      <c r="PE26" s="28">
        <v>7.9492000000000003</v>
      </c>
      <c r="PF26" s="28">
        <v>7.8852000000000002</v>
      </c>
      <c r="PG26" s="28">
        <v>7.8941999999999997</v>
      </c>
      <c r="PH26" s="28">
        <v>7.9097999999999997</v>
      </c>
      <c r="PI26" s="28">
        <v>7.8556999999999997</v>
      </c>
      <c r="PJ26" s="28">
        <v>7.7756999999999996</v>
      </c>
      <c r="PK26" s="28">
        <v>7.7560000000000002</v>
      </c>
      <c r="PL26" s="28">
        <v>7.7336</v>
      </c>
      <c r="PM26" s="28">
        <v>8.2642000000000007</v>
      </c>
      <c r="PN26" s="28">
        <v>8.0739999999999998</v>
      </c>
      <c r="PO26" s="22">
        <v>20</v>
      </c>
      <c r="PR26" s="22">
        <v>20</v>
      </c>
      <c r="PS26" s="28">
        <v>7.4667000000000003</v>
      </c>
      <c r="PT26" s="28">
        <v>7.5446</v>
      </c>
      <c r="PU26" s="28">
        <v>7.5560999999999998</v>
      </c>
      <c r="PV26" s="28">
        <v>7.4409999999999998</v>
      </c>
      <c r="PW26" s="28">
        <v>7.4179000000000004</v>
      </c>
      <c r="PX26" s="28">
        <v>7.5552000000000001</v>
      </c>
      <c r="PY26" s="28">
        <v>7.6452999999999998</v>
      </c>
      <c r="PZ26" s="28">
        <v>7.4789000000000003</v>
      </c>
      <c r="QA26" s="28">
        <v>7.4907000000000004</v>
      </c>
      <c r="QB26" s="28">
        <v>7.7725999999999997</v>
      </c>
      <c r="QC26" s="28">
        <v>7.9085000000000001</v>
      </c>
      <c r="QD26" s="28">
        <v>7.8810000000000002</v>
      </c>
      <c r="QE26" s="22">
        <v>20</v>
      </c>
      <c r="QH26" s="22">
        <v>20</v>
      </c>
      <c r="QI26" s="28">
        <v>5.2824999999999998</v>
      </c>
      <c r="QJ26" s="28">
        <v>6.1</v>
      </c>
      <c r="QK26" s="28">
        <v>7.2074999999999996</v>
      </c>
      <c r="QL26" s="28">
        <v>6.2450000000000001</v>
      </c>
      <c r="QM26" s="28">
        <v>5.92</v>
      </c>
      <c r="QN26" s="28">
        <v>6.1807999999999996</v>
      </c>
      <c r="QO26" s="28">
        <v>6.0412999999999997</v>
      </c>
      <c r="QP26" s="28">
        <v>6.1849999999999996</v>
      </c>
      <c r="QQ26" s="28">
        <v>6.2874999999999996</v>
      </c>
      <c r="QR26" s="28">
        <v>6.7061999999999999</v>
      </c>
      <c r="QS26" s="28">
        <v>7.8</v>
      </c>
      <c r="QT26" s="28">
        <v>7.7587999999999999</v>
      </c>
      <c r="QU26" s="22">
        <v>20</v>
      </c>
      <c r="QX26" s="22">
        <v>20</v>
      </c>
      <c r="QY26" s="28">
        <v>3.1057999999999999</v>
      </c>
      <c r="QZ26" s="28">
        <v>3.1053000000000002</v>
      </c>
      <c r="RA26" s="28">
        <v>3.3043</v>
      </c>
      <c r="RB26" s="28">
        <v>3.3681999999999999</v>
      </c>
      <c r="RC26" s="28">
        <v>3.3309000000000002</v>
      </c>
      <c r="RD26" s="28">
        <v>3.3675000000000002</v>
      </c>
      <c r="RE26" s="28">
        <v>3.3997999999999999</v>
      </c>
      <c r="RF26" s="28">
        <v>3.3769</v>
      </c>
      <c r="RG26" s="28">
        <v>3.4144999999999999</v>
      </c>
      <c r="RH26" s="28">
        <v>3.4216000000000002</v>
      </c>
      <c r="RI26" s="28">
        <v>3.4533999999999998</v>
      </c>
      <c r="RJ26" s="28">
        <v>3.4634999999999998</v>
      </c>
      <c r="RK26" s="22">
        <v>20</v>
      </c>
      <c r="RN26" s="22">
        <v>20</v>
      </c>
      <c r="RO26" s="28">
        <v>3.1095000000000002</v>
      </c>
      <c r="RP26" s="28">
        <v>3.0943000000000001</v>
      </c>
      <c r="RQ26" s="28">
        <v>3.1168999999999998</v>
      </c>
      <c r="RR26" s="28">
        <v>3.0939999999999999</v>
      </c>
      <c r="RS26" s="28">
        <v>3.1168999999999998</v>
      </c>
      <c r="RT26" s="28">
        <v>3.1171000000000002</v>
      </c>
      <c r="RU26" s="28">
        <v>3.1244000000000001</v>
      </c>
      <c r="RV26" s="28">
        <v>3.1118999999999999</v>
      </c>
      <c r="RW26" s="28">
        <v>3.1107999999999998</v>
      </c>
      <c r="RX26" s="28">
        <v>3.1122999999999998</v>
      </c>
      <c r="RY26" s="28">
        <v>3.1114000000000002</v>
      </c>
      <c r="RZ26" s="28">
        <v>3.1053000000000002</v>
      </c>
      <c r="SA26" s="22">
        <v>20</v>
      </c>
      <c r="SD26" s="22">
        <v>20</v>
      </c>
      <c r="SE26" s="28">
        <v>3.0678999999999998</v>
      </c>
      <c r="SF26" s="28">
        <v>3.0617999999999999</v>
      </c>
      <c r="SG26" s="28">
        <v>3.0678999999999998</v>
      </c>
      <c r="SH26" s="28">
        <v>3.0649999999999999</v>
      </c>
      <c r="SI26" s="28">
        <v>3.0973999999999999</v>
      </c>
      <c r="SJ26" s="28">
        <v>3.1202999999999999</v>
      </c>
      <c r="SK26" s="28">
        <v>3.1175000000000002</v>
      </c>
      <c r="SL26" s="28">
        <v>3.0876000000000001</v>
      </c>
      <c r="SM26" s="28">
        <v>3.0916000000000001</v>
      </c>
      <c r="SN26" s="28">
        <v>3.1339999999999999</v>
      </c>
      <c r="SO26" s="28">
        <v>3.1150000000000002</v>
      </c>
      <c r="SP26" s="28">
        <v>3.1204000000000001</v>
      </c>
      <c r="SQ26" s="22">
        <v>20</v>
      </c>
      <c r="ST26" s="22">
        <v>20</v>
      </c>
      <c r="SU26" s="28">
        <v>2.9533999999999998</v>
      </c>
      <c r="SV26" s="28">
        <v>2.9662000000000002</v>
      </c>
      <c r="SW26" s="28">
        <v>2.9773999999999998</v>
      </c>
      <c r="SX26" s="28">
        <v>2.9897999999999998</v>
      </c>
      <c r="SY26" s="28">
        <v>3.0009999999999999</v>
      </c>
      <c r="SZ26" s="28">
        <v>3.0142000000000002</v>
      </c>
      <c r="TA26" s="28">
        <v>3.0261999999999998</v>
      </c>
      <c r="TB26" s="28">
        <v>3.0377999999999998</v>
      </c>
      <c r="TC26" s="28">
        <v>3.0510000000000002</v>
      </c>
      <c r="TD26" s="28">
        <v>3.0642</v>
      </c>
      <c r="TE26" s="28">
        <v>3.0672600000000001</v>
      </c>
      <c r="TF26" s="28">
        <v>3.0760000000000001</v>
      </c>
      <c r="TG26" s="22">
        <v>20</v>
      </c>
      <c r="TJ26" s="22">
        <v>20</v>
      </c>
      <c r="TK26" s="28">
        <v>2.6619999999999999</v>
      </c>
      <c r="TL26" s="28">
        <v>2.6909999999999998</v>
      </c>
      <c r="TM26" s="28">
        <v>2.7189999999999999</v>
      </c>
      <c r="TN26" s="28">
        <v>2.7519999999999998</v>
      </c>
      <c r="TO26" s="28">
        <v>2.7810000000000001</v>
      </c>
      <c r="TP26" s="28">
        <v>2.8090000000000002</v>
      </c>
      <c r="TQ26" s="28">
        <v>2.8330000000000002</v>
      </c>
      <c r="TR26" s="28">
        <v>2.8561999999999999</v>
      </c>
      <c r="TS26" s="28">
        <v>2.8826000000000001</v>
      </c>
      <c r="TT26" s="28">
        <v>2.9066000000000001</v>
      </c>
      <c r="TU26" s="28">
        <v>2.9285999999999999</v>
      </c>
      <c r="TV26" s="28">
        <v>2.9413999999999998</v>
      </c>
      <c r="TW26" s="22">
        <v>20</v>
      </c>
      <c r="TZ26" s="22">
        <v>20</v>
      </c>
      <c r="UA26" s="28">
        <v>2.2970000000000002</v>
      </c>
      <c r="UB26" s="28">
        <v>2.3260000000000001</v>
      </c>
      <c r="UC26" s="28">
        <v>2.3540000000000001</v>
      </c>
      <c r="UD26" s="28">
        <v>2.387</v>
      </c>
      <c r="UE26" s="28">
        <v>2.4169999999999998</v>
      </c>
      <c r="UF26" s="28">
        <v>2.4460000000000002</v>
      </c>
      <c r="UG26" s="28">
        <v>2.4780000000000002</v>
      </c>
      <c r="UH26" s="28">
        <v>2.508</v>
      </c>
      <c r="UI26" s="28">
        <v>2.54</v>
      </c>
      <c r="UJ26" s="28">
        <v>2.57</v>
      </c>
      <c r="UK26" s="28">
        <v>2.5990000000000002</v>
      </c>
      <c r="UL26" s="28">
        <v>2.6309999999999998</v>
      </c>
      <c r="UM26" s="22">
        <v>20</v>
      </c>
    </row>
    <row r="27" spans="2:559" s="7" customFormat="1" ht="19.2">
      <c r="B27" s="22">
        <v>21</v>
      </c>
      <c r="C27" s="28">
        <v>19.032699999999998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2">
        <v>21</v>
      </c>
      <c r="R27" s="22">
        <v>21</v>
      </c>
      <c r="S27" s="28">
        <v>20.46</v>
      </c>
      <c r="T27" s="28">
        <v>20.297799999999999</v>
      </c>
      <c r="U27" s="28">
        <v>20.558499999999999</v>
      </c>
      <c r="V27" s="28">
        <v>20.044699999999999</v>
      </c>
      <c r="W27" s="28">
        <v>19.9267</v>
      </c>
      <c r="X27" s="28">
        <v>20.475999999999999</v>
      </c>
      <c r="Y27" s="28">
        <v>20.4407</v>
      </c>
      <c r="Z27" s="28">
        <v>20.083500000000001</v>
      </c>
      <c r="AA27" s="28">
        <v>19.994299999999999</v>
      </c>
      <c r="AB27" s="28">
        <v>20.127199999999998</v>
      </c>
      <c r="AC27" s="28">
        <v>19.433299999999999</v>
      </c>
      <c r="AD27" s="28">
        <v>19.755700000000001</v>
      </c>
      <c r="AE27" s="22">
        <v>21</v>
      </c>
      <c r="AH27" s="22">
        <v>21</v>
      </c>
      <c r="AI27" s="28">
        <v>19.678799999999999</v>
      </c>
      <c r="AJ27" s="28">
        <v>20.416499999999999</v>
      </c>
      <c r="AK27" s="28">
        <v>20.441500000000001</v>
      </c>
      <c r="AL27" s="28">
        <v>19.814499999999999</v>
      </c>
      <c r="AM27" s="28">
        <v>19.814299999999999</v>
      </c>
      <c r="AN27" s="28">
        <v>20.429200000000002</v>
      </c>
      <c r="AO27" s="28">
        <v>20</v>
      </c>
      <c r="AP27" s="28">
        <v>20.1175</v>
      </c>
      <c r="AQ27" s="28">
        <v>19.985299999999999</v>
      </c>
      <c r="AR27" s="28">
        <v>20.264700000000001</v>
      </c>
      <c r="AS27" s="28">
        <v>20.762799999999999</v>
      </c>
      <c r="AT27" s="28">
        <v>20.733699999999999</v>
      </c>
      <c r="AU27" s="22">
        <v>21</v>
      </c>
      <c r="AV27" s="8"/>
      <c r="AW27" s="8"/>
      <c r="AX27" s="22">
        <v>21</v>
      </c>
      <c r="AY27" s="28">
        <v>18.738800000000001</v>
      </c>
      <c r="AZ27" s="28">
        <v>18.591000000000001</v>
      </c>
      <c r="BA27" s="28">
        <v>24.0868</v>
      </c>
      <c r="BB27" s="28">
        <v>23.901199999999999</v>
      </c>
      <c r="BC27" s="28">
        <v>23.6023</v>
      </c>
      <c r="BD27" s="28">
        <v>22.608799999999999</v>
      </c>
      <c r="BE27" s="28">
        <v>22.489699999999999</v>
      </c>
      <c r="BF27" s="28">
        <v>22.052700000000002</v>
      </c>
      <c r="BG27" s="28">
        <v>20.984999999999999</v>
      </c>
      <c r="BH27" s="28">
        <v>21.1342</v>
      </c>
      <c r="BI27" s="28">
        <v>20.1858</v>
      </c>
      <c r="BJ27" s="28">
        <v>19.817299999999999</v>
      </c>
      <c r="BK27" s="22">
        <v>21</v>
      </c>
      <c r="BN27" s="22">
        <v>21</v>
      </c>
      <c r="BO27" s="28">
        <v>19.062999999999999</v>
      </c>
      <c r="BP27" s="28">
        <v>19.177800000000001</v>
      </c>
      <c r="BQ27" s="29">
        <v>19.000399999999999</v>
      </c>
      <c r="BR27" s="28">
        <v>18.951599999999999</v>
      </c>
      <c r="BS27" s="28">
        <v>19.145399999999999</v>
      </c>
      <c r="BT27" s="28">
        <v>19.1753</v>
      </c>
      <c r="BU27" s="28">
        <v>19.0108</v>
      </c>
      <c r="BV27" s="28">
        <v>19.815300000000001</v>
      </c>
      <c r="BW27" s="28">
        <v>19.398099999999999</v>
      </c>
      <c r="BX27" s="28">
        <v>19.1602</v>
      </c>
      <c r="BY27" s="28">
        <v>19.3687</v>
      </c>
      <c r="BZ27" s="28">
        <v>18.963999999999999</v>
      </c>
      <c r="CA27" s="22">
        <v>21</v>
      </c>
      <c r="CD27" s="22">
        <v>21</v>
      </c>
      <c r="CE27" s="28">
        <v>18.636099999999999</v>
      </c>
      <c r="CF27" s="28">
        <v>18.536000000000001</v>
      </c>
      <c r="CG27" s="29">
        <v>18.721599999999999</v>
      </c>
      <c r="CH27" s="28">
        <v>18.2819</v>
      </c>
      <c r="CI27" s="28">
        <v>19.703299999999999</v>
      </c>
      <c r="CJ27" s="28">
        <v>20.553100000000001</v>
      </c>
      <c r="CK27" s="28">
        <v>19.079000000000001</v>
      </c>
      <c r="CL27" s="28">
        <v>19.061499999999999</v>
      </c>
      <c r="CM27" s="28">
        <v>18.767199999999999</v>
      </c>
      <c r="CN27" s="28">
        <v>19.101800000000001</v>
      </c>
      <c r="CO27" s="28">
        <v>20.155000000000001</v>
      </c>
      <c r="CP27" s="28">
        <v>20.029299999999999</v>
      </c>
      <c r="CQ27" s="22">
        <v>21</v>
      </c>
      <c r="CT27" s="22">
        <v>21</v>
      </c>
      <c r="CU27" s="28">
        <v>21.904399999999999</v>
      </c>
      <c r="CV27" s="28">
        <v>20.4526</v>
      </c>
      <c r="CW27" s="28">
        <v>19.172999999999998</v>
      </c>
      <c r="CX27" s="28">
        <v>18.837399999999999</v>
      </c>
      <c r="CY27" s="28">
        <v>18.889800000000001</v>
      </c>
      <c r="CZ27" s="28">
        <v>17.951899999999998</v>
      </c>
      <c r="DA27" s="28">
        <v>17.4937</v>
      </c>
      <c r="DB27" s="28">
        <v>17.732399999999998</v>
      </c>
      <c r="DC27" s="28">
        <v>17.764299999999999</v>
      </c>
      <c r="DD27" s="28">
        <v>18.8248</v>
      </c>
      <c r="DE27" s="28">
        <v>19.122399999999999</v>
      </c>
      <c r="DF27" s="28">
        <v>19.191299999999998</v>
      </c>
      <c r="DG27" s="22">
        <v>21</v>
      </c>
      <c r="DJ27" s="22">
        <v>21</v>
      </c>
      <c r="DK27" s="28">
        <v>18.194700000000001</v>
      </c>
      <c r="DL27" s="28">
        <v>18.143899999999999</v>
      </c>
      <c r="DM27" s="28">
        <v>17.403400000000001</v>
      </c>
      <c r="DN27" s="28">
        <v>17.282499999999999</v>
      </c>
      <c r="DO27" s="28">
        <v>18.546500000000002</v>
      </c>
      <c r="DP27" s="28">
        <v>18.852699999999999</v>
      </c>
      <c r="DQ27" s="28">
        <v>18.571899999999999</v>
      </c>
      <c r="DR27" s="28">
        <v>18.083200000000001</v>
      </c>
      <c r="DS27" s="28">
        <v>19.6097</v>
      </c>
      <c r="DT27" s="28">
        <v>18.589400000000001</v>
      </c>
      <c r="DU27" s="28">
        <v>20.189800000000002</v>
      </c>
      <c r="DV27" s="28">
        <v>20.409800000000001</v>
      </c>
      <c r="DW27" s="22">
        <v>21</v>
      </c>
      <c r="DZ27" s="22">
        <v>21</v>
      </c>
      <c r="EA27" s="28">
        <v>14.6524</v>
      </c>
      <c r="EB27" s="28">
        <v>14.958299999999999</v>
      </c>
      <c r="EC27" s="28">
        <v>15.295999999999999</v>
      </c>
      <c r="ED27" s="28">
        <v>15.312799999999999</v>
      </c>
      <c r="EE27" s="28">
        <v>15.200799999999999</v>
      </c>
      <c r="EF27" s="28">
        <v>15.4199</v>
      </c>
      <c r="EG27" s="28">
        <v>15.912100000000001</v>
      </c>
      <c r="EH27" s="28">
        <v>16.4908</v>
      </c>
      <c r="EI27" s="28">
        <v>16.568000000000001</v>
      </c>
      <c r="EJ27" s="28">
        <v>16.489899999999999</v>
      </c>
      <c r="EK27" s="28">
        <v>16.5748</v>
      </c>
      <c r="EL27" s="28">
        <v>17.100000000000001</v>
      </c>
      <c r="EM27" s="22">
        <v>21</v>
      </c>
      <c r="EP27" s="22">
        <v>21</v>
      </c>
      <c r="EQ27" s="28">
        <v>13.2737</v>
      </c>
      <c r="ER27" s="28">
        <v>13.2714</v>
      </c>
      <c r="ES27" s="28">
        <v>13.169499999999999</v>
      </c>
      <c r="ET27" s="28">
        <v>13.098599999999999</v>
      </c>
      <c r="EU27" s="28">
        <v>12.894399999999999</v>
      </c>
      <c r="EV27" s="28">
        <v>12.9885</v>
      </c>
      <c r="EW27" s="28">
        <v>12.945399999999999</v>
      </c>
      <c r="EX27" s="28">
        <v>13.0532</v>
      </c>
      <c r="EY27" s="28">
        <v>13.2402</v>
      </c>
      <c r="EZ27" s="28">
        <v>13.523099999999999</v>
      </c>
      <c r="FA27" s="28">
        <v>13.614599999999999</v>
      </c>
      <c r="FB27" s="28">
        <v>14.5562</v>
      </c>
      <c r="FC27" s="22">
        <v>21</v>
      </c>
      <c r="FF27" s="22">
        <v>21</v>
      </c>
      <c r="FG27" s="28">
        <v>12.5868</v>
      </c>
      <c r="FH27" s="28">
        <v>12.6873</v>
      </c>
      <c r="FI27" s="28">
        <v>12.4339</v>
      </c>
      <c r="FJ27" s="28">
        <v>12.2479</v>
      </c>
      <c r="FK27" s="28">
        <v>12.3177</v>
      </c>
      <c r="FL27" s="28">
        <v>12.8695</v>
      </c>
      <c r="FM27" s="28">
        <v>12.4976</v>
      </c>
      <c r="FN27" s="28">
        <v>13.0124</v>
      </c>
      <c r="FO27" s="28">
        <v>12.7179</v>
      </c>
      <c r="FP27" s="28">
        <v>12.771699999999999</v>
      </c>
      <c r="FQ27" s="28">
        <v>12.886900000000001</v>
      </c>
      <c r="FR27" s="28">
        <v>12.973000000000001</v>
      </c>
      <c r="FS27" s="22">
        <v>21</v>
      </c>
      <c r="FV27" s="22">
        <v>21</v>
      </c>
      <c r="FW27" s="28">
        <v>13.2516</v>
      </c>
      <c r="FX27" s="28">
        <v>12.785600000000001</v>
      </c>
      <c r="FY27" s="28">
        <v>12.6645</v>
      </c>
      <c r="FZ27" s="28">
        <v>13.2288</v>
      </c>
      <c r="GA27" s="28">
        <v>13.7994</v>
      </c>
      <c r="GB27" s="28">
        <v>13.7033</v>
      </c>
      <c r="GC27" s="28">
        <v>13.1921</v>
      </c>
      <c r="GD27" s="28">
        <v>13.1745</v>
      </c>
      <c r="GE27" s="28">
        <v>12.823499999999999</v>
      </c>
      <c r="GF27" s="28">
        <v>12.8299</v>
      </c>
      <c r="GG27" s="28">
        <v>13.206300000000001</v>
      </c>
      <c r="GH27" s="28">
        <v>12.732699999999999</v>
      </c>
      <c r="GI27" s="22">
        <v>21</v>
      </c>
      <c r="GL27" s="22">
        <v>21</v>
      </c>
      <c r="GM27" s="28">
        <v>12.074400000000001</v>
      </c>
      <c r="GN27" s="28">
        <v>12.048299999999999</v>
      </c>
      <c r="GO27" s="28">
        <v>12.092499999999999</v>
      </c>
      <c r="GP27" s="28">
        <v>11.692500000000001</v>
      </c>
      <c r="GQ27" s="28">
        <v>11.658799999999999</v>
      </c>
      <c r="GR27" s="28">
        <v>11.900600000000001</v>
      </c>
      <c r="GS27" s="28">
        <v>11.696400000000001</v>
      </c>
      <c r="GT27" s="28">
        <v>12.368499999999999</v>
      </c>
      <c r="GU27" s="28">
        <v>13.186</v>
      </c>
      <c r="GV27" s="28">
        <v>13.3733</v>
      </c>
      <c r="GW27" s="28">
        <v>13.637499999999999</v>
      </c>
      <c r="GX27" s="28">
        <v>13.854200000000001</v>
      </c>
      <c r="GY27" s="22">
        <v>21</v>
      </c>
      <c r="HB27" s="22">
        <v>21</v>
      </c>
      <c r="HC27" s="28">
        <v>12.6478</v>
      </c>
      <c r="HD27" s="28">
        <v>12.844200000000001</v>
      </c>
      <c r="HE27" s="28">
        <v>12.472899999999999</v>
      </c>
      <c r="HF27" s="28">
        <v>12.3064</v>
      </c>
      <c r="HG27" s="28">
        <v>12.9138</v>
      </c>
      <c r="HH27" s="28">
        <v>12.592499999999999</v>
      </c>
      <c r="HI27" s="28">
        <v>12.9162</v>
      </c>
      <c r="HJ27" s="28">
        <v>12.7226</v>
      </c>
      <c r="HK27" s="28">
        <v>12.779299999999999</v>
      </c>
      <c r="HL27" s="28">
        <v>12.4818</v>
      </c>
      <c r="HM27" s="28">
        <v>12.292400000000001</v>
      </c>
      <c r="HN27" s="28">
        <v>12.4345</v>
      </c>
      <c r="HO27" s="22">
        <v>21</v>
      </c>
      <c r="HR27" s="22">
        <v>21</v>
      </c>
      <c r="HS27" s="28">
        <v>13.9777</v>
      </c>
      <c r="HT27" s="28">
        <v>14.5505</v>
      </c>
      <c r="HU27" s="28">
        <v>14.08</v>
      </c>
      <c r="HV27" s="28">
        <v>13.155799999999999</v>
      </c>
      <c r="HW27" s="28">
        <v>12.968</v>
      </c>
      <c r="HX27" s="28">
        <v>13.369400000000001</v>
      </c>
      <c r="HY27" s="28">
        <v>13.3895</v>
      </c>
      <c r="HZ27" s="28">
        <v>12.915900000000001</v>
      </c>
      <c r="IA27" s="28">
        <v>13.23</v>
      </c>
      <c r="IB27" s="28">
        <v>13.084</v>
      </c>
      <c r="IC27" s="28">
        <v>13.0502</v>
      </c>
      <c r="ID27" s="28">
        <v>12.9331</v>
      </c>
      <c r="IE27" s="22">
        <v>21</v>
      </c>
      <c r="IH27" s="22">
        <v>21</v>
      </c>
      <c r="II27" s="28">
        <v>10.9445</v>
      </c>
      <c r="IJ27" s="28">
        <v>10.748900000000001</v>
      </c>
      <c r="IK27" s="28">
        <v>10.704000000000001</v>
      </c>
      <c r="IL27" s="28">
        <v>10.482799999999999</v>
      </c>
      <c r="IM27" s="28">
        <v>10.379200000000001</v>
      </c>
      <c r="IN27" s="28">
        <v>10.3156</v>
      </c>
      <c r="IO27" s="28">
        <v>10.2311</v>
      </c>
      <c r="IP27" s="28">
        <v>10.1867</v>
      </c>
      <c r="IQ27" s="28">
        <v>10.836499999999999</v>
      </c>
      <c r="IR27" s="28">
        <v>12.8475</v>
      </c>
      <c r="IS27" s="28">
        <v>13.18</v>
      </c>
      <c r="IT27" s="28">
        <v>13.215</v>
      </c>
      <c r="IU27" s="22">
        <v>21</v>
      </c>
      <c r="IX27" s="22">
        <v>21</v>
      </c>
      <c r="IY27" s="28">
        <v>10.9232</v>
      </c>
      <c r="IZ27" s="28">
        <v>10.9778</v>
      </c>
      <c r="JA27" s="28">
        <v>11.166399999999999</v>
      </c>
      <c r="JB27" s="28">
        <v>11.004799999999999</v>
      </c>
      <c r="JC27" s="28">
        <v>10.8033</v>
      </c>
      <c r="JD27" s="28">
        <v>10.7494</v>
      </c>
      <c r="JE27" s="28">
        <v>10.720700000000001</v>
      </c>
      <c r="JF27" s="28">
        <v>11.1259</v>
      </c>
      <c r="JG27" s="28">
        <v>10.9871</v>
      </c>
      <c r="JH27" s="28">
        <v>10.8133</v>
      </c>
      <c r="JI27" s="28">
        <v>10.9353</v>
      </c>
      <c r="JJ27" s="28">
        <v>10.841200000000001</v>
      </c>
      <c r="JK27" s="22">
        <v>21</v>
      </c>
      <c r="JN27" s="22">
        <v>21</v>
      </c>
      <c r="JO27" s="28">
        <v>10.5589</v>
      </c>
      <c r="JP27" s="28">
        <v>10.4528</v>
      </c>
      <c r="JQ27" s="28">
        <v>10.688499999999999</v>
      </c>
      <c r="JR27" s="28">
        <v>10.9773</v>
      </c>
      <c r="JS27" s="28">
        <v>11.2005</v>
      </c>
      <c r="JT27" s="28">
        <v>11.4459</v>
      </c>
      <c r="JU27" s="28">
        <v>10.904500000000001</v>
      </c>
      <c r="JV27" s="28">
        <v>10.747999999999999</v>
      </c>
      <c r="JW27" s="28">
        <v>10.922700000000001</v>
      </c>
      <c r="JX27" s="28">
        <v>10.805999999999999</v>
      </c>
      <c r="JY27" s="28">
        <v>10.8527</v>
      </c>
      <c r="JZ27" s="28">
        <v>10.8492</v>
      </c>
      <c r="KA27" s="22">
        <v>21</v>
      </c>
      <c r="KD27" s="22">
        <v>21</v>
      </c>
      <c r="KE27" s="28">
        <v>11.232799999999999</v>
      </c>
      <c r="KF27" s="28">
        <v>11.1389</v>
      </c>
      <c r="KG27" s="28">
        <v>11.2193</v>
      </c>
      <c r="KH27" s="28">
        <v>11.0776</v>
      </c>
      <c r="KI27" s="28">
        <v>10.9283</v>
      </c>
      <c r="KJ27" s="28">
        <v>10.7913</v>
      </c>
      <c r="KK27" s="28">
        <v>10.6227</v>
      </c>
      <c r="KL27" s="28">
        <v>10.6601</v>
      </c>
      <c r="KM27" s="28">
        <v>10.8558</v>
      </c>
      <c r="KN27" s="28">
        <v>10.8752</v>
      </c>
      <c r="KO27" s="28">
        <v>10.676</v>
      </c>
      <c r="KP27" s="28">
        <v>10.728300000000001</v>
      </c>
      <c r="KQ27" s="22">
        <v>21</v>
      </c>
      <c r="KT27" s="22">
        <v>21</v>
      </c>
      <c r="KU27" s="28">
        <v>10.8264</v>
      </c>
      <c r="KV27" s="28">
        <v>10.9688</v>
      </c>
      <c r="KW27" s="28">
        <v>11.0128</v>
      </c>
      <c r="KX27" s="28">
        <v>11.250999999999999</v>
      </c>
      <c r="KY27" s="28">
        <v>11.5448</v>
      </c>
      <c r="KZ27" s="28">
        <v>11.3523</v>
      </c>
      <c r="LA27" s="28">
        <v>11.378500000000001</v>
      </c>
      <c r="LB27" s="28">
        <v>11.355</v>
      </c>
      <c r="LC27" s="28">
        <v>11.477399999999999</v>
      </c>
      <c r="LD27" s="28">
        <v>11.450699999999999</v>
      </c>
      <c r="LE27" s="28">
        <v>11.333500000000001</v>
      </c>
      <c r="LF27" s="28">
        <v>11.2403</v>
      </c>
      <c r="LG27" s="22">
        <v>21</v>
      </c>
      <c r="LJ27" s="22">
        <v>21</v>
      </c>
      <c r="LK27" s="28">
        <v>10.59</v>
      </c>
      <c r="LL27" s="28">
        <v>10.84</v>
      </c>
      <c r="LM27" s="28">
        <v>10.863300000000001</v>
      </c>
      <c r="LN27" s="28">
        <v>10.639799999999999</v>
      </c>
      <c r="LO27" s="28">
        <v>10.3498</v>
      </c>
      <c r="LP27" s="28">
        <v>10.485799999999999</v>
      </c>
      <c r="LQ27" s="28">
        <v>10.349</v>
      </c>
      <c r="LR27" s="28">
        <v>10.800700000000001</v>
      </c>
      <c r="LS27" s="28">
        <v>10.9163</v>
      </c>
      <c r="LT27" s="28">
        <v>11.280200000000001</v>
      </c>
      <c r="LU27" s="28">
        <v>11.164300000000001</v>
      </c>
      <c r="LV27" s="28">
        <v>11.2193</v>
      </c>
      <c r="LW27" s="22">
        <v>21</v>
      </c>
      <c r="LZ27" s="22">
        <v>21</v>
      </c>
      <c r="MA27" s="28">
        <v>9.1255000000000006</v>
      </c>
      <c r="MB27" s="28">
        <v>9.0690000000000008</v>
      </c>
      <c r="MC27" s="28">
        <v>9.0741999999999994</v>
      </c>
      <c r="MD27" s="28">
        <v>9.2345000000000006</v>
      </c>
      <c r="ME27" s="28">
        <v>9.4710000000000001</v>
      </c>
      <c r="MF27" s="28">
        <v>9.6982999999999997</v>
      </c>
      <c r="MG27" s="28">
        <v>9.6462000000000003</v>
      </c>
      <c r="MH27" s="28">
        <v>9.7746999999999993</v>
      </c>
      <c r="MI27" s="28">
        <v>10.062799999999999</v>
      </c>
      <c r="MJ27" s="28">
        <v>9.9987999999999992</v>
      </c>
      <c r="MK27" s="28">
        <v>10.176</v>
      </c>
      <c r="ML27" s="28">
        <v>10.192</v>
      </c>
      <c r="MM27" s="22">
        <v>21</v>
      </c>
      <c r="MP27" s="22">
        <v>21</v>
      </c>
      <c r="MQ27" s="28">
        <v>9.8870000000000005</v>
      </c>
      <c r="MR27" s="28">
        <v>9.7043999999999997</v>
      </c>
      <c r="MS27" s="28">
        <v>9.5683000000000007</v>
      </c>
      <c r="MT27" s="28">
        <v>9.2748000000000008</v>
      </c>
      <c r="MU27" s="28">
        <v>8.9952000000000005</v>
      </c>
      <c r="MV27" s="28">
        <v>9.0792000000000002</v>
      </c>
      <c r="MW27" s="28">
        <v>9.1999999999999993</v>
      </c>
      <c r="MX27" s="28">
        <v>9.1155000000000008</v>
      </c>
      <c r="MY27" s="28">
        <v>9.4184999999999999</v>
      </c>
      <c r="MZ27" s="28">
        <v>9.2309999999999999</v>
      </c>
      <c r="NA27" s="28">
        <v>9.2120999999999995</v>
      </c>
      <c r="NB27" s="28">
        <v>9.1174999999999997</v>
      </c>
      <c r="NC27" s="22">
        <v>21</v>
      </c>
      <c r="NF27" s="22">
        <v>21</v>
      </c>
      <c r="NG27" s="28">
        <v>9.4085999999999999</v>
      </c>
      <c r="NH27" s="28">
        <v>9.3904999999999994</v>
      </c>
      <c r="NI27" s="28">
        <v>9.3254999999999999</v>
      </c>
      <c r="NJ27" s="28">
        <v>9.4388000000000005</v>
      </c>
      <c r="NK27" s="28">
        <v>9.5751000000000008</v>
      </c>
      <c r="NL27" s="28">
        <v>9.9031000000000002</v>
      </c>
      <c r="NM27" s="28">
        <v>9.4117999999999995</v>
      </c>
      <c r="NN27" s="28">
        <v>9.1873000000000005</v>
      </c>
      <c r="NO27" s="28">
        <v>9.4250000000000007</v>
      </c>
      <c r="NP27" s="28">
        <v>9.5333000000000006</v>
      </c>
      <c r="NQ27" s="28">
        <v>9.4827999999999992</v>
      </c>
      <c r="NR27" s="28">
        <v>9.3789999999999996</v>
      </c>
      <c r="NS27" s="22">
        <v>21</v>
      </c>
      <c r="NV27" s="22">
        <v>21</v>
      </c>
      <c r="NW27" s="28">
        <v>10.2783</v>
      </c>
      <c r="NX27" s="28">
        <v>9.8809000000000005</v>
      </c>
      <c r="NY27" s="28">
        <v>9.6462000000000003</v>
      </c>
      <c r="NZ27" s="28">
        <v>9.3831000000000007</v>
      </c>
      <c r="OA27" s="28">
        <v>9.3086000000000002</v>
      </c>
      <c r="OB27" s="28">
        <v>9.4038000000000004</v>
      </c>
      <c r="OC27" s="28">
        <v>9.3008000000000006</v>
      </c>
      <c r="OD27" s="28">
        <v>9.3744999999999994</v>
      </c>
      <c r="OE27" s="28">
        <v>9.3712</v>
      </c>
      <c r="OF27" s="28">
        <v>9.6713000000000005</v>
      </c>
      <c r="OG27" s="28">
        <v>9.3460000000000001</v>
      </c>
      <c r="OH27" s="28">
        <v>9.3298000000000005</v>
      </c>
      <c r="OI27" s="22">
        <v>21</v>
      </c>
      <c r="OL27" s="22">
        <v>21</v>
      </c>
      <c r="OM27" s="28">
        <v>8.1803000000000008</v>
      </c>
      <c r="ON27" s="28">
        <v>8.5449000000000002</v>
      </c>
      <c r="OO27" s="28">
        <v>8.5638000000000005</v>
      </c>
      <c r="OP27" s="28">
        <v>8.4945000000000004</v>
      </c>
      <c r="OQ27" s="28">
        <v>8.5848999999999993</v>
      </c>
      <c r="OR27" s="28">
        <v>8.8966999999999992</v>
      </c>
      <c r="OS27" s="28">
        <v>8.8217999999999996</v>
      </c>
      <c r="OT27" s="28">
        <v>9.1873000000000005</v>
      </c>
      <c r="OU27" s="28">
        <v>10.315799999999999</v>
      </c>
      <c r="OV27" s="28">
        <v>10.0863</v>
      </c>
      <c r="OW27" s="28">
        <v>9.9305000000000003</v>
      </c>
      <c r="OX27" s="28">
        <v>9.7863000000000007</v>
      </c>
      <c r="OY27" s="22">
        <v>21</v>
      </c>
      <c r="PB27" s="22">
        <v>21</v>
      </c>
      <c r="PC27" s="28">
        <v>7.8274999999999997</v>
      </c>
      <c r="PD27" s="28">
        <v>7.7887000000000004</v>
      </c>
      <c r="PE27" s="28">
        <v>7.9233000000000002</v>
      </c>
      <c r="PF27" s="28">
        <v>7.8852000000000002</v>
      </c>
      <c r="PG27" s="28">
        <v>7.8933999999999997</v>
      </c>
      <c r="PH27" s="28">
        <v>7.9168000000000003</v>
      </c>
      <c r="PI27" s="28">
        <v>7.8556999999999997</v>
      </c>
      <c r="PJ27" s="28">
        <v>7.7575000000000003</v>
      </c>
      <c r="PK27" s="28">
        <v>7.7560000000000002</v>
      </c>
      <c r="PL27" s="28">
        <v>7.7484000000000002</v>
      </c>
      <c r="PM27" s="28">
        <v>8.2642000000000007</v>
      </c>
      <c r="PN27" s="28">
        <v>8.0739999999999998</v>
      </c>
      <c r="PO27" s="22">
        <v>21</v>
      </c>
      <c r="PR27" s="22">
        <v>21</v>
      </c>
      <c r="PS27" s="28">
        <v>7.4667000000000003</v>
      </c>
      <c r="PT27" s="28">
        <v>7.5457999999999998</v>
      </c>
      <c r="PU27" s="28">
        <v>7.5242000000000004</v>
      </c>
      <c r="PV27" s="28">
        <v>7.4409999999999998</v>
      </c>
      <c r="PW27" s="28">
        <v>7.4019000000000004</v>
      </c>
      <c r="PX27" s="28">
        <v>7.5267999999999997</v>
      </c>
      <c r="PY27" s="28">
        <v>7.6452999999999998</v>
      </c>
      <c r="PZ27" s="28">
        <v>7.4854000000000003</v>
      </c>
      <c r="QA27" s="28">
        <v>7.5052000000000003</v>
      </c>
      <c r="QB27" s="28">
        <v>7.7725999999999997</v>
      </c>
      <c r="QC27" s="28">
        <v>7.9085000000000001</v>
      </c>
      <c r="QD27" s="28">
        <v>7.8673999999999999</v>
      </c>
      <c r="QE27" s="22">
        <v>21</v>
      </c>
      <c r="QH27" s="22">
        <v>21</v>
      </c>
      <c r="QI27" s="28">
        <v>5.6074999999999999</v>
      </c>
      <c r="QJ27" s="28">
        <v>5.7149999999999999</v>
      </c>
      <c r="QK27" s="28">
        <v>7.0824999999999996</v>
      </c>
      <c r="QL27" s="28">
        <v>6.1391999999999998</v>
      </c>
      <c r="QM27" s="28">
        <v>5.92</v>
      </c>
      <c r="QN27" s="28">
        <v>6.2008000000000001</v>
      </c>
      <c r="QO27" s="28">
        <v>6.0792999999999999</v>
      </c>
      <c r="QP27" s="28">
        <v>6.1849999999999996</v>
      </c>
      <c r="QQ27" s="28">
        <v>6.3055000000000003</v>
      </c>
      <c r="QR27" s="28">
        <v>6.6908000000000003</v>
      </c>
      <c r="QS27" s="28">
        <v>7.8</v>
      </c>
      <c r="QT27" s="28">
        <v>7.6809000000000003</v>
      </c>
      <c r="QU27" s="22">
        <v>21</v>
      </c>
      <c r="QX27" s="22">
        <v>21</v>
      </c>
      <c r="QY27" s="28">
        <v>3.1055999999999999</v>
      </c>
      <c r="QZ27" s="28">
        <v>3.1053000000000002</v>
      </c>
      <c r="RA27" s="28">
        <v>3.3043</v>
      </c>
      <c r="RB27" s="28">
        <v>3.3685999999999998</v>
      </c>
      <c r="RC27" s="28">
        <v>3.3220000000000001</v>
      </c>
      <c r="RD27" s="28">
        <v>3.3675000000000002</v>
      </c>
      <c r="RE27" s="28">
        <v>3.4011</v>
      </c>
      <c r="RF27" s="28">
        <v>3.3769</v>
      </c>
      <c r="RG27" s="28">
        <v>3.4077999999999999</v>
      </c>
      <c r="RH27" s="28">
        <v>3.4106000000000001</v>
      </c>
      <c r="RI27" s="28">
        <v>3.4533999999999998</v>
      </c>
      <c r="RJ27" s="28">
        <v>3.4662000000000002</v>
      </c>
      <c r="RK27" s="22">
        <v>21</v>
      </c>
      <c r="RN27" s="22">
        <v>21</v>
      </c>
      <c r="RO27" s="28">
        <v>3.1082000000000001</v>
      </c>
      <c r="RP27" s="28">
        <v>3.0943000000000001</v>
      </c>
      <c r="RQ27" s="28">
        <v>3.1168999999999998</v>
      </c>
      <c r="RR27" s="28">
        <v>3.0935999999999999</v>
      </c>
      <c r="RS27" s="28">
        <v>3.1132</v>
      </c>
      <c r="RT27" s="28">
        <v>3.1171000000000002</v>
      </c>
      <c r="RU27" s="28">
        <v>3.1255000000000002</v>
      </c>
      <c r="RV27" s="28">
        <v>3.1131000000000002</v>
      </c>
      <c r="RW27" s="28">
        <v>3.1093000000000002</v>
      </c>
      <c r="RX27" s="28">
        <v>3.1124999999999998</v>
      </c>
      <c r="RY27" s="28">
        <v>3.1114000000000002</v>
      </c>
      <c r="RZ27" s="28">
        <v>3.1055000000000001</v>
      </c>
      <c r="SA27" s="22">
        <v>21</v>
      </c>
      <c r="SD27" s="22">
        <v>21</v>
      </c>
      <c r="SE27" s="28">
        <v>3.0657000000000001</v>
      </c>
      <c r="SF27" s="28">
        <v>3.0608</v>
      </c>
      <c r="SG27" s="28">
        <v>3.0737999999999999</v>
      </c>
      <c r="SH27" s="28">
        <v>3.0670000000000002</v>
      </c>
      <c r="SI27" s="28">
        <v>3.1023999999999998</v>
      </c>
      <c r="SJ27" s="28">
        <v>3.1202999999999999</v>
      </c>
      <c r="SK27" s="28">
        <v>3.1149</v>
      </c>
      <c r="SL27" s="28">
        <v>3.0853000000000002</v>
      </c>
      <c r="SM27" s="28">
        <v>3.0916000000000001</v>
      </c>
      <c r="SN27" s="28">
        <v>3.1429</v>
      </c>
      <c r="SO27" s="28">
        <v>3.1150000000000002</v>
      </c>
      <c r="SP27" s="28">
        <v>3.1204000000000001</v>
      </c>
      <c r="SQ27" s="22">
        <v>21</v>
      </c>
      <c r="ST27" s="22">
        <v>21</v>
      </c>
      <c r="SU27" s="28">
        <v>2.9533999999999998</v>
      </c>
      <c r="SV27" s="28">
        <v>2.9666000000000001</v>
      </c>
      <c r="SW27" s="28">
        <v>2.9777999999999998</v>
      </c>
      <c r="SX27" s="28">
        <v>2.9897999999999998</v>
      </c>
      <c r="SY27" s="28">
        <v>3.0013999999999998</v>
      </c>
      <c r="SZ27" s="28">
        <v>3.0146000000000002</v>
      </c>
      <c r="TA27" s="28">
        <v>3.0261999999999998</v>
      </c>
      <c r="TB27" s="28">
        <v>3.0390000000000001</v>
      </c>
      <c r="TC27" s="28">
        <v>3.0514000000000001</v>
      </c>
      <c r="TD27" s="28">
        <v>3.0642</v>
      </c>
      <c r="TE27" s="28">
        <v>3.0661299999999998</v>
      </c>
      <c r="TF27" s="28">
        <v>3.0747499999999999</v>
      </c>
      <c r="TG27" s="22">
        <v>21</v>
      </c>
      <c r="TJ27" s="22">
        <v>21</v>
      </c>
      <c r="TK27" s="28">
        <v>2.6619999999999999</v>
      </c>
      <c r="TL27" s="28">
        <v>2.694</v>
      </c>
      <c r="TM27" s="28">
        <v>2.722</v>
      </c>
      <c r="TN27" s="28">
        <v>2.7530000000000001</v>
      </c>
      <c r="TO27" s="28">
        <v>2.7810000000000001</v>
      </c>
      <c r="TP27" s="28">
        <v>2.8098000000000001</v>
      </c>
      <c r="TQ27" s="28">
        <v>2.8338000000000001</v>
      </c>
      <c r="TR27" s="28">
        <v>2.8570000000000002</v>
      </c>
      <c r="TS27" s="28">
        <v>2.8834</v>
      </c>
      <c r="TT27" s="28">
        <v>2.9066000000000001</v>
      </c>
      <c r="TU27" s="28">
        <v>2.9298000000000002</v>
      </c>
      <c r="TV27" s="28">
        <v>2.9418000000000002</v>
      </c>
      <c r="TW27" s="22">
        <v>21</v>
      </c>
      <c r="TZ27" s="22">
        <v>21</v>
      </c>
      <c r="UA27" s="28">
        <v>2.298</v>
      </c>
      <c r="UB27" s="28">
        <v>2.327</v>
      </c>
      <c r="UC27" s="28">
        <v>2.355</v>
      </c>
      <c r="UD27" s="28">
        <v>2.3879999999999999</v>
      </c>
      <c r="UE27" s="28">
        <v>2.4169999999999998</v>
      </c>
      <c r="UF27" s="28">
        <v>2.4489999999999998</v>
      </c>
      <c r="UG27" s="28">
        <v>2.4790000000000001</v>
      </c>
      <c r="UH27" s="28">
        <v>2.508</v>
      </c>
      <c r="UI27" s="28">
        <v>2.5409999999999999</v>
      </c>
      <c r="UJ27" s="28">
        <v>2.5710000000000002</v>
      </c>
      <c r="UK27" s="28">
        <v>2.6</v>
      </c>
      <c r="UL27" s="28">
        <v>2.6320000000000001</v>
      </c>
      <c r="UM27" s="22">
        <v>21</v>
      </c>
    </row>
    <row r="28" spans="2:559" s="7" customFormat="1" ht="19.2">
      <c r="B28" s="22">
        <v>22</v>
      </c>
      <c r="C28" s="28">
        <v>19.032699999999998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2">
        <v>22</v>
      </c>
      <c r="R28" s="22">
        <v>22</v>
      </c>
      <c r="S28" s="28">
        <v>20.450700000000001</v>
      </c>
      <c r="T28" s="28">
        <v>20.3063</v>
      </c>
      <c r="U28" s="28">
        <v>20.558499999999999</v>
      </c>
      <c r="V28" s="28">
        <v>20.0383</v>
      </c>
      <c r="W28" s="28">
        <v>19.9267</v>
      </c>
      <c r="X28" s="28">
        <v>20.244199999999999</v>
      </c>
      <c r="Y28" s="28">
        <v>20.491299999999999</v>
      </c>
      <c r="Z28" s="28">
        <v>20.083500000000001</v>
      </c>
      <c r="AA28" s="28">
        <v>20</v>
      </c>
      <c r="AB28" s="28">
        <v>20.044799999999999</v>
      </c>
      <c r="AC28" s="28">
        <v>19.433299999999999</v>
      </c>
      <c r="AD28" s="28">
        <v>19.748200000000001</v>
      </c>
      <c r="AE28" s="22">
        <v>22</v>
      </c>
      <c r="AH28" s="22">
        <v>22</v>
      </c>
      <c r="AI28" s="28">
        <v>19.5793</v>
      </c>
      <c r="AJ28" s="28">
        <v>20.416499999999999</v>
      </c>
      <c r="AK28" s="28">
        <v>20.441500000000001</v>
      </c>
      <c r="AL28" s="28">
        <v>19.887699999999999</v>
      </c>
      <c r="AM28" s="28">
        <v>19.881</v>
      </c>
      <c r="AN28" s="28">
        <v>20.700199999999999</v>
      </c>
      <c r="AO28" s="28">
        <v>20.134799999999998</v>
      </c>
      <c r="AP28" s="28">
        <v>20.1175</v>
      </c>
      <c r="AQ28" s="28">
        <v>20.173500000000001</v>
      </c>
      <c r="AR28" s="28">
        <v>20.184999999999999</v>
      </c>
      <c r="AS28" s="28">
        <v>20.762799999999999</v>
      </c>
      <c r="AT28" s="28">
        <v>20.7363</v>
      </c>
      <c r="AU28" s="22">
        <v>22</v>
      </c>
      <c r="AV28" s="8"/>
      <c r="AW28" s="8"/>
      <c r="AX28" s="22">
        <v>22</v>
      </c>
      <c r="AY28" s="28">
        <v>18.672499999999999</v>
      </c>
      <c r="AZ28" s="28">
        <v>18.799199999999999</v>
      </c>
      <c r="BA28" s="28">
        <v>24.0868</v>
      </c>
      <c r="BB28" s="28">
        <v>24.0077</v>
      </c>
      <c r="BC28" s="28">
        <v>23.296199999999999</v>
      </c>
      <c r="BD28" s="28">
        <v>22.608799999999999</v>
      </c>
      <c r="BE28" s="28">
        <v>22.627800000000001</v>
      </c>
      <c r="BF28" s="28">
        <v>22.175999999999998</v>
      </c>
      <c r="BG28" s="28">
        <v>20.9697</v>
      </c>
      <c r="BH28" s="28">
        <v>21.090199999999999</v>
      </c>
      <c r="BI28" s="28">
        <v>20.1858</v>
      </c>
      <c r="BJ28" s="28">
        <v>19.948699999999999</v>
      </c>
      <c r="BK28" s="22">
        <v>22</v>
      </c>
      <c r="BN28" s="22">
        <v>22</v>
      </c>
      <c r="BO28" s="28">
        <v>19.084399999999999</v>
      </c>
      <c r="BP28" s="28">
        <v>19.183499999999999</v>
      </c>
      <c r="BQ28" s="28">
        <v>18.909800000000001</v>
      </c>
      <c r="BR28" s="28">
        <v>18.951599999999999</v>
      </c>
      <c r="BS28" s="28">
        <v>19.090800000000002</v>
      </c>
      <c r="BT28" s="28">
        <v>18.980399999999999</v>
      </c>
      <c r="BU28" s="28">
        <v>19.0108</v>
      </c>
      <c r="BV28" s="28">
        <v>19.752199999999998</v>
      </c>
      <c r="BW28" s="28">
        <v>19.398099999999999</v>
      </c>
      <c r="BX28" s="28">
        <v>19.1492</v>
      </c>
      <c r="BY28" s="28">
        <v>19.48</v>
      </c>
      <c r="BZ28" s="28">
        <v>18.963999999999999</v>
      </c>
      <c r="CA28" s="22">
        <v>22</v>
      </c>
      <c r="CD28" s="22">
        <v>22</v>
      </c>
      <c r="CE28" s="28">
        <v>18.636099999999999</v>
      </c>
      <c r="CF28" s="28">
        <v>18.659400000000002</v>
      </c>
      <c r="CG28" s="29">
        <v>18.761399999999998</v>
      </c>
      <c r="CH28" s="28">
        <v>18.2819</v>
      </c>
      <c r="CI28" s="28">
        <v>19.931899999999999</v>
      </c>
      <c r="CJ28" s="28">
        <v>20.393699999999999</v>
      </c>
      <c r="CK28" s="28">
        <v>19.079000000000001</v>
      </c>
      <c r="CL28" s="28">
        <v>19.0305</v>
      </c>
      <c r="CM28" s="28">
        <v>18.829599999999999</v>
      </c>
      <c r="CN28" s="28">
        <v>19.101800000000001</v>
      </c>
      <c r="CO28" s="28">
        <v>20.412299999999998</v>
      </c>
      <c r="CP28" s="28">
        <v>19.908200000000001</v>
      </c>
      <c r="CQ28" s="22">
        <v>22</v>
      </c>
      <c r="CT28" s="22">
        <v>22</v>
      </c>
      <c r="CU28" s="28">
        <v>21.904399999999999</v>
      </c>
      <c r="CV28" s="28">
        <v>20.405899999999999</v>
      </c>
      <c r="CW28" s="28">
        <v>19.117000000000001</v>
      </c>
      <c r="CX28" s="28">
        <v>18.8187</v>
      </c>
      <c r="CY28" s="28">
        <v>18.889800000000001</v>
      </c>
      <c r="CZ28" s="28">
        <v>18.116700000000002</v>
      </c>
      <c r="DA28" s="28">
        <v>17.526</v>
      </c>
      <c r="DB28" s="28">
        <v>17.8584</v>
      </c>
      <c r="DC28" s="28">
        <v>17.700900000000001</v>
      </c>
      <c r="DD28" s="28">
        <v>18.8248</v>
      </c>
      <c r="DE28" s="28">
        <v>18.9724</v>
      </c>
      <c r="DF28" s="28">
        <v>19.229099999999999</v>
      </c>
      <c r="DG28" s="22">
        <v>22</v>
      </c>
      <c r="DJ28" s="22">
        <v>22</v>
      </c>
      <c r="DK28" s="28">
        <v>18.608000000000001</v>
      </c>
      <c r="DL28" s="28">
        <v>18.143899999999999</v>
      </c>
      <c r="DM28" s="28">
        <v>17.403400000000001</v>
      </c>
      <c r="DN28" s="28">
        <v>17.3078</v>
      </c>
      <c r="DO28" s="28">
        <v>18.546500000000002</v>
      </c>
      <c r="DP28" s="28">
        <v>18.655899999999999</v>
      </c>
      <c r="DQ28" s="28">
        <v>18.572900000000001</v>
      </c>
      <c r="DR28" s="28">
        <v>18.083200000000001</v>
      </c>
      <c r="DS28" s="28">
        <v>19.777000000000001</v>
      </c>
      <c r="DT28" s="28">
        <v>18.5945</v>
      </c>
      <c r="DU28" s="28">
        <v>20.189800000000002</v>
      </c>
      <c r="DV28" s="28">
        <v>20.43</v>
      </c>
      <c r="DW28" s="22">
        <v>22</v>
      </c>
      <c r="DZ28" s="22">
        <v>22</v>
      </c>
      <c r="EA28" s="28">
        <v>14.648400000000001</v>
      </c>
      <c r="EB28" s="28">
        <v>14.958299999999999</v>
      </c>
      <c r="EC28" s="28">
        <v>15.295999999999999</v>
      </c>
      <c r="ED28" s="28">
        <v>15.3973</v>
      </c>
      <c r="EE28" s="28">
        <v>15.212</v>
      </c>
      <c r="EF28" s="28">
        <v>15.2828</v>
      </c>
      <c r="EG28" s="28">
        <v>15.9856</v>
      </c>
      <c r="EH28" s="28">
        <v>16.4908</v>
      </c>
      <c r="EI28" s="28">
        <v>16.539000000000001</v>
      </c>
      <c r="EJ28" s="28">
        <v>16.561800000000002</v>
      </c>
      <c r="EK28" s="28">
        <v>16.5748</v>
      </c>
      <c r="EL28" s="28">
        <v>17.0139</v>
      </c>
      <c r="EM28" s="22">
        <v>22</v>
      </c>
      <c r="EP28" s="22">
        <v>22</v>
      </c>
      <c r="EQ28" s="28">
        <v>13.242000000000001</v>
      </c>
      <c r="ER28" s="28">
        <v>13.2913</v>
      </c>
      <c r="ES28" s="28">
        <v>13.270300000000001</v>
      </c>
      <c r="ET28" s="28">
        <v>13.0603</v>
      </c>
      <c r="EU28" s="28">
        <v>12.942500000000001</v>
      </c>
      <c r="EV28" s="28">
        <v>12.9885</v>
      </c>
      <c r="EW28" s="28">
        <v>12.9588</v>
      </c>
      <c r="EX28" s="28">
        <v>13.0814</v>
      </c>
      <c r="EY28" s="28">
        <v>13.2402</v>
      </c>
      <c r="EZ28" s="28">
        <v>13.5357</v>
      </c>
      <c r="FA28" s="28">
        <v>13.611499999999999</v>
      </c>
      <c r="FB28" s="28">
        <v>14.5562</v>
      </c>
      <c r="FC28" s="22">
        <v>22</v>
      </c>
      <c r="FF28" s="22">
        <v>22</v>
      </c>
      <c r="FG28" s="28">
        <v>12.6555</v>
      </c>
      <c r="FH28" s="28">
        <v>12.6694</v>
      </c>
      <c r="FI28" s="28">
        <v>12.3909</v>
      </c>
      <c r="FJ28" s="28">
        <v>12.2479</v>
      </c>
      <c r="FK28" s="28">
        <v>12.325799999999999</v>
      </c>
      <c r="FL28" s="28">
        <v>13.4015</v>
      </c>
      <c r="FM28" s="28">
        <v>12.4976</v>
      </c>
      <c r="FN28" s="28">
        <v>13.006399999999999</v>
      </c>
      <c r="FO28" s="28">
        <v>12.7179</v>
      </c>
      <c r="FP28" s="28">
        <v>12.7988</v>
      </c>
      <c r="FQ28" s="28">
        <v>12.9697</v>
      </c>
      <c r="FR28" s="28">
        <v>12.973000000000001</v>
      </c>
      <c r="FS28" s="22">
        <v>22</v>
      </c>
      <c r="FV28" s="22">
        <v>22</v>
      </c>
      <c r="FW28" s="28">
        <v>13.2516</v>
      </c>
      <c r="FX28" s="28">
        <v>12.6793</v>
      </c>
      <c r="FY28" s="28">
        <v>12.6935</v>
      </c>
      <c r="FZ28" s="28">
        <v>13.2288</v>
      </c>
      <c r="GA28" s="28">
        <v>13.780900000000001</v>
      </c>
      <c r="GB28" s="28">
        <v>13.7257</v>
      </c>
      <c r="GC28" s="28">
        <v>13.1921</v>
      </c>
      <c r="GD28" s="28">
        <v>13.126099999999999</v>
      </c>
      <c r="GE28" s="28">
        <v>12.904199999999999</v>
      </c>
      <c r="GF28" s="28">
        <v>12.8299</v>
      </c>
      <c r="GG28" s="28">
        <v>13.0245</v>
      </c>
      <c r="GH28" s="28">
        <v>12.777699999999999</v>
      </c>
      <c r="GI28" s="22">
        <v>22</v>
      </c>
      <c r="GL28" s="22">
        <v>22</v>
      </c>
      <c r="GM28" s="28">
        <v>12.090299999999999</v>
      </c>
      <c r="GN28" s="28">
        <v>12.017200000000001</v>
      </c>
      <c r="GO28" s="28">
        <v>12.092499999999999</v>
      </c>
      <c r="GP28" s="28">
        <v>11.692500000000001</v>
      </c>
      <c r="GQ28" s="28">
        <v>11.658799999999999</v>
      </c>
      <c r="GR28" s="28">
        <v>11.8916</v>
      </c>
      <c r="GS28" s="28">
        <v>11.6638</v>
      </c>
      <c r="GT28" s="28">
        <v>12.368499999999999</v>
      </c>
      <c r="GU28" s="28">
        <v>13.1669</v>
      </c>
      <c r="GV28" s="28">
        <v>13.662800000000001</v>
      </c>
      <c r="GW28" s="28">
        <v>13.637499999999999</v>
      </c>
      <c r="GX28" s="28">
        <v>13.772</v>
      </c>
      <c r="GY28" s="22">
        <v>22</v>
      </c>
      <c r="HB28" s="22">
        <v>22</v>
      </c>
      <c r="HC28" s="28">
        <v>12.738799999999999</v>
      </c>
      <c r="HD28" s="28">
        <v>12.844200000000001</v>
      </c>
      <c r="HE28" s="28">
        <v>12.472899999999999</v>
      </c>
      <c r="HF28" s="28">
        <v>12.2188</v>
      </c>
      <c r="HG28" s="28">
        <v>13.1412</v>
      </c>
      <c r="HH28" s="28">
        <v>12.54</v>
      </c>
      <c r="HI28" s="28">
        <v>12.854900000000001</v>
      </c>
      <c r="HJ28" s="28">
        <v>12.7226</v>
      </c>
      <c r="HK28" s="28">
        <v>12.7623</v>
      </c>
      <c r="HL28" s="28">
        <v>12.4117</v>
      </c>
      <c r="HM28" s="28">
        <v>12.292400000000001</v>
      </c>
      <c r="HN28" s="28">
        <v>12.417</v>
      </c>
      <c r="HO28" s="22">
        <v>22</v>
      </c>
      <c r="HR28" s="22">
        <v>22</v>
      </c>
      <c r="HS28" s="28">
        <v>13.9382</v>
      </c>
      <c r="HT28" s="28">
        <v>14.5505</v>
      </c>
      <c r="HU28" s="28">
        <v>14.08</v>
      </c>
      <c r="HV28" s="28">
        <v>13.32</v>
      </c>
      <c r="HW28" s="28">
        <v>12.8695</v>
      </c>
      <c r="HX28" s="28">
        <v>13.369400000000001</v>
      </c>
      <c r="HY28" s="28">
        <v>13.315799999999999</v>
      </c>
      <c r="HZ28" s="28">
        <v>12.8733</v>
      </c>
      <c r="IA28" s="28">
        <v>13.241300000000001</v>
      </c>
      <c r="IB28" s="28">
        <v>12.9407</v>
      </c>
      <c r="IC28" s="28">
        <v>13.0502</v>
      </c>
      <c r="ID28" s="28">
        <v>12.8979</v>
      </c>
      <c r="IE28" s="22">
        <v>22</v>
      </c>
      <c r="IH28" s="22">
        <v>22</v>
      </c>
      <c r="II28" s="28">
        <v>10.923500000000001</v>
      </c>
      <c r="IJ28" s="28">
        <v>10.793900000000001</v>
      </c>
      <c r="IK28" s="28">
        <v>10.704000000000001</v>
      </c>
      <c r="IL28" s="28">
        <v>10.461</v>
      </c>
      <c r="IM28" s="28">
        <v>10.4002</v>
      </c>
      <c r="IN28" s="28">
        <v>10.3156</v>
      </c>
      <c r="IO28" s="28">
        <v>10.204700000000001</v>
      </c>
      <c r="IP28" s="28">
        <v>10.1343</v>
      </c>
      <c r="IQ28" s="28">
        <v>10.836499999999999</v>
      </c>
      <c r="IR28" s="28">
        <v>12.761699999999999</v>
      </c>
      <c r="IS28" s="28">
        <v>13.575799999999999</v>
      </c>
      <c r="IT28" s="28">
        <v>13.215</v>
      </c>
      <c r="IU28" s="22">
        <v>22</v>
      </c>
      <c r="IX28" s="22">
        <v>22</v>
      </c>
      <c r="IY28" s="28">
        <v>10.9232</v>
      </c>
      <c r="IZ28" s="28">
        <v>10.9755</v>
      </c>
      <c r="JA28" s="28">
        <v>11.112</v>
      </c>
      <c r="JB28" s="28">
        <v>11.004799999999999</v>
      </c>
      <c r="JC28" s="28">
        <v>10.8223</v>
      </c>
      <c r="JD28" s="28">
        <v>10.7713</v>
      </c>
      <c r="JE28" s="28">
        <v>10.720700000000001</v>
      </c>
      <c r="JF28" s="28">
        <v>11.1053</v>
      </c>
      <c r="JG28" s="28">
        <v>10.9687</v>
      </c>
      <c r="JH28" s="28">
        <v>10.8133</v>
      </c>
      <c r="JI28" s="28">
        <v>10.9687</v>
      </c>
      <c r="JJ28" s="28">
        <v>10.8363</v>
      </c>
      <c r="JK28" s="22">
        <v>22</v>
      </c>
      <c r="JN28" s="22">
        <v>22</v>
      </c>
      <c r="JO28" s="28">
        <v>10.5589</v>
      </c>
      <c r="JP28" s="28">
        <v>10.440099999999999</v>
      </c>
      <c r="JQ28" s="28">
        <v>10.688499999999999</v>
      </c>
      <c r="JR28" s="28">
        <v>11.030200000000001</v>
      </c>
      <c r="JS28" s="28">
        <v>11.2005</v>
      </c>
      <c r="JT28" s="28">
        <v>11.4809</v>
      </c>
      <c r="JU28" s="28">
        <v>10.870799999999999</v>
      </c>
      <c r="JV28" s="28">
        <v>10.8217</v>
      </c>
      <c r="JW28" s="28">
        <v>10.9346</v>
      </c>
      <c r="JX28" s="28">
        <v>10.805999999999999</v>
      </c>
      <c r="JY28" s="28">
        <v>10.952400000000001</v>
      </c>
      <c r="JZ28" s="28">
        <v>10.807499999999999</v>
      </c>
      <c r="KA28" s="22">
        <v>22</v>
      </c>
      <c r="KD28" s="22">
        <v>22</v>
      </c>
      <c r="KE28" s="28">
        <v>11.2515</v>
      </c>
      <c r="KF28" s="28">
        <v>11.0732</v>
      </c>
      <c r="KG28" s="28">
        <v>11.2193</v>
      </c>
      <c r="KH28" s="28">
        <v>11.061400000000001</v>
      </c>
      <c r="KI28" s="28">
        <v>10.9283</v>
      </c>
      <c r="KJ28" s="28">
        <v>10.834199999999999</v>
      </c>
      <c r="KK28" s="28">
        <v>10.649800000000001</v>
      </c>
      <c r="KL28" s="28">
        <v>10.6601</v>
      </c>
      <c r="KM28" s="28">
        <v>10.8232</v>
      </c>
      <c r="KN28" s="28">
        <v>10.8393</v>
      </c>
      <c r="KO28" s="28">
        <v>10.654299999999999</v>
      </c>
      <c r="KP28" s="28">
        <v>10.6997</v>
      </c>
      <c r="KQ28" s="22">
        <v>22</v>
      </c>
      <c r="KT28" s="22">
        <v>22</v>
      </c>
      <c r="KU28" s="28">
        <v>10.847</v>
      </c>
      <c r="KV28" s="28">
        <v>10.9688</v>
      </c>
      <c r="KW28" s="28">
        <v>11.0128</v>
      </c>
      <c r="KX28" s="28">
        <v>11.3065</v>
      </c>
      <c r="KY28" s="28">
        <v>11.573499999999999</v>
      </c>
      <c r="KZ28" s="28">
        <v>11.331200000000001</v>
      </c>
      <c r="LA28" s="28">
        <v>11.3954</v>
      </c>
      <c r="LB28" s="28">
        <v>11.355</v>
      </c>
      <c r="LC28" s="28">
        <v>11.4557</v>
      </c>
      <c r="LD28" s="28">
        <v>11.454800000000001</v>
      </c>
      <c r="LE28" s="28">
        <v>11.333500000000001</v>
      </c>
      <c r="LF28" s="28">
        <v>11.1555</v>
      </c>
      <c r="LG28" s="22">
        <v>22</v>
      </c>
      <c r="LJ28" s="22">
        <v>22</v>
      </c>
      <c r="LK28" s="28">
        <v>10.622199999999999</v>
      </c>
      <c r="LL28" s="28">
        <v>10.899800000000001</v>
      </c>
      <c r="LM28" s="28">
        <v>10.863300000000001</v>
      </c>
      <c r="LN28" s="28">
        <v>10.6225</v>
      </c>
      <c r="LO28" s="28">
        <v>10.266299999999999</v>
      </c>
      <c r="LP28" s="28">
        <v>10.485799999999999</v>
      </c>
      <c r="LQ28" s="28">
        <v>10.36</v>
      </c>
      <c r="LR28" s="28">
        <v>10.837899999999999</v>
      </c>
      <c r="LS28" s="28">
        <v>10.9163</v>
      </c>
      <c r="LT28" s="28">
        <v>11.174799999999999</v>
      </c>
      <c r="LU28" s="28">
        <v>11.2094</v>
      </c>
      <c r="LV28" s="28">
        <v>11.2193</v>
      </c>
      <c r="LW28" s="22">
        <v>22</v>
      </c>
      <c r="LZ28" s="22">
        <v>22</v>
      </c>
      <c r="MA28" s="28">
        <v>9.1189999999999998</v>
      </c>
      <c r="MB28" s="28">
        <v>9.0858000000000008</v>
      </c>
      <c r="MC28" s="28">
        <v>9.0741999999999994</v>
      </c>
      <c r="MD28" s="28">
        <v>9.2345000000000006</v>
      </c>
      <c r="ME28" s="28">
        <v>9.4909999999999997</v>
      </c>
      <c r="MF28" s="28">
        <v>9.7675999999999998</v>
      </c>
      <c r="MG28" s="28">
        <v>9.6462000000000003</v>
      </c>
      <c r="MH28" s="28">
        <v>9.7713000000000001</v>
      </c>
      <c r="MI28" s="28">
        <v>10.062799999999999</v>
      </c>
      <c r="MJ28" s="28">
        <v>9.9841999999999995</v>
      </c>
      <c r="MK28" s="28">
        <v>10.163500000000001</v>
      </c>
      <c r="ML28" s="28">
        <v>10.192</v>
      </c>
      <c r="MM28" s="22">
        <v>22</v>
      </c>
      <c r="MP28" s="22">
        <v>22</v>
      </c>
      <c r="MQ28" s="28">
        <v>9.8870000000000005</v>
      </c>
      <c r="MR28" s="28">
        <v>9.6797000000000004</v>
      </c>
      <c r="MS28" s="28">
        <v>9.5683000000000007</v>
      </c>
      <c r="MT28" s="28">
        <v>9.2748000000000008</v>
      </c>
      <c r="MU28" s="28">
        <v>8.9773999999999994</v>
      </c>
      <c r="MV28" s="28">
        <v>9.0798000000000005</v>
      </c>
      <c r="MW28" s="28">
        <v>9.1999999999999993</v>
      </c>
      <c r="MX28" s="28">
        <v>9.1382999999999992</v>
      </c>
      <c r="MY28" s="28">
        <v>9.4802</v>
      </c>
      <c r="MZ28" s="28">
        <v>9.2309999999999999</v>
      </c>
      <c r="NA28" s="28">
        <v>9.1967999999999996</v>
      </c>
      <c r="NB28" s="28">
        <v>9.1682000000000006</v>
      </c>
      <c r="NC28" s="22">
        <v>22</v>
      </c>
      <c r="NF28" s="22">
        <v>22</v>
      </c>
      <c r="NG28" s="28">
        <v>9.4038000000000004</v>
      </c>
      <c r="NH28" s="28">
        <v>9.3591999999999995</v>
      </c>
      <c r="NI28" s="28">
        <v>9.3254999999999999</v>
      </c>
      <c r="NJ28" s="28">
        <v>9.4388000000000005</v>
      </c>
      <c r="NK28" s="28">
        <v>9.5751000000000008</v>
      </c>
      <c r="NL28" s="28">
        <v>9.8643999999999998</v>
      </c>
      <c r="NM28" s="28">
        <v>9.3607999999999993</v>
      </c>
      <c r="NN28" s="28">
        <v>9.2293000000000003</v>
      </c>
      <c r="NO28" s="28">
        <v>9.4482999999999997</v>
      </c>
      <c r="NP28" s="28">
        <v>9.5333000000000006</v>
      </c>
      <c r="NQ28" s="28">
        <v>9.4827999999999992</v>
      </c>
      <c r="NR28" s="28">
        <v>9.4347999999999992</v>
      </c>
      <c r="NS28" s="22">
        <v>22</v>
      </c>
      <c r="NV28" s="22">
        <v>22</v>
      </c>
      <c r="NW28" s="28">
        <v>10.178000000000001</v>
      </c>
      <c r="NX28" s="28">
        <v>9.8809000000000005</v>
      </c>
      <c r="NY28" s="28">
        <v>9.6462000000000003</v>
      </c>
      <c r="NZ28" s="28">
        <v>9.4077000000000002</v>
      </c>
      <c r="OA28" s="28">
        <v>9.3241999999999994</v>
      </c>
      <c r="OB28" s="28">
        <v>9.3550000000000004</v>
      </c>
      <c r="OC28" s="28">
        <v>9.3012999999999995</v>
      </c>
      <c r="OD28" s="28">
        <v>9.3744999999999994</v>
      </c>
      <c r="OE28" s="28">
        <v>9.3223000000000003</v>
      </c>
      <c r="OF28" s="28">
        <v>9.6113999999999997</v>
      </c>
      <c r="OG28" s="28">
        <v>9.3460000000000001</v>
      </c>
      <c r="OH28" s="28">
        <v>9.3338000000000001</v>
      </c>
      <c r="OI28" s="22">
        <v>22</v>
      </c>
      <c r="OL28" s="22">
        <v>22</v>
      </c>
      <c r="OM28" s="28">
        <v>8.2144999999999992</v>
      </c>
      <c r="ON28" s="28">
        <v>8.5449000000000002</v>
      </c>
      <c r="OO28" s="28">
        <v>8.5638000000000005</v>
      </c>
      <c r="OP28" s="28">
        <v>8.4727999999999994</v>
      </c>
      <c r="OQ28" s="28">
        <v>8.6212</v>
      </c>
      <c r="OR28" s="28">
        <v>8.8966999999999992</v>
      </c>
      <c r="OS28" s="28">
        <v>8.7896000000000001</v>
      </c>
      <c r="OT28" s="28">
        <v>9.3133999999999997</v>
      </c>
      <c r="OU28" s="28">
        <v>10.138299999999999</v>
      </c>
      <c r="OV28" s="28">
        <v>10.042</v>
      </c>
      <c r="OW28" s="28">
        <v>9.9305000000000003</v>
      </c>
      <c r="OX28" s="28">
        <v>9.7972000000000001</v>
      </c>
      <c r="OY28" s="22">
        <v>22</v>
      </c>
      <c r="PB28" s="22">
        <v>22</v>
      </c>
      <c r="PC28" s="28">
        <v>7.8082000000000003</v>
      </c>
      <c r="PD28" s="28">
        <v>7.7460000000000004</v>
      </c>
      <c r="PE28" s="28">
        <v>7.9233000000000002</v>
      </c>
      <c r="PF28" s="28">
        <v>7.8738000000000001</v>
      </c>
      <c r="PG28" s="28">
        <v>7.8878000000000004</v>
      </c>
      <c r="PH28" s="28">
        <v>7.9168000000000003</v>
      </c>
      <c r="PI28" s="28">
        <v>7.9097</v>
      </c>
      <c r="PJ28" s="28">
        <v>7.7614999999999998</v>
      </c>
      <c r="PK28" s="28">
        <v>7.7560000000000002</v>
      </c>
      <c r="PL28" s="28">
        <v>7.7270000000000003</v>
      </c>
      <c r="PM28" s="28">
        <v>8.2882999999999996</v>
      </c>
      <c r="PN28" s="28">
        <v>8.0739999999999998</v>
      </c>
      <c r="PO28" s="22">
        <v>22</v>
      </c>
      <c r="PR28" s="22">
        <v>22</v>
      </c>
      <c r="PS28" s="28">
        <v>7.4667000000000003</v>
      </c>
      <c r="PT28" s="28">
        <v>7.5785</v>
      </c>
      <c r="PU28" s="28">
        <v>7.5242000000000004</v>
      </c>
      <c r="PV28" s="28">
        <v>7.4409999999999998</v>
      </c>
      <c r="PW28" s="28">
        <v>7.4123999999999999</v>
      </c>
      <c r="PX28" s="28">
        <v>7.5506000000000002</v>
      </c>
      <c r="PY28" s="28">
        <v>7.6452999999999998</v>
      </c>
      <c r="PZ28" s="28">
        <v>7.4778000000000002</v>
      </c>
      <c r="QA28" s="28">
        <v>7.5052000000000003</v>
      </c>
      <c r="QB28" s="28">
        <v>7.7306999999999997</v>
      </c>
      <c r="QC28" s="28">
        <v>7.8975</v>
      </c>
      <c r="QD28" s="28">
        <v>7.8673999999999999</v>
      </c>
      <c r="QE28" s="22">
        <v>22</v>
      </c>
      <c r="QH28" s="22">
        <v>22</v>
      </c>
      <c r="QI28" s="28">
        <v>5.6074999999999999</v>
      </c>
      <c r="QJ28" s="28">
        <v>5.5225</v>
      </c>
      <c r="QK28" s="28">
        <v>7.0824999999999996</v>
      </c>
      <c r="QL28" s="28">
        <v>6.0483000000000002</v>
      </c>
      <c r="QM28" s="28">
        <v>5.92</v>
      </c>
      <c r="QN28" s="28">
        <v>6.2516999999999996</v>
      </c>
      <c r="QO28" s="28">
        <v>6.1582999999999997</v>
      </c>
      <c r="QP28" s="28">
        <v>6.2651000000000003</v>
      </c>
      <c r="QQ28" s="28">
        <v>6.3296999999999999</v>
      </c>
      <c r="QR28" s="28">
        <v>6.6908000000000003</v>
      </c>
      <c r="QS28" s="28">
        <v>7.7507999999999999</v>
      </c>
      <c r="QT28" s="28">
        <v>7.55</v>
      </c>
      <c r="QU28" s="22">
        <v>22</v>
      </c>
      <c r="QX28" s="22">
        <v>22</v>
      </c>
      <c r="QY28" s="28">
        <v>3.1059999999999999</v>
      </c>
      <c r="QZ28" s="28">
        <v>3.1057000000000001</v>
      </c>
      <c r="RA28" s="28">
        <v>3.3043</v>
      </c>
      <c r="RB28" s="28">
        <v>3.3690000000000002</v>
      </c>
      <c r="RC28" s="28">
        <v>3.3220000000000001</v>
      </c>
      <c r="RD28" s="28">
        <v>3.3702999999999999</v>
      </c>
      <c r="RE28" s="28">
        <v>3.4051999999999998</v>
      </c>
      <c r="RF28" s="28">
        <v>3.3769</v>
      </c>
      <c r="RG28" s="28">
        <v>3.4068000000000001</v>
      </c>
      <c r="RH28" s="28">
        <v>3.4173</v>
      </c>
      <c r="RI28" s="28">
        <v>3.4538000000000002</v>
      </c>
      <c r="RJ28" s="28">
        <v>3.9413</v>
      </c>
      <c r="RK28" s="22">
        <v>22</v>
      </c>
      <c r="RN28" s="22">
        <v>22</v>
      </c>
      <c r="RO28" s="28">
        <v>3.1051000000000002</v>
      </c>
      <c r="RP28" s="28">
        <v>3.0943000000000001</v>
      </c>
      <c r="RQ28" s="28">
        <v>3.1168999999999998</v>
      </c>
      <c r="RR28" s="28">
        <v>3.0935000000000001</v>
      </c>
      <c r="RS28" s="28">
        <v>3.1109</v>
      </c>
      <c r="RT28" s="28">
        <v>3.1168999999999998</v>
      </c>
      <c r="RU28" s="28">
        <v>3.1240999999999999</v>
      </c>
      <c r="RV28" s="28">
        <v>3.1131000000000002</v>
      </c>
      <c r="RW28" s="28">
        <v>3.1073</v>
      </c>
      <c r="RX28" s="28">
        <v>3.1114999999999999</v>
      </c>
      <c r="RY28" s="28">
        <v>3.1114000000000002</v>
      </c>
      <c r="RZ28" s="28">
        <v>3.1114000000000002</v>
      </c>
      <c r="SA28" s="22">
        <v>22</v>
      </c>
      <c r="SD28" s="22">
        <v>22</v>
      </c>
      <c r="SE28" s="28">
        <v>3.0630999999999999</v>
      </c>
      <c r="SF28" s="28">
        <v>3.0621</v>
      </c>
      <c r="SG28" s="28">
        <v>3.0737999999999999</v>
      </c>
      <c r="SH28" s="28">
        <v>3.0636000000000001</v>
      </c>
      <c r="SI28" s="28">
        <v>3.105</v>
      </c>
      <c r="SJ28" s="28">
        <v>3.1202999999999999</v>
      </c>
      <c r="SK28" s="28">
        <v>3.1166</v>
      </c>
      <c r="SL28" s="28">
        <v>3.0813999999999999</v>
      </c>
      <c r="SM28" s="28">
        <v>3.0863999999999998</v>
      </c>
      <c r="SN28" s="28">
        <v>3.1355</v>
      </c>
      <c r="SO28" s="28">
        <v>3.1150000000000002</v>
      </c>
      <c r="SP28" s="28">
        <v>3.1204999999999998</v>
      </c>
      <c r="SQ28" s="22">
        <v>22</v>
      </c>
      <c r="ST28" s="22">
        <v>22</v>
      </c>
      <c r="SU28" s="28">
        <v>2.9538000000000002</v>
      </c>
      <c r="SV28" s="28">
        <v>2.9670000000000001</v>
      </c>
      <c r="SW28" s="28">
        <v>2.9782000000000002</v>
      </c>
      <c r="SX28" s="28">
        <v>2.9897999999999998</v>
      </c>
      <c r="SY28" s="28">
        <v>3.0026000000000002</v>
      </c>
      <c r="SZ28" s="28">
        <v>3.0150000000000001</v>
      </c>
      <c r="TA28" s="28">
        <v>3.0261999999999998</v>
      </c>
      <c r="TB28" s="28">
        <v>3.0394000000000001</v>
      </c>
      <c r="TC28" s="28">
        <v>3.0514000000000001</v>
      </c>
      <c r="TD28" s="28">
        <v>3.0646</v>
      </c>
      <c r="TE28" s="28">
        <v>3.0661299999999998</v>
      </c>
      <c r="TF28" s="28">
        <v>3.0747499999999999</v>
      </c>
      <c r="TG28" s="22">
        <v>22</v>
      </c>
      <c r="TJ28" s="22">
        <v>22</v>
      </c>
      <c r="TK28" s="28">
        <v>2.6619999999999999</v>
      </c>
      <c r="TL28" s="28">
        <v>2.6949999999999998</v>
      </c>
      <c r="TM28" s="28">
        <v>2.7229999999999999</v>
      </c>
      <c r="TN28" s="28">
        <v>2.7530000000000001</v>
      </c>
      <c r="TO28" s="28">
        <v>2.782</v>
      </c>
      <c r="TP28" s="28">
        <v>2.8106</v>
      </c>
      <c r="TQ28" s="28">
        <v>2.8338000000000001</v>
      </c>
      <c r="TR28" s="28">
        <v>2.8593999999999999</v>
      </c>
      <c r="TS28" s="28">
        <v>2.8841999999999999</v>
      </c>
      <c r="TT28" s="28">
        <v>2.9066000000000001</v>
      </c>
      <c r="TU28" s="28">
        <v>2.9302000000000001</v>
      </c>
      <c r="TV28" s="28">
        <v>2.9422000000000001</v>
      </c>
      <c r="TW28" s="22">
        <v>22</v>
      </c>
      <c r="TZ28" s="22">
        <v>22</v>
      </c>
      <c r="UA28" s="28">
        <v>2.298</v>
      </c>
      <c r="UB28" s="28">
        <v>2.33</v>
      </c>
      <c r="UC28" s="28">
        <v>2.3580000000000001</v>
      </c>
      <c r="UD28" s="28">
        <v>2.3889999999999998</v>
      </c>
      <c r="UE28" s="28">
        <v>2.4169999999999998</v>
      </c>
      <c r="UF28" s="28">
        <v>2.4500000000000002</v>
      </c>
      <c r="UG28" s="28">
        <v>2.48</v>
      </c>
      <c r="UH28" s="28">
        <v>2.5089999999999999</v>
      </c>
      <c r="UI28" s="28">
        <v>2.5419999999999998</v>
      </c>
      <c r="UJ28" s="28">
        <v>2.5710000000000002</v>
      </c>
      <c r="UK28" s="28">
        <v>2.6030000000000002</v>
      </c>
      <c r="UL28" s="28">
        <v>2.633</v>
      </c>
      <c r="UM28" s="22">
        <v>22</v>
      </c>
    </row>
    <row r="29" spans="2:559" s="7" customFormat="1" ht="19.2">
      <c r="B29" s="22">
        <v>23</v>
      </c>
      <c r="C29" s="28">
        <v>19.032699999999998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2">
        <v>23</v>
      </c>
      <c r="R29" s="22">
        <v>23</v>
      </c>
      <c r="S29" s="28">
        <v>20.450700000000001</v>
      </c>
      <c r="T29" s="28">
        <v>20.282499999999999</v>
      </c>
      <c r="U29" s="28">
        <v>20.4145</v>
      </c>
      <c r="V29" s="28">
        <v>20.180199999999999</v>
      </c>
      <c r="W29" s="28">
        <v>19.9267</v>
      </c>
      <c r="X29" s="28">
        <v>20.196300000000001</v>
      </c>
      <c r="Y29" s="28">
        <v>20.656199999999998</v>
      </c>
      <c r="Z29" s="28">
        <v>20.195699999999999</v>
      </c>
      <c r="AA29" s="28">
        <v>20.002700000000001</v>
      </c>
      <c r="AB29" s="28">
        <v>20.044799999999999</v>
      </c>
      <c r="AC29" s="28">
        <v>19.492999999999999</v>
      </c>
      <c r="AD29" s="28">
        <v>19.693200000000001</v>
      </c>
      <c r="AE29" s="22">
        <v>23</v>
      </c>
      <c r="AH29" s="22">
        <v>23</v>
      </c>
      <c r="AI29" s="28">
        <v>19.7393</v>
      </c>
      <c r="AJ29" s="28">
        <v>20.4222</v>
      </c>
      <c r="AK29" s="28">
        <v>20.482299999999999</v>
      </c>
      <c r="AL29" s="28">
        <v>19.873999999999999</v>
      </c>
      <c r="AM29" s="28">
        <v>19.881</v>
      </c>
      <c r="AN29" s="28">
        <v>20.6</v>
      </c>
      <c r="AO29" s="28">
        <v>20.1907</v>
      </c>
      <c r="AP29" s="28">
        <v>20.1175</v>
      </c>
      <c r="AQ29" s="28">
        <v>20.143799999999999</v>
      </c>
      <c r="AR29" s="28">
        <v>20.264299999999999</v>
      </c>
      <c r="AS29" s="28">
        <v>20.828299999999999</v>
      </c>
      <c r="AT29" s="28">
        <v>20.782299999999999</v>
      </c>
      <c r="AU29" s="22">
        <v>23</v>
      </c>
      <c r="AV29" s="8"/>
      <c r="AW29" s="8"/>
      <c r="AX29" s="22">
        <v>23</v>
      </c>
      <c r="AY29" s="28">
        <v>18.700700000000001</v>
      </c>
      <c r="AZ29" s="28">
        <v>18.799199999999999</v>
      </c>
      <c r="BA29" s="28">
        <v>24.0868</v>
      </c>
      <c r="BB29" s="28">
        <v>24.424800000000001</v>
      </c>
      <c r="BC29" s="28">
        <v>22.96</v>
      </c>
      <c r="BD29" s="28">
        <v>22.63</v>
      </c>
      <c r="BE29" s="28">
        <v>22.3597</v>
      </c>
      <c r="BF29" s="28">
        <v>22.175999999999998</v>
      </c>
      <c r="BG29" s="28">
        <v>21.504999999999999</v>
      </c>
      <c r="BH29" s="28">
        <v>21.064</v>
      </c>
      <c r="BI29" s="28">
        <v>20.1858</v>
      </c>
      <c r="BJ29" s="28">
        <v>20.090499999999999</v>
      </c>
      <c r="BK29" s="22">
        <v>23</v>
      </c>
      <c r="BN29" s="22">
        <v>23</v>
      </c>
      <c r="BO29" s="28">
        <v>19.190200000000001</v>
      </c>
      <c r="BP29" s="28">
        <v>19.2652</v>
      </c>
      <c r="BQ29" s="28">
        <v>18.869399999999999</v>
      </c>
      <c r="BR29" s="28">
        <v>18.847999999999999</v>
      </c>
      <c r="BS29" s="28">
        <v>19.030899999999999</v>
      </c>
      <c r="BT29" s="28">
        <v>18.980399999999999</v>
      </c>
      <c r="BU29" s="28">
        <v>19.0123</v>
      </c>
      <c r="BV29" s="28">
        <v>19.6798</v>
      </c>
      <c r="BW29" s="28">
        <v>19.398099999999999</v>
      </c>
      <c r="BX29" s="28">
        <v>19.142199999999999</v>
      </c>
      <c r="BY29" s="28">
        <v>19.413799999999998</v>
      </c>
      <c r="BZ29" s="28">
        <v>18.963999999999999</v>
      </c>
      <c r="CA29" s="22">
        <v>23</v>
      </c>
      <c r="CD29" s="22">
        <v>23</v>
      </c>
      <c r="CE29" s="28">
        <v>18.581299999999999</v>
      </c>
      <c r="CF29" s="28">
        <v>18.651800000000001</v>
      </c>
      <c r="CG29" s="29">
        <v>18.600100000000001</v>
      </c>
      <c r="CH29" s="28">
        <v>18.2819</v>
      </c>
      <c r="CI29" s="28">
        <v>19.9054</v>
      </c>
      <c r="CJ29" s="28">
        <v>20.3689</v>
      </c>
      <c r="CK29" s="28">
        <v>19.079000000000001</v>
      </c>
      <c r="CL29" s="28">
        <v>18.878399999999999</v>
      </c>
      <c r="CM29" s="28">
        <v>18.829599999999999</v>
      </c>
      <c r="CN29" s="28">
        <v>19.218299999999999</v>
      </c>
      <c r="CO29" s="28">
        <v>20.202300000000001</v>
      </c>
      <c r="CP29" s="28">
        <v>19.908200000000001</v>
      </c>
      <c r="CQ29" s="22">
        <v>23</v>
      </c>
      <c r="CT29" s="22">
        <v>23</v>
      </c>
      <c r="CU29" s="28">
        <v>21.904399999999999</v>
      </c>
      <c r="CV29" s="28">
        <v>20.448899999999998</v>
      </c>
      <c r="CW29" s="28">
        <v>19.106999999999999</v>
      </c>
      <c r="CX29" s="28">
        <v>18.8187</v>
      </c>
      <c r="CY29" s="28">
        <v>18.6859</v>
      </c>
      <c r="CZ29" s="28">
        <v>18.157</v>
      </c>
      <c r="DA29" s="28">
        <v>17.526</v>
      </c>
      <c r="DB29" s="28">
        <v>17.650099999999998</v>
      </c>
      <c r="DC29" s="28">
        <v>17.854500000000002</v>
      </c>
      <c r="DD29" s="28">
        <v>18.8248</v>
      </c>
      <c r="DE29" s="28">
        <v>18.824200000000001</v>
      </c>
      <c r="DF29" s="28">
        <v>19.3962</v>
      </c>
      <c r="DG29" s="22">
        <v>23</v>
      </c>
      <c r="DJ29" s="22">
        <v>23</v>
      </c>
      <c r="DK29" s="28">
        <v>18.508400000000002</v>
      </c>
      <c r="DL29" s="28">
        <v>18.276199999999999</v>
      </c>
      <c r="DM29" s="28">
        <v>17.299499999999998</v>
      </c>
      <c r="DN29" s="28">
        <v>17.420200000000001</v>
      </c>
      <c r="DO29" s="28">
        <v>18.546500000000002</v>
      </c>
      <c r="DP29" s="28">
        <v>18.644400000000001</v>
      </c>
      <c r="DQ29" s="28">
        <v>18.6022</v>
      </c>
      <c r="DR29" s="28">
        <v>18.267399999999999</v>
      </c>
      <c r="DS29" s="28">
        <v>19.839400000000001</v>
      </c>
      <c r="DT29" s="28">
        <v>18.5945</v>
      </c>
      <c r="DU29" s="28">
        <v>20.4193</v>
      </c>
      <c r="DV29" s="28">
        <v>20.492100000000001</v>
      </c>
      <c r="DW29" s="22">
        <v>23</v>
      </c>
      <c r="DZ29" s="22">
        <v>23</v>
      </c>
      <c r="EA29" s="28">
        <v>14.6983</v>
      </c>
      <c r="EB29" s="28">
        <v>14.958299999999999</v>
      </c>
      <c r="EC29" s="28">
        <v>15.295999999999999</v>
      </c>
      <c r="ED29" s="28">
        <v>15.383699999999999</v>
      </c>
      <c r="EE29" s="28">
        <v>15.2326</v>
      </c>
      <c r="EF29" s="28">
        <v>15.327400000000001</v>
      </c>
      <c r="EG29" s="28">
        <v>15.972799999999999</v>
      </c>
      <c r="EH29" s="28">
        <v>16.4908</v>
      </c>
      <c r="EI29" s="28">
        <v>16.686499999999999</v>
      </c>
      <c r="EJ29" s="28">
        <v>16.66</v>
      </c>
      <c r="EK29" s="28">
        <v>16.5748</v>
      </c>
      <c r="EL29" s="28">
        <v>17.103400000000001</v>
      </c>
      <c r="EM29" s="22">
        <v>23</v>
      </c>
      <c r="EP29" s="22">
        <v>23</v>
      </c>
      <c r="EQ29" s="28">
        <v>13.298400000000001</v>
      </c>
      <c r="ER29" s="28">
        <v>13.2913</v>
      </c>
      <c r="ES29" s="28">
        <v>13.270300000000001</v>
      </c>
      <c r="ET29" s="28">
        <v>13.0413</v>
      </c>
      <c r="EU29" s="28">
        <v>12.9132</v>
      </c>
      <c r="EV29" s="28">
        <v>12.9885</v>
      </c>
      <c r="EW29" s="28">
        <v>12.975099999999999</v>
      </c>
      <c r="EX29" s="28">
        <v>13.096299999999999</v>
      </c>
      <c r="EY29" s="28">
        <v>13.2369</v>
      </c>
      <c r="EZ29" s="28">
        <v>13.498900000000001</v>
      </c>
      <c r="FA29" s="28">
        <v>13.611499999999999</v>
      </c>
      <c r="FB29" s="28">
        <v>14.6378</v>
      </c>
      <c r="FC29" s="22">
        <v>23</v>
      </c>
      <c r="FF29" s="22">
        <v>23</v>
      </c>
      <c r="FG29" s="28">
        <v>12.7098</v>
      </c>
      <c r="FH29" s="28">
        <v>12.7699</v>
      </c>
      <c r="FI29" s="28">
        <v>12.3841</v>
      </c>
      <c r="FJ29" s="28">
        <v>12.2254</v>
      </c>
      <c r="FK29" s="28">
        <v>12.3414</v>
      </c>
      <c r="FL29" s="28">
        <v>13.4015</v>
      </c>
      <c r="FM29" s="28">
        <v>12.549899999999999</v>
      </c>
      <c r="FN29" s="28">
        <v>13.1424</v>
      </c>
      <c r="FO29" s="28">
        <v>12.7179</v>
      </c>
      <c r="FP29" s="28">
        <v>12.9314</v>
      </c>
      <c r="FQ29" s="28">
        <v>13.0617</v>
      </c>
      <c r="FR29" s="28">
        <v>12.973000000000001</v>
      </c>
      <c r="FS29" s="22">
        <v>23</v>
      </c>
      <c r="FV29" s="22">
        <v>23</v>
      </c>
      <c r="FW29" s="28">
        <v>13.2516</v>
      </c>
      <c r="FX29" s="28">
        <v>12.7408</v>
      </c>
      <c r="FY29" s="28">
        <v>12.683299999999999</v>
      </c>
      <c r="FZ29" s="28">
        <v>13.2288</v>
      </c>
      <c r="GA29" s="28">
        <v>13.7935</v>
      </c>
      <c r="GB29" s="28">
        <v>13.7668</v>
      </c>
      <c r="GC29" s="28">
        <v>13.1921</v>
      </c>
      <c r="GD29" s="28">
        <v>13.0854</v>
      </c>
      <c r="GE29" s="28">
        <v>12.904199999999999</v>
      </c>
      <c r="GF29" s="28">
        <v>12.8551</v>
      </c>
      <c r="GG29" s="28">
        <v>13.0395</v>
      </c>
      <c r="GH29" s="28">
        <v>12.777699999999999</v>
      </c>
      <c r="GI29" s="22">
        <v>23</v>
      </c>
      <c r="GL29" s="22">
        <v>23</v>
      </c>
      <c r="GM29" s="28">
        <v>12.090299999999999</v>
      </c>
      <c r="GN29" s="28">
        <v>12.0558</v>
      </c>
      <c r="GO29" s="28">
        <v>12.061500000000001</v>
      </c>
      <c r="GP29" s="28">
        <v>11.692500000000001</v>
      </c>
      <c r="GQ29" s="28">
        <v>11.658799999999999</v>
      </c>
      <c r="GR29" s="28">
        <v>11.813000000000001</v>
      </c>
      <c r="GS29" s="28">
        <v>11.6174</v>
      </c>
      <c r="GT29" s="28">
        <v>12.2386</v>
      </c>
      <c r="GU29" s="28">
        <v>13.404500000000001</v>
      </c>
      <c r="GV29" s="28">
        <v>13.662800000000001</v>
      </c>
      <c r="GW29" s="28">
        <v>13.7033</v>
      </c>
      <c r="GX29" s="28">
        <v>13.852600000000001</v>
      </c>
      <c r="GY29" s="22">
        <v>23</v>
      </c>
      <c r="HB29" s="22">
        <v>23</v>
      </c>
      <c r="HC29" s="28">
        <v>12.772</v>
      </c>
      <c r="HD29" s="28">
        <v>12.8337</v>
      </c>
      <c r="HE29" s="28">
        <v>12.579599999999999</v>
      </c>
      <c r="HF29" s="28">
        <v>12.1896</v>
      </c>
      <c r="HG29" s="28">
        <v>13.1412</v>
      </c>
      <c r="HH29" s="28">
        <v>12.4604</v>
      </c>
      <c r="HI29" s="28">
        <v>12.7798</v>
      </c>
      <c r="HJ29" s="28">
        <v>12.7226</v>
      </c>
      <c r="HK29" s="28">
        <v>12.759399999999999</v>
      </c>
      <c r="HL29" s="28">
        <v>12.3613</v>
      </c>
      <c r="HM29" s="28">
        <v>12.2996</v>
      </c>
      <c r="HN29" s="28">
        <v>12.372</v>
      </c>
      <c r="HO29" s="22">
        <v>23</v>
      </c>
      <c r="HR29" s="22">
        <v>23</v>
      </c>
      <c r="HS29" s="28">
        <v>13.9145</v>
      </c>
      <c r="HT29" s="28">
        <v>14.5505</v>
      </c>
      <c r="HU29" s="28">
        <v>14.08</v>
      </c>
      <c r="HV29" s="28">
        <v>13.175000000000001</v>
      </c>
      <c r="HW29" s="28">
        <v>13.103</v>
      </c>
      <c r="HX29" s="28">
        <v>13.3248</v>
      </c>
      <c r="HY29" s="28">
        <v>13.2879</v>
      </c>
      <c r="HZ29" s="28">
        <v>12.8733</v>
      </c>
      <c r="IA29" s="28">
        <v>13.353</v>
      </c>
      <c r="IB29" s="28">
        <v>12.919600000000001</v>
      </c>
      <c r="IC29" s="28">
        <v>13.0502</v>
      </c>
      <c r="ID29" s="28">
        <v>12.812099999999999</v>
      </c>
      <c r="IE29" s="22">
        <v>23</v>
      </c>
      <c r="IH29" s="22">
        <v>23</v>
      </c>
      <c r="II29" s="28">
        <v>10.981299999999999</v>
      </c>
      <c r="IJ29" s="28">
        <v>10.798</v>
      </c>
      <c r="IK29" s="28">
        <v>10.704000000000001</v>
      </c>
      <c r="IL29" s="28">
        <v>10.5223</v>
      </c>
      <c r="IM29" s="28">
        <v>10.3644</v>
      </c>
      <c r="IN29" s="28">
        <v>10.3156</v>
      </c>
      <c r="IO29" s="28">
        <v>10.1708</v>
      </c>
      <c r="IP29" s="28">
        <v>10.1106</v>
      </c>
      <c r="IQ29" s="28">
        <v>10.613300000000001</v>
      </c>
      <c r="IR29" s="28">
        <v>13.1233</v>
      </c>
      <c r="IS29" s="28">
        <v>13.575799999999999</v>
      </c>
      <c r="IT29" s="28">
        <v>13.1197</v>
      </c>
      <c r="IU29" s="22">
        <v>23</v>
      </c>
      <c r="IX29" s="22">
        <v>23</v>
      </c>
      <c r="IY29" s="28">
        <v>10.882400000000001</v>
      </c>
      <c r="IZ29" s="28">
        <v>11.0023</v>
      </c>
      <c r="JA29" s="28">
        <v>11.079599999999999</v>
      </c>
      <c r="JB29" s="28">
        <v>11.004799999999999</v>
      </c>
      <c r="JC29" s="28">
        <v>10.7963</v>
      </c>
      <c r="JD29" s="28">
        <v>10.826599999999999</v>
      </c>
      <c r="JE29" s="28">
        <v>10.720700000000001</v>
      </c>
      <c r="JF29" s="28">
        <v>11.1213</v>
      </c>
      <c r="JG29" s="28">
        <v>10.9687</v>
      </c>
      <c r="JH29" s="28">
        <v>10.797599999999999</v>
      </c>
      <c r="JI29" s="28">
        <v>11.0037</v>
      </c>
      <c r="JJ29" s="28">
        <v>10.8363</v>
      </c>
      <c r="JK29" s="22">
        <v>23</v>
      </c>
      <c r="JN29" s="22">
        <v>23</v>
      </c>
      <c r="JO29" s="28">
        <v>10.5589</v>
      </c>
      <c r="JP29" s="28">
        <v>10.438800000000001</v>
      </c>
      <c r="JQ29" s="28">
        <v>10.7568</v>
      </c>
      <c r="JR29" s="28">
        <v>11.030200000000001</v>
      </c>
      <c r="JS29" s="28">
        <v>11.1915</v>
      </c>
      <c r="JT29" s="28">
        <v>11.444100000000001</v>
      </c>
      <c r="JU29" s="28">
        <v>10.870799999999999</v>
      </c>
      <c r="JV29" s="28">
        <v>10.803800000000001</v>
      </c>
      <c r="JW29" s="28">
        <v>10.9953</v>
      </c>
      <c r="JX29" s="28">
        <v>10.805999999999999</v>
      </c>
      <c r="JY29" s="28">
        <v>11.0021</v>
      </c>
      <c r="JZ29" s="28">
        <v>10.841100000000001</v>
      </c>
      <c r="KA29" s="22">
        <v>23</v>
      </c>
      <c r="KD29" s="22">
        <v>23</v>
      </c>
      <c r="KE29" s="28">
        <v>11.2515</v>
      </c>
      <c r="KF29" s="28">
        <v>11.068</v>
      </c>
      <c r="KG29" s="28">
        <v>11.1759</v>
      </c>
      <c r="KH29" s="28">
        <v>11.041</v>
      </c>
      <c r="KI29" s="28">
        <v>10.9283</v>
      </c>
      <c r="KJ29" s="28">
        <v>10.7982</v>
      </c>
      <c r="KK29" s="28">
        <v>10.594200000000001</v>
      </c>
      <c r="KL29" s="28">
        <v>10.7753</v>
      </c>
      <c r="KM29" s="28">
        <v>10.7798</v>
      </c>
      <c r="KN29" s="28">
        <v>10.8393</v>
      </c>
      <c r="KO29" s="28">
        <v>10.6425</v>
      </c>
      <c r="KP29" s="28">
        <v>10.6457</v>
      </c>
      <c r="KQ29" s="22">
        <v>23</v>
      </c>
      <c r="KT29" s="22">
        <v>23</v>
      </c>
      <c r="KU29" s="28">
        <v>10.9521</v>
      </c>
      <c r="KV29" s="28">
        <v>10.9688</v>
      </c>
      <c r="KW29" s="28">
        <v>10.9863</v>
      </c>
      <c r="KX29" s="28">
        <v>11.3119</v>
      </c>
      <c r="KY29" s="28">
        <v>11.573499999999999</v>
      </c>
      <c r="KZ29" s="28">
        <v>11.314299999999999</v>
      </c>
      <c r="LA29" s="28">
        <v>11.46</v>
      </c>
      <c r="LB29" s="28">
        <v>11.355</v>
      </c>
      <c r="LC29" s="28">
        <v>11.429399999999999</v>
      </c>
      <c r="LD29" s="28">
        <v>11.472200000000001</v>
      </c>
      <c r="LE29" s="28">
        <v>11.3637</v>
      </c>
      <c r="LF29" s="28">
        <v>11.1873</v>
      </c>
      <c r="LG29" s="22">
        <v>23</v>
      </c>
      <c r="LJ29" s="22">
        <v>23</v>
      </c>
      <c r="LK29" s="28">
        <v>10.6866</v>
      </c>
      <c r="LL29" s="28">
        <v>10.899800000000001</v>
      </c>
      <c r="LM29" s="28">
        <v>10.863300000000001</v>
      </c>
      <c r="LN29" s="28">
        <v>10.554500000000001</v>
      </c>
      <c r="LO29" s="28">
        <v>10.253</v>
      </c>
      <c r="LP29" s="28">
        <v>10.485799999999999</v>
      </c>
      <c r="LQ29" s="28">
        <v>10.410500000000001</v>
      </c>
      <c r="LR29" s="28">
        <v>10.8507</v>
      </c>
      <c r="LS29" s="28">
        <v>10.8955</v>
      </c>
      <c r="LT29" s="28">
        <v>11.139699999999999</v>
      </c>
      <c r="LU29" s="28">
        <v>11.2094</v>
      </c>
      <c r="LV29" s="28">
        <v>11.2295</v>
      </c>
      <c r="LW29" s="22">
        <v>23</v>
      </c>
      <c r="LZ29" s="22">
        <v>23</v>
      </c>
      <c r="MA29" s="28">
        <v>9.1219000000000001</v>
      </c>
      <c r="MB29" s="28">
        <v>9.0756999999999994</v>
      </c>
      <c r="MC29" s="28">
        <v>9.0707000000000004</v>
      </c>
      <c r="MD29" s="28">
        <v>9.2247000000000003</v>
      </c>
      <c r="ME29" s="28">
        <v>9.5132999999999992</v>
      </c>
      <c r="MF29" s="28">
        <v>9.7675999999999998</v>
      </c>
      <c r="MG29" s="28">
        <v>9.7052999999999994</v>
      </c>
      <c r="MH29" s="28">
        <v>9.7853999999999992</v>
      </c>
      <c r="MI29" s="28">
        <v>10.062799999999999</v>
      </c>
      <c r="MJ29" s="28">
        <v>9.9382999999999999</v>
      </c>
      <c r="MK29" s="28">
        <v>10.087400000000001</v>
      </c>
      <c r="ML29" s="28">
        <v>10.192</v>
      </c>
      <c r="MM29" s="22">
        <v>23</v>
      </c>
      <c r="MP29" s="22">
        <v>23</v>
      </c>
      <c r="MQ29" s="28">
        <v>9.7952999999999992</v>
      </c>
      <c r="MR29" s="28">
        <v>9.7089999999999996</v>
      </c>
      <c r="MS29" s="28">
        <v>9.5188000000000006</v>
      </c>
      <c r="MT29" s="28">
        <v>9.2748000000000008</v>
      </c>
      <c r="MU29" s="28">
        <v>8.9428000000000001</v>
      </c>
      <c r="MV29" s="28">
        <v>9.0570000000000004</v>
      </c>
      <c r="MW29" s="28">
        <v>9.1999999999999993</v>
      </c>
      <c r="MX29" s="28">
        <v>9.1227</v>
      </c>
      <c r="MY29" s="28">
        <v>9.4802</v>
      </c>
      <c r="MZ29" s="28">
        <v>9.1971000000000007</v>
      </c>
      <c r="NA29" s="28">
        <v>9.1409000000000002</v>
      </c>
      <c r="NB29" s="28">
        <v>9.1682000000000006</v>
      </c>
      <c r="NC29" s="22">
        <v>23</v>
      </c>
      <c r="NF29" s="22">
        <v>23</v>
      </c>
      <c r="NG29" s="28">
        <v>9.4038000000000004</v>
      </c>
      <c r="NH29" s="28">
        <v>9.4108000000000001</v>
      </c>
      <c r="NI29" s="28">
        <v>9.3185000000000002</v>
      </c>
      <c r="NJ29" s="28">
        <v>9.4388000000000005</v>
      </c>
      <c r="NK29" s="28">
        <v>9.6150000000000002</v>
      </c>
      <c r="NL29" s="28">
        <v>9.8567999999999998</v>
      </c>
      <c r="NM29" s="28">
        <v>9.3607999999999993</v>
      </c>
      <c r="NN29" s="28">
        <v>9.2562999999999995</v>
      </c>
      <c r="NO29" s="28">
        <v>9.4346999999999994</v>
      </c>
      <c r="NP29" s="28">
        <v>9.5333000000000006</v>
      </c>
      <c r="NQ29" s="28">
        <v>9.4098000000000006</v>
      </c>
      <c r="NR29" s="28">
        <v>9.5726999999999993</v>
      </c>
      <c r="NS29" s="22">
        <v>23</v>
      </c>
      <c r="NV29" s="22">
        <v>23</v>
      </c>
      <c r="NW29" s="28">
        <v>10.2874</v>
      </c>
      <c r="NX29" s="28">
        <v>9.9332999999999991</v>
      </c>
      <c r="NY29" s="28">
        <v>9.6675000000000004</v>
      </c>
      <c r="NZ29" s="28">
        <v>9.3643000000000001</v>
      </c>
      <c r="OA29" s="28">
        <v>9.3241999999999994</v>
      </c>
      <c r="OB29" s="28">
        <v>9.3780999999999999</v>
      </c>
      <c r="OC29" s="28">
        <v>9.3347999999999995</v>
      </c>
      <c r="OD29" s="28">
        <v>9.3744999999999994</v>
      </c>
      <c r="OE29" s="28">
        <v>9.3043999999999993</v>
      </c>
      <c r="OF29" s="28">
        <v>9.6481999999999992</v>
      </c>
      <c r="OG29" s="28">
        <v>9.3287999999999993</v>
      </c>
      <c r="OH29" s="28">
        <v>9.3141999999999996</v>
      </c>
      <c r="OI29" s="22">
        <v>23</v>
      </c>
      <c r="OL29" s="22">
        <v>23</v>
      </c>
      <c r="OM29" s="28">
        <v>8.2682000000000002</v>
      </c>
      <c r="ON29" s="28">
        <v>8.5449000000000002</v>
      </c>
      <c r="OO29" s="28">
        <v>8.5638000000000005</v>
      </c>
      <c r="OP29" s="28">
        <v>8.4550000000000001</v>
      </c>
      <c r="OQ29" s="28">
        <v>8.6222999999999992</v>
      </c>
      <c r="OR29" s="28">
        <v>8.8928999999999991</v>
      </c>
      <c r="OS29" s="28">
        <v>8.8033000000000001</v>
      </c>
      <c r="OT29" s="28">
        <v>9.3133999999999997</v>
      </c>
      <c r="OU29" s="28">
        <v>10.305</v>
      </c>
      <c r="OV29" s="28">
        <v>10.033799999999999</v>
      </c>
      <c r="OW29" s="28">
        <v>9.9305000000000003</v>
      </c>
      <c r="OX29" s="28">
        <v>9.7568000000000001</v>
      </c>
      <c r="OY29" s="22">
        <v>23</v>
      </c>
      <c r="PB29" s="22">
        <v>23</v>
      </c>
      <c r="PC29" s="28">
        <v>7.8033000000000001</v>
      </c>
      <c r="PD29" s="28">
        <v>7.7460000000000004</v>
      </c>
      <c r="PE29" s="28">
        <v>7.9233000000000002</v>
      </c>
      <c r="PF29" s="28">
        <v>7.8773</v>
      </c>
      <c r="PG29" s="28">
        <v>7.8654999999999999</v>
      </c>
      <c r="PH29" s="28">
        <v>7.9168000000000003</v>
      </c>
      <c r="PI29" s="28">
        <v>7.8868</v>
      </c>
      <c r="PJ29" s="28">
        <v>7.7596999999999996</v>
      </c>
      <c r="PK29" s="28">
        <v>7.7557999999999998</v>
      </c>
      <c r="PL29" s="28">
        <v>7.7195999999999998</v>
      </c>
      <c r="PM29" s="28">
        <v>8.2882999999999996</v>
      </c>
      <c r="PN29" s="28">
        <v>8.1318000000000001</v>
      </c>
      <c r="PO29" s="22">
        <v>23</v>
      </c>
      <c r="PR29" s="22">
        <v>23</v>
      </c>
      <c r="PS29" s="28">
        <v>7.4295999999999998</v>
      </c>
      <c r="PT29" s="28">
        <v>7.5381</v>
      </c>
      <c r="PU29" s="28">
        <v>7.5431999999999997</v>
      </c>
      <c r="PV29" s="28">
        <v>7.4053000000000004</v>
      </c>
      <c r="PW29" s="28">
        <v>7.3940000000000001</v>
      </c>
      <c r="PX29" s="28">
        <v>7.5506000000000002</v>
      </c>
      <c r="PY29" s="28">
        <v>7.6167999999999996</v>
      </c>
      <c r="PZ29" s="28">
        <v>7.4858000000000002</v>
      </c>
      <c r="QA29" s="28">
        <v>7.5052000000000003</v>
      </c>
      <c r="QB29" s="28">
        <v>7.7381000000000002</v>
      </c>
      <c r="QC29" s="28">
        <v>7.8959999999999999</v>
      </c>
      <c r="QD29" s="28">
        <v>7.8673999999999999</v>
      </c>
      <c r="QE29" s="22">
        <v>23</v>
      </c>
      <c r="QH29" s="22">
        <v>23</v>
      </c>
      <c r="QI29" s="28">
        <v>5.6074999999999999</v>
      </c>
      <c r="QJ29" s="28">
        <v>5.47</v>
      </c>
      <c r="QK29" s="28">
        <v>7.0875000000000004</v>
      </c>
      <c r="QL29" s="28">
        <v>6.0483000000000002</v>
      </c>
      <c r="QM29" s="28">
        <v>5.9175000000000004</v>
      </c>
      <c r="QN29" s="28">
        <v>6.2866999999999997</v>
      </c>
      <c r="QO29" s="28">
        <v>6.1582999999999997</v>
      </c>
      <c r="QP29" s="28">
        <v>6.2278000000000002</v>
      </c>
      <c r="QQ29" s="28">
        <v>6.3128000000000002</v>
      </c>
      <c r="QR29" s="28">
        <v>6.6908000000000003</v>
      </c>
      <c r="QS29" s="28">
        <v>7.7066999999999997</v>
      </c>
      <c r="QT29" s="28">
        <v>7.5857999999999999</v>
      </c>
      <c r="QU29" s="22">
        <v>23</v>
      </c>
      <c r="QX29" s="22">
        <v>23</v>
      </c>
      <c r="QY29" s="28">
        <v>3.1059999999999999</v>
      </c>
      <c r="QZ29" s="28">
        <v>3.1061000000000001</v>
      </c>
      <c r="RA29" s="28">
        <v>3.3248000000000002</v>
      </c>
      <c r="RB29" s="28">
        <v>3.3694000000000002</v>
      </c>
      <c r="RC29" s="28">
        <v>3.3220000000000001</v>
      </c>
      <c r="RD29" s="28">
        <v>3.3742999999999999</v>
      </c>
      <c r="RE29" s="28">
        <v>3.4056000000000002</v>
      </c>
      <c r="RF29" s="28">
        <v>3.3593000000000002</v>
      </c>
      <c r="RG29" s="28">
        <v>3.403</v>
      </c>
      <c r="RH29" s="28">
        <v>3.4173</v>
      </c>
      <c r="RI29" s="28">
        <v>3.4455</v>
      </c>
      <c r="RJ29" s="28">
        <v>3.9969999999999999</v>
      </c>
      <c r="RK29" s="22">
        <v>23</v>
      </c>
      <c r="RN29" s="22">
        <v>23</v>
      </c>
      <c r="RO29" s="28">
        <v>3.1051000000000002</v>
      </c>
      <c r="RP29" s="28">
        <v>3.0950000000000002</v>
      </c>
      <c r="RQ29" s="28">
        <v>3.1124000000000001</v>
      </c>
      <c r="RR29" s="28">
        <v>3.0933999999999999</v>
      </c>
      <c r="RS29" s="28">
        <v>3.1109</v>
      </c>
      <c r="RT29" s="28">
        <v>3.1139000000000001</v>
      </c>
      <c r="RU29" s="28">
        <v>3.1230000000000002</v>
      </c>
      <c r="RV29" s="28">
        <v>3.1131000000000002</v>
      </c>
      <c r="RW29" s="28">
        <v>3.11</v>
      </c>
      <c r="RX29" s="28">
        <v>3.1120000000000001</v>
      </c>
      <c r="RY29" s="28">
        <v>3.1147999999999998</v>
      </c>
      <c r="RZ29" s="28">
        <v>3.1111</v>
      </c>
      <c r="SA29" s="22">
        <v>23</v>
      </c>
      <c r="SD29" s="22">
        <v>23</v>
      </c>
      <c r="SE29" s="28">
        <v>3.0625</v>
      </c>
      <c r="SF29" s="28">
        <v>3.0621</v>
      </c>
      <c r="SG29" s="28">
        <v>3.0737999999999999</v>
      </c>
      <c r="SH29" s="28">
        <v>3.0670999999999999</v>
      </c>
      <c r="SI29" s="28">
        <v>3.1055999999999999</v>
      </c>
      <c r="SJ29" s="28">
        <v>3.1168</v>
      </c>
      <c r="SK29" s="28">
        <v>3.1156000000000001</v>
      </c>
      <c r="SL29" s="28">
        <v>3.0813999999999999</v>
      </c>
      <c r="SM29" s="28">
        <v>3.0884</v>
      </c>
      <c r="SN29" s="28">
        <v>3.1284999999999998</v>
      </c>
      <c r="SO29" s="28">
        <v>3.1150000000000002</v>
      </c>
      <c r="SP29" s="28">
        <v>3.1179000000000001</v>
      </c>
      <c r="SQ29" s="22">
        <v>23</v>
      </c>
      <c r="ST29" s="22">
        <v>23</v>
      </c>
      <c r="SU29" s="28">
        <v>2.9550000000000001</v>
      </c>
      <c r="SV29" s="28">
        <v>2.9674</v>
      </c>
      <c r="SW29" s="28">
        <v>2.9786000000000001</v>
      </c>
      <c r="SX29" s="28">
        <v>2.9902000000000002</v>
      </c>
      <c r="SY29" s="28">
        <v>3.0030000000000001</v>
      </c>
      <c r="SZ29" s="28">
        <v>3.0150000000000001</v>
      </c>
      <c r="TA29" s="28">
        <v>3.0266000000000002</v>
      </c>
      <c r="TB29" s="28">
        <v>3.0398000000000001</v>
      </c>
      <c r="TC29" s="28">
        <v>3.0514000000000001</v>
      </c>
      <c r="TD29" s="28">
        <v>3.0649999999999999</v>
      </c>
      <c r="TE29" s="28">
        <v>3.0631900000000001</v>
      </c>
      <c r="TF29" s="28">
        <v>3.0747499999999999</v>
      </c>
      <c r="TG29" s="22">
        <v>23</v>
      </c>
      <c r="TJ29" s="22">
        <v>23</v>
      </c>
      <c r="TK29" s="28">
        <v>2.6629999999999998</v>
      </c>
      <c r="TL29" s="28">
        <v>2.6960000000000002</v>
      </c>
      <c r="TM29" s="28">
        <v>2.7240000000000002</v>
      </c>
      <c r="TN29" s="28">
        <v>2.7530000000000001</v>
      </c>
      <c r="TO29" s="28">
        <v>2.7850000000000001</v>
      </c>
      <c r="TP29" s="28">
        <v>2.8113999999999999</v>
      </c>
      <c r="TQ29" s="28">
        <v>2.8338000000000001</v>
      </c>
      <c r="TR29" s="28">
        <v>2.8601999999999999</v>
      </c>
      <c r="TS29" s="28">
        <v>2.8841999999999999</v>
      </c>
      <c r="TT29" s="28">
        <v>2.9074</v>
      </c>
      <c r="TU29" s="28">
        <v>2.9306000000000001</v>
      </c>
      <c r="TV29" s="28">
        <v>2.9422000000000001</v>
      </c>
      <c r="TW29" s="22">
        <v>23</v>
      </c>
      <c r="TZ29" s="22">
        <v>23</v>
      </c>
      <c r="UA29" s="28">
        <v>2.298</v>
      </c>
      <c r="UB29" s="28">
        <v>2.331</v>
      </c>
      <c r="UC29" s="28">
        <v>2.359</v>
      </c>
      <c r="UD29" s="28">
        <v>2.3889999999999998</v>
      </c>
      <c r="UE29" s="28">
        <v>2.4180000000000001</v>
      </c>
      <c r="UF29" s="28">
        <v>2.4510000000000001</v>
      </c>
      <c r="UG29" s="28">
        <v>2.48</v>
      </c>
      <c r="UH29" s="28">
        <v>2.512</v>
      </c>
      <c r="UI29" s="28">
        <v>2.5430000000000001</v>
      </c>
      <c r="UJ29" s="28">
        <v>2.5710000000000002</v>
      </c>
      <c r="UK29" s="28">
        <v>2.6040000000000001</v>
      </c>
      <c r="UL29" s="28">
        <v>2.6339999999999999</v>
      </c>
      <c r="UM29" s="22">
        <v>23</v>
      </c>
    </row>
    <row r="30" spans="2:559" s="7" customFormat="1" ht="19.2">
      <c r="B30" s="22">
        <v>24</v>
      </c>
      <c r="C30" s="28">
        <v>18.925699999999999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2">
        <v>24</v>
      </c>
      <c r="R30" s="22">
        <v>24</v>
      </c>
      <c r="S30" s="28">
        <v>20.450700000000001</v>
      </c>
      <c r="T30" s="28">
        <v>20.297699999999999</v>
      </c>
      <c r="U30" s="28">
        <v>20.278199999999998</v>
      </c>
      <c r="V30" s="28">
        <v>20.180199999999999</v>
      </c>
      <c r="W30" s="28">
        <v>19.8657</v>
      </c>
      <c r="X30" s="28">
        <v>20.046500000000002</v>
      </c>
      <c r="Y30" s="28">
        <v>20.656199999999998</v>
      </c>
      <c r="Z30" s="28">
        <v>20.159800000000001</v>
      </c>
      <c r="AA30" s="28">
        <v>19.960799999999999</v>
      </c>
      <c r="AB30" s="28">
        <v>20.044799999999999</v>
      </c>
      <c r="AC30" s="28">
        <v>19.466699999999999</v>
      </c>
      <c r="AD30" s="28">
        <v>19.574000000000002</v>
      </c>
      <c r="AE30" s="22">
        <v>24</v>
      </c>
      <c r="AH30" s="22">
        <v>24</v>
      </c>
      <c r="AI30" s="28">
        <v>19.7393</v>
      </c>
      <c r="AJ30" s="28">
        <v>20.6783</v>
      </c>
      <c r="AK30" s="28">
        <v>20.578800000000001</v>
      </c>
      <c r="AL30" s="28">
        <v>19.886500000000002</v>
      </c>
      <c r="AM30" s="28">
        <v>19.881</v>
      </c>
      <c r="AN30" s="28">
        <v>20.571200000000001</v>
      </c>
      <c r="AO30" s="28">
        <v>20.1812</v>
      </c>
      <c r="AP30" s="28">
        <v>20.402000000000001</v>
      </c>
      <c r="AQ30" s="28">
        <v>20.032800000000002</v>
      </c>
      <c r="AR30" s="28">
        <v>20.264299999999999</v>
      </c>
      <c r="AS30" s="28">
        <v>20.963200000000001</v>
      </c>
      <c r="AT30" s="28">
        <v>20.752700000000001</v>
      </c>
      <c r="AU30" s="22">
        <v>24</v>
      </c>
      <c r="AV30" s="8"/>
      <c r="AW30" s="8"/>
      <c r="AX30" s="22">
        <v>24</v>
      </c>
      <c r="AY30" s="28">
        <v>18.688300000000002</v>
      </c>
      <c r="AZ30" s="28">
        <v>18.799199999999999</v>
      </c>
      <c r="BA30" s="28">
        <v>24.1113</v>
      </c>
      <c r="BB30" s="28">
        <v>24.5883</v>
      </c>
      <c r="BC30" s="28">
        <v>22.96</v>
      </c>
      <c r="BD30" s="28">
        <v>22.441299999999998</v>
      </c>
      <c r="BE30" s="28">
        <v>22.251000000000001</v>
      </c>
      <c r="BF30" s="28">
        <v>22.175999999999998</v>
      </c>
      <c r="BG30" s="28">
        <v>21.568200000000001</v>
      </c>
      <c r="BH30" s="28">
        <v>21.03</v>
      </c>
      <c r="BI30" s="28">
        <v>20.1172</v>
      </c>
      <c r="BJ30" s="28">
        <v>20.0562</v>
      </c>
      <c r="BK30" s="22">
        <v>24</v>
      </c>
      <c r="BN30" s="22">
        <v>24</v>
      </c>
      <c r="BO30" s="28">
        <v>19.1297</v>
      </c>
      <c r="BP30" s="28">
        <v>19.2652</v>
      </c>
      <c r="BQ30" s="28">
        <v>18.869399999999999</v>
      </c>
      <c r="BR30" s="28">
        <v>18.835899999999999</v>
      </c>
      <c r="BS30" s="28">
        <v>18.9755</v>
      </c>
      <c r="BT30" s="28">
        <v>18.980399999999999</v>
      </c>
      <c r="BU30" s="28">
        <v>19.065899999999999</v>
      </c>
      <c r="BV30" s="28">
        <v>19.746700000000001</v>
      </c>
      <c r="BW30" s="28">
        <v>19.447800000000001</v>
      </c>
      <c r="BX30" s="28">
        <v>19.105</v>
      </c>
      <c r="BY30" s="28">
        <v>19.413799999999998</v>
      </c>
      <c r="BZ30" s="28">
        <v>18.9133</v>
      </c>
      <c r="CA30" s="22">
        <v>24</v>
      </c>
      <c r="CD30" s="22">
        <v>24</v>
      </c>
      <c r="CE30" s="29">
        <v>18.7118</v>
      </c>
      <c r="CF30" s="29">
        <v>18.657399999999999</v>
      </c>
      <c r="CG30" s="28">
        <v>18.5078</v>
      </c>
      <c r="CH30" s="28">
        <v>18.620999999999999</v>
      </c>
      <c r="CI30" s="28">
        <v>19.752800000000001</v>
      </c>
      <c r="CJ30" s="28">
        <v>20.3689</v>
      </c>
      <c r="CK30" s="28">
        <v>19.069400000000002</v>
      </c>
      <c r="CL30" s="28">
        <v>18.817599999999999</v>
      </c>
      <c r="CM30" s="28">
        <v>18.829599999999999</v>
      </c>
      <c r="CN30" s="28">
        <v>19.366900000000001</v>
      </c>
      <c r="CO30" s="28">
        <v>20.298400000000001</v>
      </c>
      <c r="CP30" s="28">
        <v>19.908200000000001</v>
      </c>
      <c r="CQ30" s="22">
        <v>24</v>
      </c>
      <c r="CT30" s="22">
        <v>24</v>
      </c>
      <c r="CU30" s="28">
        <v>21.700199999999999</v>
      </c>
      <c r="CV30" s="28">
        <v>19.912700000000001</v>
      </c>
      <c r="CW30" s="28">
        <v>19.0837</v>
      </c>
      <c r="CX30" s="28">
        <v>18.8187</v>
      </c>
      <c r="CY30" s="28">
        <v>18.6633</v>
      </c>
      <c r="CZ30" s="28">
        <v>18.126999999999999</v>
      </c>
      <c r="DA30" s="28">
        <v>17.526</v>
      </c>
      <c r="DB30" s="28">
        <v>17.645800000000001</v>
      </c>
      <c r="DC30" s="28">
        <v>17.854500000000002</v>
      </c>
      <c r="DD30" s="28">
        <v>19.007999999999999</v>
      </c>
      <c r="DE30" s="28">
        <v>18.739999999999998</v>
      </c>
      <c r="DF30" s="28">
        <v>19.3962</v>
      </c>
      <c r="DG30" s="22">
        <v>24</v>
      </c>
      <c r="DJ30" s="22">
        <v>24</v>
      </c>
      <c r="DK30" s="28">
        <v>18.508400000000002</v>
      </c>
      <c r="DL30" s="28">
        <v>18.056799999999999</v>
      </c>
      <c r="DM30" s="28">
        <v>17.336099999999998</v>
      </c>
      <c r="DN30" s="28">
        <v>17.420200000000001</v>
      </c>
      <c r="DO30" s="28">
        <v>18.3826</v>
      </c>
      <c r="DP30" s="28">
        <v>18.532499999999999</v>
      </c>
      <c r="DQ30" s="28">
        <v>18.6022</v>
      </c>
      <c r="DR30" s="28">
        <v>18.302299999999999</v>
      </c>
      <c r="DS30" s="28">
        <v>19.596499999999999</v>
      </c>
      <c r="DT30" s="28">
        <v>18.5945</v>
      </c>
      <c r="DU30" s="28">
        <v>20.520499999999998</v>
      </c>
      <c r="DV30" s="28">
        <v>20.7179</v>
      </c>
      <c r="DW30" s="22">
        <v>24</v>
      </c>
      <c r="DZ30" s="22">
        <v>24</v>
      </c>
      <c r="EA30" s="28">
        <v>14.612</v>
      </c>
      <c r="EB30" s="28">
        <v>15.075699999999999</v>
      </c>
      <c r="EC30" s="28">
        <v>15.031700000000001</v>
      </c>
      <c r="ED30" s="28">
        <v>15.4518</v>
      </c>
      <c r="EE30" s="28">
        <v>15.2326</v>
      </c>
      <c r="EF30" s="28">
        <v>15.3072</v>
      </c>
      <c r="EG30" s="28">
        <v>16.094999999999999</v>
      </c>
      <c r="EH30" s="28">
        <v>16.7182</v>
      </c>
      <c r="EI30" s="28">
        <v>16.871300000000002</v>
      </c>
      <c r="EJ30" s="28">
        <v>16.528400000000001</v>
      </c>
      <c r="EK30" s="28">
        <v>16.512</v>
      </c>
      <c r="EL30" s="28">
        <v>17.184699999999999</v>
      </c>
      <c r="EM30" s="22">
        <v>24</v>
      </c>
      <c r="EP30" s="22">
        <v>24</v>
      </c>
      <c r="EQ30" s="28">
        <v>13.3194</v>
      </c>
      <c r="ER30" s="28">
        <v>13.2913</v>
      </c>
      <c r="ES30" s="28">
        <v>13.270300000000001</v>
      </c>
      <c r="ET30" s="28">
        <v>13.0448</v>
      </c>
      <c r="EU30" s="28">
        <v>12.880100000000001</v>
      </c>
      <c r="EV30" s="28">
        <v>13.0124</v>
      </c>
      <c r="EW30" s="28">
        <v>12.939299999999999</v>
      </c>
      <c r="EX30" s="28">
        <v>13.096299999999999</v>
      </c>
      <c r="EY30" s="28">
        <v>13.256600000000001</v>
      </c>
      <c r="EZ30" s="28">
        <v>13.555899999999999</v>
      </c>
      <c r="FA30" s="28">
        <v>13.611499999999999</v>
      </c>
      <c r="FB30" s="28">
        <v>14.635899999999999</v>
      </c>
      <c r="FC30" s="22">
        <v>24</v>
      </c>
      <c r="FF30" s="22">
        <v>24</v>
      </c>
      <c r="FG30" s="28">
        <v>12.681699999999999</v>
      </c>
      <c r="FH30" s="28">
        <v>12.7699</v>
      </c>
      <c r="FI30" s="28">
        <v>12.3841</v>
      </c>
      <c r="FJ30" s="28">
        <v>12.322699999999999</v>
      </c>
      <c r="FK30" s="28">
        <v>12.311299999999999</v>
      </c>
      <c r="FL30" s="28">
        <v>13.4015</v>
      </c>
      <c r="FM30" s="28">
        <v>12.5054</v>
      </c>
      <c r="FN30" s="28">
        <v>13.1486</v>
      </c>
      <c r="FO30" s="28">
        <v>12.7685</v>
      </c>
      <c r="FP30" s="28">
        <v>12.8713</v>
      </c>
      <c r="FQ30" s="28">
        <v>13.0617</v>
      </c>
      <c r="FR30" s="28">
        <v>12.9574</v>
      </c>
      <c r="FS30" s="22">
        <v>24</v>
      </c>
      <c r="FV30" s="22">
        <v>24</v>
      </c>
      <c r="FW30" s="28">
        <v>13.224</v>
      </c>
      <c r="FX30" s="28">
        <v>12.829599999999999</v>
      </c>
      <c r="FY30" s="28">
        <v>12.833</v>
      </c>
      <c r="FZ30" s="28">
        <v>13.117100000000001</v>
      </c>
      <c r="GA30" s="28">
        <v>13.7203</v>
      </c>
      <c r="GB30" s="28">
        <v>13.7668</v>
      </c>
      <c r="GC30" s="28">
        <v>13.2928</v>
      </c>
      <c r="GD30" s="28">
        <v>13.1762</v>
      </c>
      <c r="GE30" s="28">
        <v>12.904199999999999</v>
      </c>
      <c r="GF30" s="28">
        <v>12.857100000000001</v>
      </c>
      <c r="GG30" s="28">
        <v>13.018800000000001</v>
      </c>
      <c r="GH30" s="28">
        <v>12.777699999999999</v>
      </c>
      <c r="GI30" s="22">
        <v>24</v>
      </c>
      <c r="GL30" s="22">
        <v>24</v>
      </c>
      <c r="GM30" s="28">
        <v>12.090299999999999</v>
      </c>
      <c r="GN30" s="28">
        <v>12.091699999999999</v>
      </c>
      <c r="GO30" s="28">
        <v>11.9885</v>
      </c>
      <c r="GP30" s="28">
        <v>11.692500000000001</v>
      </c>
      <c r="GQ30" s="28">
        <v>11.646699999999999</v>
      </c>
      <c r="GR30" s="28">
        <v>11.7789</v>
      </c>
      <c r="GS30" s="28">
        <v>11.6174</v>
      </c>
      <c r="GT30" s="28">
        <v>12.2948</v>
      </c>
      <c r="GU30" s="28">
        <v>13.8917</v>
      </c>
      <c r="GV30" s="28">
        <v>13.662800000000001</v>
      </c>
      <c r="GW30" s="28">
        <v>13.981199999999999</v>
      </c>
      <c r="GX30" s="28">
        <v>13.8169</v>
      </c>
      <c r="GY30" s="22">
        <v>24</v>
      </c>
      <c r="HB30" s="22">
        <v>24</v>
      </c>
      <c r="HC30" s="28">
        <v>12.772</v>
      </c>
      <c r="HD30" s="28">
        <v>12.8017</v>
      </c>
      <c r="HE30" s="28">
        <v>12.6052</v>
      </c>
      <c r="HF30" s="28">
        <v>12.240500000000001</v>
      </c>
      <c r="HG30" s="28">
        <v>13.1412</v>
      </c>
      <c r="HH30" s="28">
        <v>12.5246</v>
      </c>
      <c r="HI30" s="28">
        <v>12.756</v>
      </c>
      <c r="HJ30" s="28">
        <v>12.7683</v>
      </c>
      <c r="HK30" s="28">
        <v>12.688599999999999</v>
      </c>
      <c r="HL30" s="28">
        <v>12.3613</v>
      </c>
      <c r="HM30" s="28">
        <v>12.308999999999999</v>
      </c>
      <c r="HN30" s="28">
        <v>12.337899999999999</v>
      </c>
      <c r="HO30" s="22">
        <v>24</v>
      </c>
      <c r="HR30" s="22">
        <v>24</v>
      </c>
      <c r="HS30" s="28">
        <v>13.932499999999999</v>
      </c>
      <c r="HT30" s="28">
        <v>14.8163</v>
      </c>
      <c r="HU30" s="28">
        <v>14.148</v>
      </c>
      <c r="HV30" s="28">
        <v>13.1457</v>
      </c>
      <c r="HW30" s="28">
        <v>13.103</v>
      </c>
      <c r="HX30" s="28">
        <v>13.3782</v>
      </c>
      <c r="HY30" s="28">
        <v>13.231199999999999</v>
      </c>
      <c r="HZ30" s="28">
        <v>12.8733</v>
      </c>
      <c r="IA30" s="28">
        <v>13.3186</v>
      </c>
      <c r="IB30" s="28">
        <v>12.9495</v>
      </c>
      <c r="IC30" s="28">
        <v>13.089499999999999</v>
      </c>
      <c r="ID30" s="28">
        <v>12.944900000000001</v>
      </c>
      <c r="IE30" s="22">
        <v>24</v>
      </c>
      <c r="IH30" s="22">
        <v>24</v>
      </c>
      <c r="II30" s="28">
        <v>10.9232</v>
      </c>
      <c r="IJ30" s="28">
        <v>10.798</v>
      </c>
      <c r="IK30" s="28">
        <v>10.704000000000001</v>
      </c>
      <c r="IL30" s="28">
        <v>10.5181</v>
      </c>
      <c r="IM30" s="28">
        <v>10.381</v>
      </c>
      <c r="IN30" s="28">
        <v>10.2753</v>
      </c>
      <c r="IO30" s="28">
        <v>10.117800000000001</v>
      </c>
      <c r="IP30" s="28">
        <v>10.1106</v>
      </c>
      <c r="IQ30" s="28">
        <v>10.587899999999999</v>
      </c>
      <c r="IR30" s="28">
        <v>13.559200000000001</v>
      </c>
      <c r="IS30" s="28">
        <v>13.575799999999999</v>
      </c>
      <c r="IT30" s="28">
        <v>13.174200000000001</v>
      </c>
      <c r="IU30" s="22">
        <v>24</v>
      </c>
      <c r="IX30" s="22">
        <v>24</v>
      </c>
      <c r="IY30" s="28">
        <v>10.8918</v>
      </c>
      <c r="IZ30" s="28">
        <v>10.968299999999999</v>
      </c>
      <c r="JA30" s="28">
        <v>11.022</v>
      </c>
      <c r="JB30" s="28">
        <v>10.978999999999999</v>
      </c>
      <c r="JC30" s="28">
        <v>10.7598</v>
      </c>
      <c r="JD30" s="28">
        <v>10.826599999999999</v>
      </c>
      <c r="JE30" s="28">
        <v>10.7843</v>
      </c>
      <c r="JF30" s="28">
        <v>11.073600000000001</v>
      </c>
      <c r="JG30" s="28">
        <v>10.9687</v>
      </c>
      <c r="JH30" s="28">
        <v>10.840400000000001</v>
      </c>
      <c r="JI30" s="28">
        <v>10.978999999999999</v>
      </c>
      <c r="JJ30" s="28">
        <v>10.8363</v>
      </c>
      <c r="JK30" s="22">
        <v>24</v>
      </c>
      <c r="JN30" s="22">
        <v>24</v>
      </c>
      <c r="JO30" s="28">
        <v>10.5078</v>
      </c>
      <c r="JP30" s="28">
        <v>10.499000000000001</v>
      </c>
      <c r="JQ30" s="28">
        <v>10.8628</v>
      </c>
      <c r="JR30" s="28">
        <v>11.030200000000001</v>
      </c>
      <c r="JS30" s="28">
        <v>11.2799</v>
      </c>
      <c r="JT30" s="28">
        <v>11.4405</v>
      </c>
      <c r="JU30" s="28">
        <v>10.870799999999999</v>
      </c>
      <c r="JV30" s="28">
        <v>10.804</v>
      </c>
      <c r="JW30" s="28">
        <v>10.9953</v>
      </c>
      <c r="JX30" s="28">
        <v>10.8169</v>
      </c>
      <c r="JY30" s="28">
        <v>10.9756</v>
      </c>
      <c r="JZ30" s="28">
        <v>10.841100000000001</v>
      </c>
      <c r="KA30" s="22">
        <v>24</v>
      </c>
      <c r="KD30" s="22">
        <v>24</v>
      </c>
      <c r="KE30" s="28">
        <v>11.2515</v>
      </c>
      <c r="KF30" s="28">
        <v>11.0487</v>
      </c>
      <c r="KG30" s="28">
        <v>11.1898</v>
      </c>
      <c r="KH30" s="28">
        <v>11.041</v>
      </c>
      <c r="KI30" s="28">
        <v>10.971500000000001</v>
      </c>
      <c r="KJ30" s="28">
        <v>10.760999999999999</v>
      </c>
      <c r="KK30" s="28">
        <v>10.594200000000001</v>
      </c>
      <c r="KL30" s="28">
        <v>10.7356</v>
      </c>
      <c r="KM30" s="28">
        <v>10.834099999999999</v>
      </c>
      <c r="KN30" s="28">
        <v>10.8393</v>
      </c>
      <c r="KO30" s="28">
        <v>10.6678</v>
      </c>
      <c r="KP30" s="28">
        <v>10.6532</v>
      </c>
      <c r="KQ30" s="22">
        <v>24</v>
      </c>
      <c r="KT30" s="22">
        <v>24</v>
      </c>
      <c r="KU30" s="28">
        <v>11.001200000000001</v>
      </c>
      <c r="KV30" s="28">
        <v>10.942299999999999</v>
      </c>
      <c r="KW30" s="28">
        <v>10.973699999999999</v>
      </c>
      <c r="KX30" s="28">
        <v>11.3256</v>
      </c>
      <c r="KY30" s="28">
        <v>11.573499999999999</v>
      </c>
      <c r="KZ30" s="28">
        <v>11.307700000000001</v>
      </c>
      <c r="LA30" s="28">
        <v>11.446300000000001</v>
      </c>
      <c r="LB30" s="28">
        <v>11.3453</v>
      </c>
      <c r="LC30" s="28">
        <v>11.401199999999999</v>
      </c>
      <c r="LD30" s="28">
        <v>11.472200000000001</v>
      </c>
      <c r="LE30" s="28">
        <v>11.3949</v>
      </c>
      <c r="LF30" s="28">
        <v>11.1814</v>
      </c>
      <c r="LG30" s="22">
        <v>24</v>
      </c>
      <c r="LJ30" s="22">
        <v>24</v>
      </c>
      <c r="LK30" s="28">
        <v>10.8263</v>
      </c>
      <c r="LL30" s="28">
        <v>10.899800000000001</v>
      </c>
      <c r="LM30" s="28">
        <v>10.863300000000001</v>
      </c>
      <c r="LN30" s="28">
        <v>10.5525</v>
      </c>
      <c r="LO30" s="28">
        <v>10.238300000000001</v>
      </c>
      <c r="LP30" s="28">
        <v>10.466900000000001</v>
      </c>
      <c r="LQ30" s="28">
        <v>10.436199999999999</v>
      </c>
      <c r="LR30" s="28">
        <v>10.8507</v>
      </c>
      <c r="LS30" s="28">
        <v>10.827500000000001</v>
      </c>
      <c r="LT30" s="28">
        <v>11.2178</v>
      </c>
      <c r="LU30" s="28">
        <v>11.2094</v>
      </c>
      <c r="LV30" s="28">
        <v>11.285500000000001</v>
      </c>
      <c r="LW30" s="22">
        <v>24</v>
      </c>
      <c r="LZ30" s="22">
        <v>24</v>
      </c>
      <c r="MA30" s="28">
        <v>9.1521000000000008</v>
      </c>
      <c r="MB30" s="28">
        <v>9.0756999999999994</v>
      </c>
      <c r="MC30" s="28">
        <v>9.0707000000000004</v>
      </c>
      <c r="MD30" s="28">
        <v>9.2662999999999993</v>
      </c>
      <c r="ME30" s="28">
        <v>9.5244999999999997</v>
      </c>
      <c r="MF30" s="28">
        <v>9.7675999999999998</v>
      </c>
      <c r="MG30" s="28">
        <v>9.6285000000000007</v>
      </c>
      <c r="MH30" s="28">
        <v>9.8388000000000009</v>
      </c>
      <c r="MI30" s="28">
        <v>10.2265</v>
      </c>
      <c r="MJ30" s="28">
        <v>9.9723000000000006</v>
      </c>
      <c r="MK30" s="28">
        <v>10.087400000000001</v>
      </c>
      <c r="ML30" s="28">
        <v>10.1836</v>
      </c>
      <c r="MM30" s="22">
        <v>24</v>
      </c>
      <c r="MP30" s="22">
        <v>24</v>
      </c>
      <c r="MQ30" s="28">
        <v>9.7863000000000007</v>
      </c>
      <c r="MR30" s="28">
        <v>9.7278000000000002</v>
      </c>
      <c r="MS30" s="28">
        <v>9.5722000000000005</v>
      </c>
      <c r="MT30" s="28">
        <v>9.3524999999999991</v>
      </c>
      <c r="MU30" s="28">
        <v>8.9659999999999993</v>
      </c>
      <c r="MV30" s="28">
        <v>9.0570000000000004</v>
      </c>
      <c r="MW30" s="28">
        <v>9.1796000000000006</v>
      </c>
      <c r="MX30" s="28">
        <v>9.1158000000000001</v>
      </c>
      <c r="MY30" s="28">
        <v>9.4802</v>
      </c>
      <c r="MZ30" s="28">
        <v>9.1976999999999993</v>
      </c>
      <c r="NA30" s="28">
        <v>9.1547000000000001</v>
      </c>
      <c r="NB30" s="28">
        <v>9.1682000000000006</v>
      </c>
      <c r="NC30" s="22">
        <v>24</v>
      </c>
      <c r="NF30" s="22">
        <v>24</v>
      </c>
      <c r="NG30" s="28">
        <v>9.4038000000000004</v>
      </c>
      <c r="NH30" s="28">
        <v>9.4395000000000007</v>
      </c>
      <c r="NI30" s="28">
        <v>9.2765000000000004</v>
      </c>
      <c r="NJ30" s="28">
        <v>9.4388000000000005</v>
      </c>
      <c r="NK30" s="28">
        <v>9.5777999999999999</v>
      </c>
      <c r="NL30" s="28">
        <v>9.8706999999999994</v>
      </c>
      <c r="NM30" s="28">
        <v>9.3607999999999993</v>
      </c>
      <c r="NN30" s="28">
        <v>9.2322000000000006</v>
      </c>
      <c r="NO30" s="28">
        <v>9.4346999999999994</v>
      </c>
      <c r="NP30" s="28">
        <v>9.5604999999999993</v>
      </c>
      <c r="NQ30" s="28">
        <v>9.3789999999999996</v>
      </c>
      <c r="NR30" s="28">
        <v>9.5726999999999993</v>
      </c>
      <c r="NS30" s="22">
        <v>24</v>
      </c>
      <c r="NV30" s="22">
        <v>24</v>
      </c>
      <c r="NW30" s="28">
        <v>10.2874</v>
      </c>
      <c r="NX30" s="28">
        <v>9.9314999999999998</v>
      </c>
      <c r="NY30" s="28">
        <v>9.7116000000000007</v>
      </c>
      <c r="NZ30" s="28">
        <v>9.3316999999999997</v>
      </c>
      <c r="OA30" s="28">
        <v>9.3241999999999994</v>
      </c>
      <c r="OB30" s="28">
        <v>9.3717000000000006</v>
      </c>
      <c r="OC30" s="28">
        <v>9.3745999999999992</v>
      </c>
      <c r="OD30" s="28">
        <v>9.3867999999999991</v>
      </c>
      <c r="OE30" s="28">
        <v>9.2858000000000001</v>
      </c>
      <c r="OF30" s="28">
        <v>9.6481999999999992</v>
      </c>
      <c r="OG30" s="28">
        <v>9.3190000000000008</v>
      </c>
      <c r="OH30" s="28">
        <v>9.3094999999999999</v>
      </c>
      <c r="OI30" s="22">
        <v>24</v>
      </c>
      <c r="OL30" s="22">
        <v>24</v>
      </c>
      <c r="OM30" s="28">
        <v>8.3320000000000007</v>
      </c>
      <c r="ON30" s="28">
        <v>8.5891999999999999</v>
      </c>
      <c r="OO30" s="28">
        <v>8.5784000000000002</v>
      </c>
      <c r="OP30" s="28">
        <v>8.4616000000000007</v>
      </c>
      <c r="OQ30" s="28">
        <v>8.6222999999999992</v>
      </c>
      <c r="OR30" s="28">
        <v>8.9123000000000001</v>
      </c>
      <c r="OS30" s="28">
        <v>8.8720999999999997</v>
      </c>
      <c r="OT30" s="28">
        <v>9.3133999999999997</v>
      </c>
      <c r="OU30" s="28">
        <v>10.0962</v>
      </c>
      <c r="OV30" s="28">
        <v>9.9930000000000003</v>
      </c>
      <c r="OW30" s="28">
        <v>9.9202999999999992</v>
      </c>
      <c r="OX30" s="28">
        <v>9.8027999999999995</v>
      </c>
      <c r="OY30" s="22">
        <v>24</v>
      </c>
      <c r="PB30" s="22">
        <v>24</v>
      </c>
      <c r="PC30" s="28">
        <v>7.7946</v>
      </c>
      <c r="PD30" s="28">
        <v>7.7460000000000004</v>
      </c>
      <c r="PE30" s="28">
        <v>7.9233000000000002</v>
      </c>
      <c r="PF30" s="28">
        <v>7.8703000000000003</v>
      </c>
      <c r="PG30" s="28">
        <v>7.8689</v>
      </c>
      <c r="PH30" s="28">
        <v>7.9581999999999997</v>
      </c>
      <c r="PI30" s="28">
        <v>7.8571</v>
      </c>
      <c r="PJ30" s="28">
        <v>7.7596999999999996</v>
      </c>
      <c r="PK30" s="28">
        <v>7.7244999999999999</v>
      </c>
      <c r="PL30" s="28">
        <v>7.7229000000000001</v>
      </c>
      <c r="PM30" s="28">
        <v>8.2882999999999996</v>
      </c>
      <c r="PN30" s="28">
        <v>8.1156000000000006</v>
      </c>
      <c r="PO30" s="22">
        <v>24</v>
      </c>
      <c r="PR30" s="22">
        <v>24</v>
      </c>
      <c r="PS30" s="28">
        <v>7.3122999999999996</v>
      </c>
      <c r="PT30" s="28">
        <v>7.5476999999999999</v>
      </c>
      <c r="PU30" s="28">
        <v>7.5431999999999997</v>
      </c>
      <c r="PV30" s="28">
        <v>7.3776000000000002</v>
      </c>
      <c r="PW30" s="28">
        <v>7.3860999999999999</v>
      </c>
      <c r="PX30" s="28">
        <v>7.5506000000000002</v>
      </c>
      <c r="PY30" s="28">
        <v>7.6292999999999997</v>
      </c>
      <c r="PZ30" s="28">
        <v>7.4756999999999998</v>
      </c>
      <c r="QA30" s="28">
        <v>7.5378999999999996</v>
      </c>
      <c r="QB30" s="28">
        <v>7.7625000000000002</v>
      </c>
      <c r="QC30" s="28">
        <v>7.8959999999999999</v>
      </c>
      <c r="QD30" s="28">
        <v>7.8426999999999998</v>
      </c>
      <c r="QE30" s="22">
        <v>24</v>
      </c>
      <c r="QH30" s="22">
        <v>24</v>
      </c>
      <c r="QI30" s="28">
        <v>5.7050000000000001</v>
      </c>
      <c r="QJ30" s="28">
        <v>5.95</v>
      </c>
      <c r="QK30" s="28">
        <v>7.28</v>
      </c>
      <c r="QL30" s="28">
        <v>6.0483000000000002</v>
      </c>
      <c r="QM30" s="28">
        <v>5.9192</v>
      </c>
      <c r="QN30" s="28">
        <v>6.2424999999999997</v>
      </c>
      <c r="QO30" s="28">
        <v>6.1582999999999997</v>
      </c>
      <c r="QP30" s="28">
        <v>6.2149999999999999</v>
      </c>
      <c r="QQ30" s="28">
        <v>6.3128000000000002</v>
      </c>
      <c r="QR30" s="28">
        <v>6.6695000000000002</v>
      </c>
      <c r="QS30" s="28">
        <v>7.7241999999999997</v>
      </c>
      <c r="QT30" s="28">
        <v>7.5857999999999999</v>
      </c>
      <c r="QU30" s="22">
        <v>24</v>
      </c>
      <c r="QX30" s="22">
        <v>24</v>
      </c>
      <c r="QY30" s="28">
        <v>3.1059999999999999</v>
      </c>
      <c r="QZ30" s="28">
        <v>3.1110000000000002</v>
      </c>
      <c r="RA30" s="28">
        <v>3.3325999999999998</v>
      </c>
      <c r="RB30" s="28">
        <v>3.3694000000000002</v>
      </c>
      <c r="RC30" s="28">
        <v>3.302</v>
      </c>
      <c r="RD30" s="28">
        <v>3.379</v>
      </c>
      <c r="RE30" s="28">
        <v>3.4056000000000002</v>
      </c>
      <c r="RF30" s="28">
        <v>3.3357999999999999</v>
      </c>
      <c r="RG30" s="28">
        <v>3.4087999999999998</v>
      </c>
      <c r="RH30" s="28">
        <v>3.4173</v>
      </c>
      <c r="RI30" s="28">
        <v>3.4472999999999998</v>
      </c>
      <c r="RJ30" s="28">
        <v>4.8875000000000002</v>
      </c>
      <c r="RK30" s="22">
        <v>24</v>
      </c>
      <c r="RN30" s="22">
        <v>24</v>
      </c>
      <c r="RO30" s="28">
        <v>3.1051000000000002</v>
      </c>
      <c r="RP30" s="28">
        <v>3.0939999999999999</v>
      </c>
      <c r="RQ30" s="28">
        <v>3.1172</v>
      </c>
      <c r="RR30" s="28">
        <v>3.0937000000000001</v>
      </c>
      <c r="RS30" s="28">
        <v>3.1109</v>
      </c>
      <c r="RT30" s="28">
        <v>3.1166</v>
      </c>
      <c r="RU30" s="28">
        <v>3.1229</v>
      </c>
      <c r="RV30" s="28">
        <v>3.1124000000000001</v>
      </c>
      <c r="RW30" s="28">
        <v>3.1162999999999998</v>
      </c>
      <c r="RX30" s="28">
        <v>3.1120000000000001</v>
      </c>
      <c r="RY30" s="28">
        <v>3.101</v>
      </c>
      <c r="RZ30" s="28">
        <v>3.1154999999999999</v>
      </c>
      <c r="SA30" s="22">
        <v>24</v>
      </c>
      <c r="SD30" s="22">
        <v>24</v>
      </c>
      <c r="SE30" s="28">
        <v>3.0617000000000001</v>
      </c>
      <c r="SF30" s="28">
        <v>3.0621</v>
      </c>
      <c r="SG30" s="28">
        <v>3.0688</v>
      </c>
      <c r="SH30" s="28">
        <v>3.0828000000000002</v>
      </c>
      <c r="SI30" s="28">
        <v>3.1055999999999999</v>
      </c>
      <c r="SJ30" s="28">
        <v>3.1215999999999999</v>
      </c>
      <c r="SK30" s="28">
        <v>3.1124999999999998</v>
      </c>
      <c r="SL30" s="28">
        <v>3.0813999999999999</v>
      </c>
      <c r="SM30" s="28">
        <v>3.1111</v>
      </c>
      <c r="SN30" s="28">
        <v>3.1252</v>
      </c>
      <c r="SO30" s="28">
        <v>3.1143000000000001</v>
      </c>
      <c r="SP30" s="28">
        <v>3.1244999999999998</v>
      </c>
      <c r="SQ30" s="22">
        <v>24</v>
      </c>
      <c r="ST30" s="22">
        <v>24</v>
      </c>
      <c r="SU30" s="28">
        <v>2.9554</v>
      </c>
      <c r="SV30" s="28">
        <v>2.9674</v>
      </c>
      <c r="SW30" s="28">
        <v>2.9786000000000001</v>
      </c>
      <c r="SX30" s="28">
        <v>2.9914000000000001</v>
      </c>
      <c r="SY30" s="28">
        <v>3.0034000000000001</v>
      </c>
      <c r="SZ30" s="28">
        <v>3.0150000000000001</v>
      </c>
      <c r="TA30" s="28">
        <v>3.0278</v>
      </c>
      <c r="TB30" s="28">
        <v>3.0402</v>
      </c>
      <c r="TC30" s="28">
        <v>3.0518000000000001</v>
      </c>
      <c r="TD30" s="28">
        <v>3.0653999999999999</v>
      </c>
      <c r="TE30" s="28">
        <v>3.0631900000000001</v>
      </c>
      <c r="TF30" s="28">
        <v>3.0773799999999998</v>
      </c>
      <c r="TG30" s="22">
        <v>24</v>
      </c>
      <c r="TJ30" s="22">
        <v>24</v>
      </c>
      <c r="TK30" s="28">
        <v>2.6659999999999999</v>
      </c>
      <c r="TL30" s="28">
        <v>2.6970000000000001</v>
      </c>
      <c r="TM30" s="28">
        <v>2.7250000000000001</v>
      </c>
      <c r="TN30" s="28">
        <v>2.754</v>
      </c>
      <c r="TO30" s="28">
        <v>2.786</v>
      </c>
      <c r="TP30" s="28">
        <v>2.8113999999999999</v>
      </c>
      <c r="TQ30" s="28">
        <v>2.8346</v>
      </c>
      <c r="TR30" s="28">
        <v>2.8610000000000002</v>
      </c>
      <c r="TS30" s="28">
        <v>2.8841999999999999</v>
      </c>
      <c r="TT30" s="28">
        <v>2.9098000000000002</v>
      </c>
      <c r="TU30" s="28">
        <v>2.931</v>
      </c>
      <c r="TV30" s="28">
        <v>2.9422000000000001</v>
      </c>
      <c r="TW30" s="22">
        <v>24</v>
      </c>
      <c r="TZ30" s="22">
        <v>24</v>
      </c>
      <c r="UA30" s="28">
        <v>2.2989999999999999</v>
      </c>
      <c r="UB30" s="28">
        <v>2.3319999999999999</v>
      </c>
      <c r="UC30" s="28">
        <v>2.36</v>
      </c>
      <c r="UD30" s="28">
        <v>2.3889999999999998</v>
      </c>
      <c r="UE30" s="28">
        <v>2.4209999999999998</v>
      </c>
      <c r="UF30" s="28">
        <v>2.452</v>
      </c>
      <c r="UG30" s="28">
        <v>2.48</v>
      </c>
      <c r="UH30" s="28">
        <v>2.5129999999999999</v>
      </c>
      <c r="UI30" s="28">
        <v>2.5430000000000001</v>
      </c>
      <c r="UJ30" s="28">
        <v>2.5720000000000001</v>
      </c>
      <c r="UK30" s="28">
        <v>2.605</v>
      </c>
      <c r="UL30" s="28">
        <v>2.6339999999999999</v>
      </c>
      <c r="UM30" s="22">
        <v>24</v>
      </c>
    </row>
    <row r="31" spans="2:559" s="7" customFormat="1" ht="19.2">
      <c r="B31" s="22">
        <v>25</v>
      </c>
      <c r="C31" s="28">
        <v>18.826699999999999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2">
        <v>25</v>
      </c>
      <c r="R31" s="22">
        <v>25</v>
      </c>
      <c r="S31" s="28">
        <v>20.459800000000001</v>
      </c>
      <c r="T31" s="28">
        <v>20.243500000000001</v>
      </c>
      <c r="U31" s="28">
        <v>20.18</v>
      </c>
      <c r="V31" s="28">
        <v>20.180199999999999</v>
      </c>
      <c r="W31" s="28">
        <v>19.828199999999999</v>
      </c>
      <c r="X31" s="28">
        <v>20.0365</v>
      </c>
      <c r="Y31" s="28">
        <v>20.656199999999998</v>
      </c>
      <c r="Z31" s="28">
        <v>19.998200000000001</v>
      </c>
      <c r="AA31" s="28">
        <v>19.960799999999999</v>
      </c>
      <c r="AB31" s="28">
        <v>19.964700000000001</v>
      </c>
      <c r="AC31" s="28">
        <v>19.368300000000001</v>
      </c>
      <c r="AD31" s="28">
        <v>19.574000000000002</v>
      </c>
      <c r="AE31" s="22">
        <v>25</v>
      </c>
      <c r="AH31" s="22">
        <v>25</v>
      </c>
      <c r="AI31" s="28">
        <v>19.7393</v>
      </c>
      <c r="AJ31" s="28">
        <v>20.583300000000001</v>
      </c>
      <c r="AK31" s="28">
        <v>20.640799999999999</v>
      </c>
      <c r="AL31" s="28">
        <v>19.886500000000002</v>
      </c>
      <c r="AM31" s="28">
        <v>19.951000000000001</v>
      </c>
      <c r="AN31" s="28">
        <v>20.250499999999999</v>
      </c>
      <c r="AO31" s="28">
        <v>20.1812</v>
      </c>
      <c r="AP31" s="28">
        <v>20.390699999999999</v>
      </c>
      <c r="AQ31" s="28">
        <v>20.027999999999999</v>
      </c>
      <c r="AR31" s="28">
        <v>20.264299999999999</v>
      </c>
      <c r="AS31" s="28">
        <v>21.210699999999999</v>
      </c>
      <c r="AT31" s="28">
        <v>20.658200000000001</v>
      </c>
      <c r="AU31" s="22">
        <v>25</v>
      </c>
      <c r="AV31" s="8"/>
      <c r="AW31" s="8"/>
      <c r="AX31" s="22">
        <v>25</v>
      </c>
      <c r="AY31" s="28">
        <v>18.8018</v>
      </c>
      <c r="AZ31" s="28">
        <v>18.913799999999998</v>
      </c>
      <c r="BA31" s="28">
        <v>25.078199999999999</v>
      </c>
      <c r="BB31" s="28">
        <v>24.623000000000001</v>
      </c>
      <c r="BC31" s="28">
        <v>22.96</v>
      </c>
      <c r="BD31" s="28">
        <v>22.413</v>
      </c>
      <c r="BE31" s="28">
        <v>22.3627</v>
      </c>
      <c r="BF31" s="28">
        <v>22.036200000000001</v>
      </c>
      <c r="BG31" s="28">
        <v>22.089700000000001</v>
      </c>
      <c r="BH31" s="28">
        <v>21.03</v>
      </c>
      <c r="BI31" s="28">
        <v>20.101199999999999</v>
      </c>
      <c r="BJ31" s="28">
        <v>20.1175</v>
      </c>
      <c r="BK31" s="22">
        <v>25</v>
      </c>
      <c r="BN31" s="22">
        <v>25</v>
      </c>
      <c r="BO31" s="28">
        <v>19.077100000000002</v>
      </c>
      <c r="BP31" s="28">
        <v>19.2652</v>
      </c>
      <c r="BQ31" s="28">
        <v>18.869399999999999</v>
      </c>
      <c r="BR31" s="28">
        <v>18.957799999999999</v>
      </c>
      <c r="BS31" s="28">
        <v>19.0122</v>
      </c>
      <c r="BT31" s="28">
        <v>19.066099999999999</v>
      </c>
      <c r="BU31" s="28">
        <v>19.131499999999999</v>
      </c>
      <c r="BV31" s="28">
        <v>19.746700000000001</v>
      </c>
      <c r="BW31" s="28">
        <v>19.445900000000002</v>
      </c>
      <c r="BX31" s="28">
        <v>19.125800000000002</v>
      </c>
      <c r="BY31" s="28">
        <v>19.413799999999998</v>
      </c>
      <c r="BZ31" s="28">
        <v>18.938500000000001</v>
      </c>
      <c r="CA31" s="22">
        <v>25</v>
      </c>
      <c r="CD31" s="22">
        <v>25</v>
      </c>
      <c r="CE31" s="28">
        <v>18.797999999999998</v>
      </c>
      <c r="CF31" s="28">
        <v>18.657399999999999</v>
      </c>
      <c r="CG31" s="28">
        <v>18.5078</v>
      </c>
      <c r="CH31" s="28">
        <v>18.8628</v>
      </c>
      <c r="CI31" s="28">
        <v>19.766100000000002</v>
      </c>
      <c r="CJ31" s="28">
        <v>20.3689</v>
      </c>
      <c r="CK31" s="28">
        <v>19.0761</v>
      </c>
      <c r="CL31" s="28">
        <v>18.8672</v>
      </c>
      <c r="CM31" s="28">
        <v>18.853899999999999</v>
      </c>
      <c r="CN31" s="28">
        <v>19.416899999999998</v>
      </c>
      <c r="CO31" s="28">
        <v>20.298400000000001</v>
      </c>
      <c r="CP31" s="28">
        <v>19.927499999999998</v>
      </c>
      <c r="CQ31" s="22">
        <v>25</v>
      </c>
      <c r="CT31" s="22">
        <v>25</v>
      </c>
      <c r="CU31" s="28">
        <v>21.4512</v>
      </c>
      <c r="CV31" s="28">
        <v>19.7011</v>
      </c>
      <c r="CW31" s="28">
        <v>18.9877</v>
      </c>
      <c r="CX31" s="28">
        <v>18.8413</v>
      </c>
      <c r="CY31" s="28">
        <v>18.614999999999998</v>
      </c>
      <c r="CZ31" s="28">
        <v>18.126999999999999</v>
      </c>
      <c r="DA31" s="28">
        <v>17.561800000000002</v>
      </c>
      <c r="DB31" s="28">
        <v>17.711300000000001</v>
      </c>
      <c r="DC31" s="28">
        <v>17.854500000000002</v>
      </c>
      <c r="DD31" s="28">
        <v>19.0489</v>
      </c>
      <c r="DE31" s="28">
        <v>18.604099999999999</v>
      </c>
      <c r="DF31" s="28">
        <v>19.3962</v>
      </c>
      <c r="DG31" s="22">
        <v>25</v>
      </c>
      <c r="DJ31" s="22">
        <v>25</v>
      </c>
      <c r="DK31" s="28">
        <v>18.508400000000002</v>
      </c>
      <c r="DL31" s="28">
        <v>18.194800000000001</v>
      </c>
      <c r="DM31" s="28">
        <v>17.336099999999998</v>
      </c>
      <c r="DN31" s="28">
        <v>17.420200000000001</v>
      </c>
      <c r="DO31" s="28">
        <v>18.444400000000002</v>
      </c>
      <c r="DP31" s="28">
        <v>18.320699999999999</v>
      </c>
      <c r="DQ31" s="28">
        <v>18.6022</v>
      </c>
      <c r="DR31" s="28">
        <v>18.3202</v>
      </c>
      <c r="DS31" s="28">
        <v>19.596499999999999</v>
      </c>
      <c r="DT31" s="28">
        <v>18.648099999999999</v>
      </c>
      <c r="DU31" s="28">
        <v>20.690100000000001</v>
      </c>
      <c r="DV31" s="28">
        <v>20.7179</v>
      </c>
      <c r="DW31" s="22">
        <v>25</v>
      </c>
      <c r="DZ31" s="22">
        <v>25</v>
      </c>
      <c r="EA31" s="28">
        <v>14.612</v>
      </c>
      <c r="EB31" s="28">
        <v>15.0832</v>
      </c>
      <c r="EC31" s="28">
        <v>14.964399999999999</v>
      </c>
      <c r="ED31" s="28">
        <v>15.353899999999999</v>
      </c>
      <c r="EE31" s="28">
        <v>15.2326</v>
      </c>
      <c r="EF31" s="28">
        <v>15.408799999999999</v>
      </c>
      <c r="EG31" s="28">
        <v>16.094999999999999</v>
      </c>
      <c r="EH31" s="28">
        <v>16.917100000000001</v>
      </c>
      <c r="EI31" s="28">
        <v>17.045300000000001</v>
      </c>
      <c r="EJ31" s="28">
        <v>16.528400000000001</v>
      </c>
      <c r="EK31" s="28">
        <v>16.5306</v>
      </c>
      <c r="EL31" s="28">
        <v>17.1953</v>
      </c>
      <c r="EM31" s="22">
        <v>25</v>
      </c>
      <c r="EP31" s="22">
        <v>25</v>
      </c>
      <c r="EQ31" s="28">
        <v>13.372199999999999</v>
      </c>
      <c r="ER31" s="28">
        <v>13.2704</v>
      </c>
      <c r="ES31" s="28">
        <v>13.22</v>
      </c>
      <c r="ET31" s="28">
        <v>13.0908</v>
      </c>
      <c r="EU31" s="28">
        <v>12.880100000000001</v>
      </c>
      <c r="EV31" s="28">
        <v>13.005599999999999</v>
      </c>
      <c r="EW31" s="28">
        <v>12.928599999999999</v>
      </c>
      <c r="EX31" s="28">
        <v>13.096299999999999</v>
      </c>
      <c r="EY31" s="28">
        <v>13.2768</v>
      </c>
      <c r="EZ31" s="28">
        <v>13.5288</v>
      </c>
      <c r="FA31" s="28">
        <v>13.6152</v>
      </c>
      <c r="FB31" s="28">
        <v>14.700799999999999</v>
      </c>
      <c r="FC31" s="22">
        <v>25</v>
      </c>
      <c r="FF31" s="22">
        <v>25</v>
      </c>
      <c r="FG31" s="28">
        <v>12.6616</v>
      </c>
      <c r="FH31" s="28">
        <v>12.7699</v>
      </c>
      <c r="FI31" s="28">
        <v>12.3841</v>
      </c>
      <c r="FJ31" s="28">
        <v>12.2492</v>
      </c>
      <c r="FK31" s="28">
        <v>12.4764</v>
      </c>
      <c r="FL31" s="28">
        <v>13.4041</v>
      </c>
      <c r="FM31" s="28">
        <v>12.5093</v>
      </c>
      <c r="FN31" s="28">
        <v>13.1486</v>
      </c>
      <c r="FO31" s="28">
        <v>12.784599999999999</v>
      </c>
      <c r="FP31" s="28">
        <v>12.943300000000001</v>
      </c>
      <c r="FQ31" s="28">
        <v>13.0617</v>
      </c>
      <c r="FR31" s="28">
        <v>12.961</v>
      </c>
      <c r="FS31" s="22">
        <v>25</v>
      </c>
      <c r="FV31" s="22">
        <v>25</v>
      </c>
      <c r="FW31" s="28">
        <v>13.138299999999999</v>
      </c>
      <c r="FX31" s="28">
        <v>12.8294</v>
      </c>
      <c r="FY31" s="28">
        <v>12.833</v>
      </c>
      <c r="FZ31" s="28">
        <v>13.2087</v>
      </c>
      <c r="GA31" s="28">
        <v>14.0335</v>
      </c>
      <c r="GB31" s="28">
        <v>13.7668</v>
      </c>
      <c r="GC31" s="28">
        <v>13.521800000000001</v>
      </c>
      <c r="GD31" s="28">
        <v>13.128399999999999</v>
      </c>
      <c r="GE31" s="28">
        <v>12.8376</v>
      </c>
      <c r="GF31" s="28">
        <v>12.975899999999999</v>
      </c>
      <c r="GG31" s="28">
        <v>13.018800000000001</v>
      </c>
      <c r="GH31" s="28">
        <v>12.899100000000001</v>
      </c>
      <c r="GI31" s="22">
        <v>25</v>
      </c>
      <c r="GL31" s="22">
        <v>25</v>
      </c>
      <c r="GM31" s="28">
        <v>12.0482</v>
      </c>
      <c r="GN31" s="28">
        <v>12.19</v>
      </c>
      <c r="GO31" s="28">
        <v>12.000400000000001</v>
      </c>
      <c r="GP31" s="28">
        <v>11.692500000000001</v>
      </c>
      <c r="GQ31" s="28">
        <v>11.729200000000001</v>
      </c>
      <c r="GR31" s="28">
        <v>11.881600000000001</v>
      </c>
      <c r="GS31" s="28">
        <v>11.6174</v>
      </c>
      <c r="GT31" s="28">
        <v>12.335699999999999</v>
      </c>
      <c r="GU31" s="28">
        <v>13.8917</v>
      </c>
      <c r="GV31" s="28">
        <v>13.599600000000001</v>
      </c>
      <c r="GW31" s="28">
        <v>14.129099999999999</v>
      </c>
      <c r="GX31" s="28">
        <v>13.8169</v>
      </c>
      <c r="GY31" s="22">
        <v>25</v>
      </c>
      <c r="HB31" s="22">
        <v>25</v>
      </c>
      <c r="HC31" s="28">
        <v>12.772</v>
      </c>
      <c r="HD31" s="28">
        <v>12.8584</v>
      </c>
      <c r="HE31" s="28">
        <v>12.5284</v>
      </c>
      <c r="HF31" s="28">
        <v>12.240500000000001</v>
      </c>
      <c r="HG31" s="28">
        <v>13.033799999999999</v>
      </c>
      <c r="HH31" s="28">
        <v>12.698399999999999</v>
      </c>
      <c r="HI31" s="28">
        <v>12.756</v>
      </c>
      <c r="HJ31" s="28">
        <v>12.8492</v>
      </c>
      <c r="HK31" s="28">
        <v>12.642200000000001</v>
      </c>
      <c r="HL31" s="28">
        <v>12.3613</v>
      </c>
      <c r="HM31" s="28">
        <v>12.457700000000001</v>
      </c>
      <c r="HN31" s="28">
        <v>12.3332</v>
      </c>
      <c r="HO31" s="22">
        <v>25</v>
      </c>
      <c r="HR31" s="22">
        <v>25</v>
      </c>
      <c r="HS31" s="28">
        <v>13.932499999999999</v>
      </c>
      <c r="HT31" s="28">
        <v>14.8528</v>
      </c>
      <c r="HU31" s="28">
        <v>14.320399999999999</v>
      </c>
      <c r="HV31" s="28">
        <v>13.309900000000001</v>
      </c>
      <c r="HW31" s="28">
        <v>13.103</v>
      </c>
      <c r="HX31" s="28">
        <v>13.3187</v>
      </c>
      <c r="HY31" s="28">
        <v>13.1915</v>
      </c>
      <c r="HZ31" s="28">
        <v>12.822699999999999</v>
      </c>
      <c r="IA31" s="28">
        <v>13.3733</v>
      </c>
      <c r="IB31" s="28">
        <v>12.9495</v>
      </c>
      <c r="IC31" s="28">
        <v>13.0151</v>
      </c>
      <c r="ID31" s="28">
        <v>12.8896</v>
      </c>
      <c r="IE31" s="22">
        <v>25</v>
      </c>
      <c r="IH31" s="22">
        <v>25</v>
      </c>
      <c r="II31" s="28">
        <v>10.952199999999999</v>
      </c>
      <c r="IJ31" s="28">
        <v>10.798</v>
      </c>
      <c r="IK31" s="28">
        <v>10.6944</v>
      </c>
      <c r="IL31" s="28">
        <v>10.486800000000001</v>
      </c>
      <c r="IM31" s="28">
        <v>10.381</v>
      </c>
      <c r="IN31" s="28">
        <v>10.3032</v>
      </c>
      <c r="IO31" s="28">
        <v>10.055199999999999</v>
      </c>
      <c r="IP31" s="28">
        <v>10.1106</v>
      </c>
      <c r="IQ31" s="28">
        <v>10.7264</v>
      </c>
      <c r="IR31" s="28">
        <v>13.5025</v>
      </c>
      <c r="IS31" s="28">
        <v>13.9183</v>
      </c>
      <c r="IT31" s="28">
        <v>13.217499999999999</v>
      </c>
      <c r="IU31" s="22">
        <v>25</v>
      </c>
      <c r="IX31" s="22">
        <v>25</v>
      </c>
      <c r="IY31" s="28">
        <v>10.964499999999999</v>
      </c>
      <c r="IZ31" s="28">
        <v>10.968299999999999</v>
      </c>
      <c r="JA31" s="28">
        <v>11.022</v>
      </c>
      <c r="JB31" s="28">
        <v>10.963699999999999</v>
      </c>
      <c r="JC31" s="28">
        <v>10.768800000000001</v>
      </c>
      <c r="JD31" s="28">
        <v>10.826599999999999</v>
      </c>
      <c r="JE31" s="28">
        <v>10.763999999999999</v>
      </c>
      <c r="JF31" s="28">
        <v>11.0489</v>
      </c>
      <c r="JG31" s="28">
        <v>10.951700000000001</v>
      </c>
      <c r="JH31" s="28">
        <v>10.824</v>
      </c>
      <c r="JI31" s="28">
        <v>10.978999999999999</v>
      </c>
      <c r="JJ31" s="28">
        <v>10.8203</v>
      </c>
      <c r="JK31" s="22">
        <v>25</v>
      </c>
      <c r="JN31" s="22">
        <v>25</v>
      </c>
      <c r="JO31" s="28">
        <v>10.520799999999999</v>
      </c>
      <c r="JP31" s="28">
        <v>10.4885</v>
      </c>
      <c r="JQ31" s="28">
        <v>10.8612</v>
      </c>
      <c r="JR31" s="28">
        <v>11.066700000000001</v>
      </c>
      <c r="JS31" s="28">
        <v>11.1935</v>
      </c>
      <c r="JT31" s="28">
        <v>11.4405</v>
      </c>
      <c r="JU31" s="28">
        <v>10.8954</v>
      </c>
      <c r="JV31" s="28">
        <v>10.8428</v>
      </c>
      <c r="JW31" s="28">
        <v>10.9953</v>
      </c>
      <c r="JX31" s="28">
        <v>10.8489</v>
      </c>
      <c r="JY31" s="28">
        <v>10.9682</v>
      </c>
      <c r="JZ31" s="28">
        <v>10.841100000000001</v>
      </c>
      <c r="KA31" s="22">
        <v>25</v>
      </c>
      <c r="KD31" s="22">
        <v>25</v>
      </c>
      <c r="KE31" s="28">
        <v>11.250500000000001</v>
      </c>
      <c r="KF31" s="28">
        <v>11.0807</v>
      </c>
      <c r="KG31" s="28">
        <v>11.1898</v>
      </c>
      <c r="KH31" s="28">
        <v>11.041</v>
      </c>
      <c r="KI31" s="28">
        <v>10.9533</v>
      </c>
      <c r="KJ31" s="28">
        <v>10.7897</v>
      </c>
      <c r="KK31" s="28">
        <v>10.594200000000001</v>
      </c>
      <c r="KL31" s="28">
        <v>10.7742</v>
      </c>
      <c r="KM31" s="28">
        <v>10.834099999999999</v>
      </c>
      <c r="KN31" s="28">
        <v>10.8948</v>
      </c>
      <c r="KO31" s="28">
        <v>10.618</v>
      </c>
      <c r="KP31" s="28">
        <v>10.6532</v>
      </c>
      <c r="KQ31" s="22">
        <v>25</v>
      </c>
      <c r="KT31" s="22">
        <v>25</v>
      </c>
      <c r="KU31" s="28">
        <v>11.001200000000001</v>
      </c>
      <c r="KV31" s="28">
        <v>10.9437</v>
      </c>
      <c r="KW31" s="28">
        <v>10.9695</v>
      </c>
      <c r="KX31" s="28">
        <v>11.3256</v>
      </c>
      <c r="KY31" s="28">
        <v>11.567299999999999</v>
      </c>
      <c r="KZ31" s="28">
        <v>11.342499999999999</v>
      </c>
      <c r="LA31" s="28">
        <v>11.446300000000001</v>
      </c>
      <c r="LB31" s="28">
        <v>11.3764</v>
      </c>
      <c r="LC31" s="28">
        <v>11.417999999999999</v>
      </c>
      <c r="LD31" s="28">
        <v>11.472200000000001</v>
      </c>
      <c r="LE31" s="28">
        <v>11.3447</v>
      </c>
      <c r="LF31" s="28">
        <v>11.1363</v>
      </c>
      <c r="LG31" s="22">
        <v>25</v>
      </c>
      <c r="LJ31" s="22">
        <v>25</v>
      </c>
      <c r="LK31" s="28">
        <v>10.770799999999999</v>
      </c>
      <c r="LL31" s="28">
        <v>10.979799999999999</v>
      </c>
      <c r="LM31" s="28">
        <v>10.8734</v>
      </c>
      <c r="LN31" s="28">
        <v>10.514699999999999</v>
      </c>
      <c r="LO31" s="28">
        <v>10.238300000000001</v>
      </c>
      <c r="LP31" s="28">
        <v>10.4796</v>
      </c>
      <c r="LQ31" s="28">
        <v>10.516</v>
      </c>
      <c r="LR31" s="28">
        <v>10.8507</v>
      </c>
      <c r="LS31" s="28">
        <v>10.774100000000001</v>
      </c>
      <c r="LT31" s="28">
        <v>11.180999999999999</v>
      </c>
      <c r="LU31" s="28">
        <v>11.2058</v>
      </c>
      <c r="LV31" s="28">
        <v>11.269600000000001</v>
      </c>
      <c r="LW31" s="22">
        <v>25</v>
      </c>
      <c r="LZ31" s="22">
        <v>25</v>
      </c>
      <c r="MA31" s="28">
        <v>9.1479999999999997</v>
      </c>
      <c r="MB31" s="28">
        <v>9.0756999999999994</v>
      </c>
      <c r="MC31" s="28">
        <v>9.0707000000000004</v>
      </c>
      <c r="MD31" s="28">
        <v>9.2698</v>
      </c>
      <c r="ME31" s="28">
        <v>9.5165000000000006</v>
      </c>
      <c r="MF31" s="28">
        <v>9.9473000000000003</v>
      </c>
      <c r="MG31" s="28">
        <v>9.6129999999999995</v>
      </c>
      <c r="MH31" s="28">
        <v>9.8388000000000009</v>
      </c>
      <c r="MI31" s="28">
        <v>10.357799999999999</v>
      </c>
      <c r="MJ31" s="28">
        <v>10.007899999999999</v>
      </c>
      <c r="MK31" s="28">
        <v>10.087400000000001</v>
      </c>
      <c r="ML31" s="28">
        <v>10.1907</v>
      </c>
      <c r="MM31" s="22">
        <v>25</v>
      </c>
      <c r="MP31" s="22">
        <v>25</v>
      </c>
      <c r="MQ31" s="28">
        <v>9.7683</v>
      </c>
      <c r="MR31" s="28">
        <v>9.7278000000000002</v>
      </c>
      <c r="MS31" s="28">
        <v>9.5722000000000005</v>
      </c>
      <c r="MT31" s="28">
        <v>9.3699999999999992</v>
      </c>
      <c r="MU31" s="28">
        <v>9.0397999999999996</v>
      </c>
      <c r="MV31" s="28">
        <v>9.0570000000000004</v>
      </c>
      <c r="MW31" s="28">
        <v>9.1106999999999996</v>
      </c>
      <c r="MX31" s="28">
        <v>9.1204999999999998</v>
      </c>
      <c r="MY31" s="28">
        <v>9.4847999999999999</v>
      </c>
      <c r="MZ31" s="28">
        <v>9.2242999999999995</v>
      </c>
      <c r="NA31" s="28">
        <v>9.1547000000000001</v>
      </c>
      <c r="NB31" s="28">
        <v>9.1234999999999999</v>
      </c>
      <c r="NC31" s="22">
        <v>25</v>
      </c>
      <c r="NF31" s="22">
        <v>25</v>
      </c>
      <c r="NG31" s="28">
        <v>9.4463000000000008</v>
      </c>
      <c r="NH31" s="28">
        <v>9.4067000000000007</v>
      </c>
      <c r="NI31" s="28">
        <v>9.2398000000000007</v>
      </c>
      <c r="NJ31" s="28">
        <v>9.3939000000000004</v>
      </c>
      <c r="NK31" s="28">
        <v>9.5090000000000003</v>
      </c>
      <c r="NL31" s="28">
        <v>9.8706999999999994</v>
      </c>
      <c r="NM31" s="28">
        <v>9.3484999999999996</v>
      </c>
      <c r="NN31" s="28">
        <v>9.2773000000000003</v>
      </c>
      <c r="NO31" s="28">
        <v>9.4346999999999994</v>
      </c>
      <c r="NP31" s="28">
        <v>9.5736000000000008</v>
      </c>
      <c r="NQ31" s="28">
        <v>9.4056999999999995</v>
      </c>
      <c r="NR31" s="28">
        <v>9.5726999999999993</v>
      </c>
      <c r="NS31" s="22">
        <v>25</v>
      </c>
      <c r="NV31" s="22">
        <v>25</v>
      </c>
      <c r="NW31" s="28">
        <v>10.2874</v>
      </c>
      <c r="NX31" s="28">
        <v>9.9565000000000001</v>
      </c>
      <c r="NY31" s="28">
        <v>9.6722999999999999</v>
      </c>
      <c r="NZ31" s="28">
        <v>9.3316999999999997</v>
      </c>
      <c r="OA31" s="28">
        <v>9.3589000000000002</v>
      </c>
      <c r="OB31" s="28">
        <v>9.4038000000000004</v>
      </c>
      <c r="OC31" s="28">
        <v>9.3745999999999992</v>
      </c>
      <c r="OD31" s="28">
        <v>9.3435000000000006</v>
      </c>
      <c r="OE31" s="28">
        <v>9.3055000000000003</v>
      </c>
      <c r="OF31" s="28">
        <v>9.6481999999999992</v>
      </c>
      <c r="OG31" s="28">
        <v>9.3323999999999998</v>
      </c>
      <c r="OH31" s="28">
        <v>9.3695000000000004</v>
      </c>
      <c r="OI31" s="22">
        <v>25</v>
      </c>
      <c r="OL31" s="22">
        <v>25</v>
      </c>
      <c r="OM31" s="28">
        <v>8.3320000000000007</v>
      </c>
      <c r="ON31" s="28">
        <v>8.6379000000000001</v>
      </c>
      <c r="OO31" s="28">
        <v>8.5367999999999995</v>
      </c>
      <c r="OP31" s="28">
        <v>8.4702999999999999</v>
      </c>
      <c r="OQ31" s="28">
        <v>8.6222999999999992</v>
      </c>
      <c r="OR31" s="28">
        <v>8.8926999999999996</v>
      </c>
      <c r="OS31" s="28">
        <v>8.8646999999999991</v>
      </c>
      <c r="OT31" s="28">
        <v>9.69</v>
      </c>
      <c r="OU31" s="28">
        <v>10.1159</v>
      </c>
      <c r="OV31" s="28">
        <v>9.9930000000000003</v>
      </c>
      <c r="OW31" s="28">
        <v>9.8772000000000002</v>
      </c>
      <c r="OX31" s="28">
        <v>9.8103999999999996</v>
      </c>
      <c r="OY31" s="22">
        <v>25</v>
      </c>
      <c r="PB31" s="22">
        <v>25</v>
      </c>
      <c r="PC31" s="28">
        <v>7.7912999999999997</v>
      </c>
      <c r="PD31" s="28">
        <v>7.7617000000000003</v>
      </c>
      <c r="PE31" s="28">
        <v>7.9406999999999996</v>
      </c>
      <c r="PF31" s="28">
        <v>7.8783000000000003</v>
      </c>
      <c r="PG31" s="28">
        <v>7.8689</v>
      </c>
      <c r="PH31" s="28">
        <v>7.9770000000000003</v>
      </c>
      <c r="PI31" s="28">
        <v>7.8372999999999999</v>
      </c>
      <c r="PJ31" s="28">
        <v>7.7596999999999996</v>
      </c>
      <c r="PK31" s="28">
        <v>7.7680999999999996</v>
      </c>
      <c r="PL31" s="28">
        <v>7.7629999999999999</v>
      </c>
      <c r="PM31" s="28">
        <v>8.1773000000000007</v>
      </c>
      <c r="PN31" s="28">
        <v>8.1267999999999994</v>
      </c>
      <c r="PO31" s="22">
        <v>25</v>
      </c>
      <c r="PR31" s="22">
        <v>25</v>
      </c>
      <c r="PS31" s="28">
        <v>7.3608000000000002</v>
      </c>
      <c r="PT31" s="28">
        <v>7.5476999999999999</v>
      </c>
      <c r="PU31" s="28">
        <v>7.5431999999999997</v>
      </c>
      <c r="PV31" s="28">
        <v>7.4175000000000004</v>
      </c>
      <c r="PW31" s="28">
        <v>7.3822999999999999</v>
      </c>
      <c r="PX31" s="28">
        <v>7.5743</v>
      </c>
      <c r="PY31" s="28">
        <v>7.6078000000000001</v>
      </c>
      <c r="PZ31" s="28">
        <v>7.4756999999999998</v>
      </c>
      <c r="QA31" s="28">
        <v>7.5827999999999998</v>
      </c>
      <c r="QB31" s="28">
        <v>7.8502000000000001</v>
      </c>
      <c r="QC31" s="28">
        <v>7.8959999999999999</v>
      </c>
      <c r="QD31" s="28">
        <v>7.8343999999999996</v>
      </c>
      <c r="QE31" s="22">
        <v>25</v>
      </c>
      <c r="QH31" s="22">
        <v>25</v>
      </c>
      <c r="QI31" s="28">
        <v>5.7725</v>
      </c>
      <c r="QJ31" s="28">
        <v>5.6749999999999998</v>
      </c>
      <c r="QK31" s="28">
        <v>7.0425000000000004</v>
      </c>
      <c r="QL31" s="28">
        <v>6.0191999999999997</v>
      </c>
      <c r="QM31" s="28">
        <v>5.9950000000000001</v>
      </c>
      <c r="QN31" s="28">
        <v>6.2424999999999997</v>
      </c>
      <c r="QO31" s="28">
        <v>6.0983000000000001</v>
      </c>
      <c r="QP31" s="28">
        <v>6.3049999999999997</v>
      </c>
      <c r="QQ31" s="28">
        <v>6.3128000000000002</v>
      </c>
      <c r="QR31" s="28">
        <v>6.7034000000000002</v>
      </c>
      <c r="QS31" s="28">
        <v>7.6349999999999998</v>
      </c>
      <c r="QT31" s="28">
        <v>7.5857999999999999</v>
      </c>
      <c r="QU31" s="22">
        <v>25</v>
      </c>
      <c r="QX31" s="22">
        <v>25</v>
      </c>
      <c r="QY31" s="28">
        <v>3.1055000000000001</v>
      </c>
      <c r="QZ31" s="28">
        <v>3.1179000000000001</v>
      </c>
      <c r="RA31" s="28">
        <v>3.3325999999999998</v>
      </c>
      <c r="RB31" s="28">
        <v>3.3694000000000002</v>
      </c>
      <c r="RC31" s="28">
        <v>3.3025000000000002</v>
      </c>
      <c r="RD31" s="28">
        <v>3.3855</v>
      </c>
      <c r="RE31" s="28">
        <v>3.4056000000000002</v>
      </c>
      <c r="RF31" s="28">
        <v>3.3428</v>
      </c>
      <c r="RG31" s="28">
        <v>3.4087999999999998</v>
      </c>
      <c r="RH31" s="28">
        <v>3.4175</v>
      </c>
      <c r="RI31" s="28">
        <v>3.4439000000000002</v>
      </c>
      <c r="RJ31" s="28">
        <v>4.8875000000000002</v>
      </c>
      <c r="RK31" s="22">
        <v>25</v>
      </c>
      <c r="RN31" s="22">
        <v>25</v>
      </c>
      <c r="RO31" s="28">
        <v>3.1051000000000002</v>
      </c>
      <c r="RP31" s="28">
        <v>3.0939000000000001</v>
      </c>
      <c r="RQ31" s="28">
        <v>3.1149</v>
      </c>
      <c r="RR31" s="28">
        <v>3.0937000000000001</v>
      </c>
      <c r="RS31" s="28">
        <v>3.1097000000000001</v>
      </c>
      <c r="RT31" s="28">
        <v>3.1156999999999999</v>
      </c>
      <c r="RU31" s="28">
        <v>3.1229</v>
      </c>
      <c r="RV31" s="28">
        <v>3.1112000000000002</v>
      </c>
      <c r="RW31" s="28">
        <v>3.1124000000000001</v>
      </c>
      <c r="RX31" s="28">
        <v>3.1120000000000001</v>
      </c>
      <c r="RY31" s="28">
        <v>3.1002999999999998</v>
      </c>
      <c r="RZ31" s="28">
        <v>3.1110000000000002</v>
      </c>
      <c r="SA31" s="22">
        <v>25</v>
      </c>
      <c r="SD31" s="22">
        <v>25</v>
      </c>
      <c r="SE31" s="28">
        <v>3.0735999999999999</v>
      </c>
      <c r="SF31" s="28">
        <v>3.0609999999999999</v>
      </c>
      <c r="SG31" s="28">
        <v>3.0693000000000001</v>
      </c>
      <c r="SH31" s="28">
        <v>3.0855999999999999</v>
      </c>
      <c r="SI31" s="28">
        <v>3.1055999999999999</v>
      </c>
      <c r="SJ31" s="28">
        <v>3.1221999999999999</v>
      </c>
      <c r="SK31" s="28">
        <v>3.1113</v>
      </c>
      <c r="SL31" s="28">
        <v>3.0836000000000001</v>
      </c>
      <c r="SM31" s="28">
        <v>3.1208</v>
      </c>
      <c r="SN31" s="28">
        <v>3.1252</v>
      </c>
      <c r="SO31" s="28">
        <v>3.1194000000000002</v>
      </c>
      <c r="SP31" s="28">
        <v>3.1194999999999999</v>
      </c>
      <c r="SQ31" s="22">
        <v>25</v>
      </c>
      <c r="ST31" s="22">
        <v>25</v>
      </c>
      <c r="SU31" s="28">
        <v>2.9558</v>
      </c>
      <c r="SV31" s="28">
        <v>2.9674</v>
      </c>
      <c r="SW31" s="28">
        <v>2.9786000000000001</v>
      </c>
      <c r="SX31" s="28">
        <v>2.9918</v>
      </c>
      <c r="SY31" s="28">
        <v>3.0038</v>
      </c>
      <c r="SZ31" s="28">
        <v>3.0154000000000001</v>
      </c>
      <c r="TA31" s="28">
        <v>3.0282</v>
      </c>
      <c r="TB31" s="28">
        <v>3.0402</v>
      </c>
      <c r="TC31" s="28">
        <v>3.0529999999999999</v>
      </c>
      <c r="TD31" s="28">
        <v>3.0657999999999999</v>
      </c>
      <c r="TE31" s="28">
        <v>3.0631900000000001</v>
      </c>
      <c r="TF31" s="28">
        <v>3.0836899999999998</v>
      </c>
      <c r="TG31" s="22">
        <v>25</v>
      </c>
      <c r="TJ31" s="22">
        <v>25</v>
      </c>
      <c r="TK31" s="28">
        <v>2.6669999999999998</v>
      </c>
      <c r="TL31" s="28">
        <v>2.6970000000000001</v>
      </c>
      <c r="TM31" s="28">
        <v>2.7250000000000001</v>
      </c>
      <c r="TN31" s="28">
        <v>2.7570000000000001</v>
      </c>
      <c r="TO31" s="28">
        <v>2.7869999999999999</v>
      </c>
      <c r="TP31" s="28">
        <v>2.8113999999999999</v>
      </c>
      <c r="TQ31" s="28">
        <v>2.8370000000000002</v>
      </c>
      <c r="TR31" s="28">
        <v>2.8618000000000001</v>
      </c>
      <c r="TS31" s="28">
        <v>2.8849999999999998</v>
      </c>
      <c r="TT31" s="28">
        <v>2.9106000000000001</v>
      </c>
      <c r="TU31" s="28">
        <v>2.931</v>
      </c>
      <c r="TV31" s="28">
        <v>2.9426000000000001</v>
      </c>
      <c r="TW31" s="22">
        <v>25</v>
      </c>
      <c r="TZ31" s="22">
        <v>25</v>
      </c>
      <c r="UA31" s="28">
        <v>2.302</v>
      </c>
      <c r="UB31" s="28">
        <v>2.3330000000000002</v>
      </c>
      <c r="UC31" s="28">
        <v>2.3610000000000002</v>
      </c>
      <c r="UD31" s="28">
        <v>2.39</v>
      </c>
      <c r="UE31" s="28">
        <v>2.4220000000000002</v>
      </c>
      <c r="UF31" s="28">
        <v>2.452</v>
      </c>
      <c r="UG31" s="28">
        <v>2.4809999999999999</v>
      </c>
      <c r="UH31" s="28">
        <v>2.5139999999999998</v>
      </c>
      <c r="UI31" s="28">
        <v>2.5430000000000001</v>
      </c>
      <c r="UJ31" s="28">
        <v>2.5750000000000002</v>
      </c>
      <c r="UK31" s="28">
        <v>2.6059999999999999</v>
      </c>
      <c r="UL31" s="28">
        <v>2.6339999999999999</v>
      </c>
      <c r="UM31" s="22">
        <v>25</v>
      </c>
    </row>
    <row r="32" spans="2:559" s="7" customFormat="1" ht="19.2">
      <c r="B32" s="22">
        <v>26</v>
      </c>
      <c r="C32" s="28">
        <v>18.831800000000001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2">
        <v>26</v>
      </c>
      <c r="R32" s="22">
        <v>26</v>
      </c>
      <c r="S32" s="28">
        <v>20.630800000000001</v>
      </c>
      <c r="T32" s="28">
        <v>20.6525</v>
      </c>
      <c r="U32" s="28">
        <v>20.1313</v>
      </c>
      <c r="V32" s="28">
        <v>20.318300000000001</v>
      </c>
      <c r="W32" s="28">
        <v>19.887</v>
      </c>
      <c r="X32" s="28">
        <v>20.0365</v>
      </c>
      <c r="Y32" s="28">
        <v>20.515000000000001</v>
      </c>
      <c r="Z32" s="28">
        <v>19.919799999999999</v>
      </c>
      <c r="AA32" s="28">
        <v>19.960799999999999</v>
      </c>
      <c r="AB32" s="28">
        <v>19.953499999999998</v>
      </c>
      <c r="AC32" s="28">
        <v>19.369199999999999</v>
      </c>
      <c r="AD32" s="28">
        <v>19.574000000000002</v>
      </c>
      <c r="AE32" s="22">
        <v>26</v>
      </c>
      <c r="AH32" s="22">
        <v>26</v>
      </c>
      <c r="AI32" s="28">
        <v>19.9833</v>
      </c>
      <c r="AJ32" s="28">
        <v>20.475200000000001</v>
      </c>
      <c r="AK32" s="28">
        <v>20.7882</v>
      </c>
      <c r="AL32" s="28">
        <v>19.886500000000002</v>
      </c>
      <c r="AM32" s="28">
        <v>19.872</v>
      </c>
      <c r="AN32" s="28">
        <v>20.048300000000001</v>
      </c>
      <c r="AO32" s="28">
        <v>20.1812</v>
      </c>
      <c r="AP32" s="28">
        <v>20.296700000000001</v>
      </c>
      <c r="AQ32" s="28">
        <v>20.027999999999999</v>
      </c>
      <c r="AR32" s="28">
        <v>20.183700000000002</v>
      </c>
      <c r="AS32" s="28">
        <v>21.435700000000001</v>
      </c>
      <c r="AT32" s="28">
        <v>20.658200000000001</v>
      </c>
      <c r="AU32" s="22">
        <v>26</v>
      </c>
      <c r="AV32" s="8"/>
      <c r="AW32" s="8"/>
      <c r="AX32" s="22">
        <v>26</v>
      </c>
      <c r="AY32" s="28">
        <v>18.8018</v>
      </c>
      <c r="AZ32" s="28">
        <v>19.119700000000002</v>
      </c>
      <c r="BA32" s="28">
        <v>25.118500000000001</v>
      </c>
      <c r="BB32" s="28">
        <v>24.623000000000001</v>
      </c>
      <c r="BC32" s="28">
        <v>22.7928</v>
      </c>
      <c r="BD32" s="28">
        <v>22.6662</v>
      </c>
      <c r="BE32" s="28">
        <v>22.3627</v>
      </c>
      <c r="BF32" s="28">
        <v>21.984000000000002</v>
      </c>
      <c r="BG32" s="28">
        <v>22.367799999999999</v>
      </c>
      <c r="BH32" s="28">
        <v>21.03</v>
      </c>
      <c r="BI32" s="28">
        <v>20.057700000000001</v>
      </c>
      <c r="BJ32" s="28">
        <v>20.1175</v>
      </c>
      <c r="BK32" s="22">
        <v>26</v>
      </c>
      <c r="BN32" s="22">
        <v>26</v>
      </c>
      <c r="BO32" s="28">
        <v>18.985900000000001</v>
      </c>
      <c r="BP32" s="28">
        <v>19.139399999999998</v>
      </c>
      <c r="BQ32" s="28">
        <v>19.136900000000001</v>
      </c>
      <c r="BR32" s="28">
        <v>19.0046</v>
      </c>
      <c r="BS32" s="28">
        <v>19.0122</v>
      </c>
      <c r="BT32" s="28">
        <v>19.183299999999999</v>
      </c>
      <c r="BU32" s="28">
        <v>19.089400000000001</v>
      </c>
      <c r="BV32" s="28">
        <v>19.746700000000001</v>
      </c>
      <c r="BW32" s="28">
        <v>19.4587</v>
      </c>
      <c r="BX32" s="28">
        <v>19.087800000000001</v>
      </c>
      <c r="BY32" s="28">
        <v>19.398700000000002</v>
      </c>
      <c r="BZ32" s="28">
        <v>18.938500000000001</v>
      </c>
      <c r="CA32" s="22">
        <v>26</v>
      </c>
      <c r="CD32" s="22">
        <v>26</v>
      </c>
      <c r="CE32" s="28">
        <v>18.517800000000001</v>
      </c>
      <c r="CF32" s="28">
        <v>18.657399999999999</v>
      </c>
      <c r="CG32" s="28">
        <v>18.5078</v>
      </c>
      <c r="CH32" s="28">
        <v>18.8139</v>
      </c>
      <c r="CI32" s="28">
        <v>19.704799999999999</v>
      </c>
      <c r="CJ32" s="28">
        <v>20.1264</v>
      </c>
      <c r="CK32" s="28">
        <v>18.8506</v>
      </c>
      <c r="CL32" s="28">
        <v>18.8672</v>
      </c>
      <c r="CM32" s="28">
        <v>18.851600000000001</v>
      </c>
      <c r="CN32" s="28">
        <v>19.462299999999999</v>
      </c>
      <c r="CO32" s="28">
        <v>20.298400000000001</v>
      </c>
      <c r="CP32" s="28">
        <v>19.927499999999998</v>
      </c>
      <c r="CQ32" s="22">
        <v>26</v>
      </c>
      <c r="CT32" s="22">
        <v>26</v>
      </c>
      <c r="CU32" s="28">
        <v>21.369199999999999</v>
      </c>
      <c r="CV32" s="28">
        <v>19.7011</v>
      </c>
      <c r="CW32" s="28">
        <v>18.9877</v>
      </c>
      <c r="CX32" s="28">
        <v>18.652100000000001</v>
      </c>
      <c r="CY32" s="28">
        <v>18.568899999999999</v>
      </c>
      <c r="CZ32" s="28">
        <v>18.126999999999999</v>
      </c>
      <c r="DA32" s="28">
        <v>17.689299999999999</v>
      </c>
      <c r="DB32" s="28">
        <v>17.697700000000001</v>
      </c>
      <c r="DC32" s="28">
        <v>17.748699999999999</v>
      </c>
      <c r="DD32" s="28">
        <v>19.200900000000001</v>
      </c>
      <c r="DE32" s="28">
        <v>18.604099999999999</v>
      </c>
      <c r="DF32" s="28">
        <v>19.3962</v>
      </c>
      <c r="DG32" s="22">
        <v>26</v>
      </c>
      <c r="DJ32" s="22">
        <v>26</v>
      </c>
      <c r="DK32" s="28">
        <v>18.428000000000001</v>
      </c>
      <c r="DL32" s="28">
        <v>18.289300000000001</v>
      </c>
      <c r="DM32" s="28">
        <v>17.336099999999998</v>
      </c>
      <c r="DN32" s="28">
        <v>17.4359</v>
      </c>
      <c r="DO32" s="28">
        <v>18.4694</v>
      </c>
      <c r="DP32" s="28">
        <v>18.320699999999999</v>
      </c>
      <c r="DQ32" s="28">
        <v>18.608899999999998</v>
      </c>
      <c r="DR32" s="28">
        <v>18.4971</v>
      </c>
      <c r="DS32" s="28">
        <v>19.596499999999999</v>
      </c>
      <c r="DT32" s="28">
        <v>18.565799999999999</v>
      </c>
      <c r="DU32" s="28">
        <v>20.705100000000002</v>
      </c>
      <c r="DV32" s="28">
        <v>20.7179</v>
      </c>
      <c r="DW32" s="22">
        <v>26</v>
      </c>
      <c r="DZ32" s="22">
        <v>26</v>
      </c>
      <c r="EA32" s="28">
        <v>14.612</v>
      </c>
      <c r="EB32" s="28">
        <v>14.9712</v>
      </c>
      <c r="EC32" s="28">
        <v>14.934699999999999</v>
      </c>
      <c r="ED32" s="28">
        <v>15.353899999999999</v>
      </c>
      <c r="EE32" s="28">
        <v>15.2918</v>
      </c>
      <c r="EF32" s="28">
        <v>15.455500000000001</v>
      </c>
      <c r="EG32" s="28">
        <v>16.094999999999999</v>
      </c>
      <c r="EH32" s="28">
        <v>17.0975</v>
      </c>
      <c r="EI32" s="28">
        <v>17.045300000000001</v>
      </c>
      <c r="EJ32" s="28">
        <v>16.528400000000001</v>
      </c>
      <c r="EK32" s="28">
        <v>16.470500000000001</v>
      </c>
      <c r="EL32" s="28">
        <v>17.1953</v>
      </c>
      <c r="EM32" s="22">
        <v>26</v>
      </c>
      <c r="EP32" s="22">
        <v>26</v>
      </c>
      <c r="EQ32" s="28">
        <v>13.372199999999999</v>
      </c>
      <c r="ER32" s="28">
        <v>13.209</v>
      </c>
      <c r="ES32" s="28">
        <v>13.2019</v>
      </c>
      <c r="ET32" s="28">
        <v>13.101000000000001</v>
      </c>
      <c r="EU32" s="28">
        <v>12.880100000000001</v>
      </c>
      <c r="EV32" s="28">
        <v>13.021800000000001</v>
      </c>
      <c r="EW32" s="28">
        <v>12.9572</v>
      </c>
      <c r="EX32" s="28">
        <v>13.1328</v>
      </c>
      <c r="EY32" s="28">
        <v>13.301500000000001</v>
      </c>
      <c r="EZ32" s="28">
        <v>13.5288</v>
      </c>
      <c r="FA32" s="28">
        <v>13.6374</v>
      </c>
      <c r="FB32" s="28">
        <v>14.700799999999999</v>
      </c>
      <c r="FC32" s="22">
        <v>26</v>
      </c>
      <c r="FF32" s="22">
        <v>26</v>
      </c>
      <c r="FG32" s="28">
        <v>12.6286</v>
      </c>
      <c r="FH32" s="28">
        <v>12.7517</v>
      </c>
      <c r="FI32" s="28">
        <v>12.372400000000001</v>
      </c>
      <c r="FJ32" s="28">
        <v>12.2768</v>
      </c>
      <c r="FK32" s="28">
        <v>12.4764</v>
      </c>
      <c r="FL32" s="28">
        <v>13.396599999999999</v>
      </c>
      <c r="FM32" s="28">
        <v>12.632999999999999</v>
      </c>
      <c r="FN32" s="28">
        <v>13.1486</v>
      </c>
      <c r="FO32" s="28">
        <v>12.875400000000001</v>
      </c>
      <c r="FP32" s="28">
        <v>12.9916</v>
      </c>
      <c r="FQ32" s="28">
        <v>13.0223</v>
      </c>
      <c r="FR32" s="28">
        <v>12.961</v>
      </c>
      <c r="FS32" s="22">
        <v>26</v>
      </c>
      <c r="FV32" s="22">
        <v>26</v>
      </c>
      <c r="FW32" s="28">
        <v>13.171200000000001</v>
      </c>
      <c r="FX32" s="28">
        <v>12.8294</v>
      </c>
      <c r="FY32" s="28">
        <v>12.833</v>
      </c>
      <c r="FZ32" s="28">
        <v>13.139200000000001</v>
      </c>
      <c r="GA32" s="28">
        <v>14.004</v>
      </c>
      <c r="GB32" s="28">
        <v>13.849</v>
      </c>
      <c r="GC32" s="28">
        <v>13.679600000000001</v>
      </c>
      <c r="GD32" s="28">
        <v>13.128399999999999</v>
      </c>
      <c r="GE32" s="28">
        <v>12.9123</v>
      </c>
      <c r="GF32" s="28">
        <v>12.9839</v>
      </c>
      <c r="GG32" s="28">
        <v>13.018800000000001</v>
      </c>
      <c r="GH32" s="28">
        <v>12.899100000000001</v>
      </c>
      <c r="GI32" s="22">
        <v>26</v>
      </c>
      <c r="GL32" s="22">
        <v>26</v>
      </c>
      <c r="GM32" s="28">
        <v>12.051600000000001</v>
      </c>
      <c r="GN32" s="28">
        <v>12.173</v>
      </c>
      <c r="GO32" s="28">
        <v>11.955500000000001</v>
      </c>
      <c r="GP32" s="28">
        <v>11.6252</v>
      </c>
      <c r="GQ32" s="28">
        <v>11.703200000000001</v>
      </c>
      <c r="GR32" s="28">
        <v>11.881600000000001</v>
      </c>
      <c r="GS32" s="28">
        <v>11.6393</v>
      </c>
      <c r="GT32" s="28">
        <v>12.395200000000001</v>
      </c>
      <c r="GU32" s="28">
        <v>13.8917</v>
      </c>
      <c r="GV32" s="28">
        <v>13.488899999999999</v>
      </c>
      <c r="GW32" s="28">
        <v>14.1778</v>
      </c>
      <c r="GX32" s="28">
        <v>13.8169</v>
      </c>
      <c r="GY32" s="22">
        <v>26</v>
      </c>
      <c r="HB32" s="22">
        <v>26</v>
      </c>
      <c r="HC32" s="28">
        <v>12.9412</v>
      </c>
      <c r="HD32" s="28">
        <v>12.853899999999999</v>
      </c>
      <c r="HE32" s="28">
        <v>12.5381</v>
      </c>
      <c r="HF32" s="28">
        <v>12.240500000000001</v>
      </c>
      <c r="HG32" s="28">
        <v>12.9588</v>
      </c>
      <c r="HH32" s="28">
        <v>12.7141</v>
      </c>
      <c r="HI32" s="28">
        <v>12.756</v>
      </c>
      <c r="HJ32" s="28">
        <v>12.936</v>
      </c>
      <c r="HK32" s="28">
        <v>12.642200000000001</v>
      </c>
      <c r="HL32" s="28">
        <v>12.387700000000001</v>
      </c>
      <c r="HM32" s="28">
        <v>12.3912</v>
      </c>
      <c r="HN32" s="28">
        <v>12.3332</v>
      </c>
      <c r="HO32" s="22">
        <v>26</v>
      </c>
      <c r="HR32" s="22">
        <v>26</v>
      </c>
      <c r="HS32" s="28">
        <v>13.932499999999999</v>
      </c>
      <c r="HT32" s="28">
        <v>14.832700000000001</v>
      </c>
      <c r="HU32" s="28">
        <v>14.2683</v>
      </c>
      <c r="HV32" s="28">
        <v>13.309900000000001</v>
      </c>
      <c r="HW32" s="28">
        <v>13.172800000000001</v>
      </c>
      <c r="HX32" s="28">
        <v>13.305099999999999</v>
      </c>
      <c r="HY32" s="28">
        <v>13.1915</v>
      </c>
      <c r="HZ32" s="28">
        <v>12.827400000000001</v>
      </c>
      <c r="IA32" s="28">
        <v>13.4549</v>
      </c>
      <c r="IB32" s="28">
        <v>12.9495</v>
      </c>
      <c r="IC32" s="28">
        <v>12.9305</v>
      </c>
      <c r="ID32" s="28">
        <v>12.8896</v>
      </c>
      <c r="IE32" s="22">
        <v>26</v>
      </c>
      <c r="IH32" s="22">
        <v>26</v>
      </c>
      <c r="II32" s="28">
        <v>10.8934</v>
      </c>
      <c r="IJ32" s="28">
        <v>10.7818</v>
      </c>
      <c r="IK32" s="28">
        <v>10.674799999999999</v>
      </c>
      <c r="IL32" s="28">
        <v>10.462</v>
      </c>
      <c r="IM32" s="28">
        <v>10.381</v>
      </c>
      <c r="IN32" s="28">
        <v>10.318</v>
      </c>
      <c r="IO32" s="28">
        <v>10.026400000000001</v>
      </c>
      <c r="IP32" s="28">
        <v>10.0991</v>
      </c>
      <c r="IQ32" s="28">
        <v>10.7879</v>
      </c>
      <c r="IR32" s="28">
        <v>13.5025</v>
      </c>
      <c r="IS32" s="28">
        <v>13.495799999999999</v>
      </c>
      <c r="IT32" s="28">
        <v>13.217499999999999</v>
      </c>
      <c r="IU32" s="22">
        <v>26</v>
      </c>
      <c r="IX32" s="22">
        <v>26</v>
      </c>
      <c r="IY32" s="28">
        <v>10.948600000000001</v>
      </c>
      <c r="IZ32" s="28">
        <v>10.968299999999999</v>
      </c>
      <c r="JA32" s="28">
        <v>11.022</v>
      </c>
      <c r="JB32" s="28">
        <v>11.0053</v>
      </c>
      <c r="JC32" s="28">
        <v>10.8354</v>
      </c>
      <c r="JD32" s="28">
        <v>10.808</v>
      </c>
      <c r="JE32" s="28">
        <v>10.784599999999999</v>
      </c>
      <c r="JF32" s="28">
        <v>11.0489</v>
      </c>
      <c r="JG32" s="28">
        <v>10.9391</v>
      </c>
      <c r="JH32" s="28">
        <v>10.8348</v>
      </c>
      <c r="JI32" s="28">
        <v>10.978999999999999</v>
      </c>
      <c r="JJ32" s="28">
        <v>10.8203</v>
      </c>
      <c r="JK32" s="22">
        <v>26</v>
      </c>
      <c r="JN32" s="22">
        <v>26</v>
      </c>
      <c r="JO32" s="28">
        <v>10.5063</v>
      </c>
      <c r="JP32" s="28">
        <v>10.4885</v>
      </c>
      <c r="JQ32" s="28">
        <v>10.8612</v>
      </c>
      <c r="JR32" s="28">
        <v>11.0656</v>
      </c>
      <c r="JS32" s="28">
        <v>11.285399999999999</v>
      </c>
      <c r="JT32" s="28">
        <v>11.4405</v>
      </c>
      <c r="JU32" s="28">
        <v>10.930300000000001</v>
      </c>
      <c r="JV32" s="28">
        <v>10.922000000000001</v>
      </c>
      <c r="JW32" s="28">
        <v>11.0877</v>
      </c>
      <c r="JX32" s="28">
        <v>10.828900000000001</v>
      </c>
      <c r="JY32" s="28">
        <v>10.9682</v>
      </c>
      <c r="JZ32" s="28">
        <v>10.841100000000001</v>
      </c>
      <c r="KA32" s="22">
        <v>26</v>
      </c>
      <c r="KD32" s="22">
        <v>26</v>
      </c>
      <c r="KE32" s="28">
        <v>11.235300000000001</v>
      </c>
      <c r="KF32" s="28">
        <v>11.095499999999999</v>
      </c>
      <c r="KG32" s="28">
        <v>11.1898</v>
      </c>
      <c r="KH32" s="28">
        <v>11.036099999999999</v>
      </c>
      <c r="KI32" s="28">
        <v>10.9801</v>
      </c>
      <c r="KJ32" s="28">
        <v>10.7897</v>
      </c>
      <c r="KK32" s="28">
        <v>10.630699999999999</v>
      </c>
      <c r="KL32" s="28">
        <v>10.882199999999999</v>
      </c>
      <c r="KM32" s="28">
        <v>10.834099999999999</v>
      </c>
      <c r="KN32" s="28">
        <v>10.856</v>
      </c>
      <c r="KO32" s="28">
        <v>10.6083</v>
      </c>
      <c r="KP32" s="28">
        <v>10.6532</v>
      </c>
      <c r="KQ32" s="22">
        <v>26</v>
      </c>
      <c r="KT32" s="22">
        <v>26</v>
      </c>
      <c r="KU32" s="28">
        <v>11.001200000000001</v>
      </c>
      <c r="KV32" s="28">
        <v>11.0558</v>
      </c>
      <c r="KW32" s="28">
        <v>10.9915</v>
      </c>
      <c r="KX32" s="28">
        <v>11.3256</v>
      </c>
      <c r="KY32" s="28">
        <v>11.5608</v>
      </c>
      <c r="KZ32" s="28">
        <v>11.3004</v>
      </c>
      <c r="LA32" s="28">
        <v>11.446300000000001</v>
      </c>
      <c r="LB32" s="28">
        <v>11.385899999999999</v>
      </c>
      <c r="LC32" s="28">
        <v>11.417999999999999</v>
      </c>
      <c r="LD32" s="28">
        <v>11.442399999999999</v>
      </c>
      <c r="LE32" s="28">
        <v>11.2797</v>
      </c>
      <c r="LF32" s="28">
        <v>11.1363</v>
      </c>
      <c r="LG32" s="22">
        <v>26</v>
      </c>
      <c r="LJ32" s="22">
        <v>26</v>
      </c>
      <c r="LK32" s="28">
        <v>10.770799999999999</v>
      </c>
      <c r="LL32" s="28">
        <v>10.9815</v>
      </c>
      <c r="LM32" s="28">
        <v>10.800800000000001</v>
      </c>
      <c r="LN32" s="28">
        <v>10.434799999999999</v>
      </c>
      <c r="LO32" s="28">
        <v>10.238300000000001</v>
      </c>
      <c r="LP32" s="28">
        <v>10.518800000000001</v>
      </c>
      <c r="LQ32" s="28">
        <v>10.520300000000001</v>
      </c>
      <c r="LR32" s="28">
        <v>10.861499999999999</v>
      </c>
      <c r="LS32" s="28">
        <v>10.797499999999999</v>
      </c>
      <c r="LT32" s="28">
        <v>11.180999999999999</v>
      </c>
      <c r="LU32" s="28">
        <v>11.2879</v>
      </c>
      <c r="LV32" s="28">
        <v>11.269600000000001</v>
      </c>
      <c r="LW32" s="22">
        <v>26</v>
      </c>
      <c r="LZ32" s="22">
        <v>26</v>
      </c>
      <c r="MA32" s="28">
        <v>9.1227</v>
      </c>
      <c r="MB32" s="28">
        <v>9.1060999999999996</v>
      </c>
      <c r="MC32" s="28">
        <v>9.0403000000000002</v>
      </c>
      <c r="MD32" s="28">
        <v>9.2908000000000008</v>
      </c>
      <c r="ME32" s="28">
        <v>9.5165000000000006</v>
      </c>
      <c r="MF32" s="28">
        <v>9.9359999999999999</v>
      </c>
      <c r="MG32" s="28">
        <v>9.7018000000000004</v>
      </c>
      <c r="MH32" s="28">
        <v>9.8388000000000009</v>
      </c>
      <c r="MI32" s="28">
        <v>10.2425</v>
      </c>
      <c r="MJ32" s="28">
        <v>9.9467999999999996</v>
      </c>
      <c r="MK32" s="28">
        <v>10.1333</v>
      </c>
      <c r="ML32" s="28">
        <v>10.1907</v>
      </c>
      <c r="MM32" s="22">
        <v>26</v>
      </c>
      <c r="MP32" s="22">
        <v>26</v>
      </c>
      <c r="MQ32" s="28">
        <v>9.6922999999999995</v>
      </c>
      <c r="MR32" s="28">
        <v>9.7278000000000002</v>
      </c>
      <c r="MS32" s="28">
        <v>9.5722000000000005</v>
      </c>
      <c r="MT32" s="28">
        <v>9.2767999999999997</v>
      </c>
      <c r="MU32" s="28">
        <v>9.0805000000000007</v>
      </c>
      <c r="MV32" s="28">
        <v>9.0730000000000004</v>
      </c>
      <c r="MW32" s="28">
        <v>9.1087000000000007</v>
      </c>
      <c r="MX32" s="28">
        <v>9.1204999999999998</v>
      </c>
      <c r="MY32" s="28">
        <v>9.4314999999999998</v>
      </c>
      <c r="MZ32" s="28">
        <v>9.2172999999999998</v>
      </c>
      <c r="NA32" s="28">
        <v>9.1547000000000001</v>
      </c>
      <c r="NB32" s="28">
        <v>9.1234999999999999</v>
      </c>
      <c r="NC32" s="22">
        <v>26</v>
      </c>
      <c r="NF32" s="22">
        <v>26</v>
      </c>
      <c r="NG32" s="28">
        <v>9.4838000000000005</v>
      </c>
      <c r="NH32" s="28">
        <v>9.3797999999999995</v>
      </c>
      <c r="NI32" s="28">
        <v>9.2398000000000007</v>
      </c>
      <c r="NJ32" s="28">
        <v>9.4443000000000001</v>
      </c>
      <c r="NK32" s="28">
        <v>9.5327999999999999</v>
      </c>
      <c r="NL32" s="28">
        <v>9.8706999999999994</v>
      </c>
      <c r="NM32" s="28">
        <v>9.3337000000000003</v>
      </c>
      <c r="NN32" s="28">
        <v>9.2268000000000008</v>
      </c>
      <c r="NO32" s="28">
        <v>9.4789999999999992</v>
      </c>
      <c r="NP32" s="28">
        <v>9.5756999999999994</v>
      </c>
      <c r="NQ32" s="28">
        <v>9.4056999999999995</v>
      </c>
      <c r="NR32" s="28">
        <v>9.5726999999999993</v>
      </c>
      <c r="NS32" s="22">
        <v>26</v>
      </c>
      <c r="NV32" s="22">
        <v>26</v>
      </c>
      <c r="NW32" s="28">
        <v>10.201700000000001</v>
      </c>
      <c r="NX32" s="28">
        <v>9.9357000000000006</v>
      </c>
      <c r="NY32" s="28">
        <v>9.6917000000000009</v>
      </c>
      <c r="NZ32" s="28">
        <v>9.3316999999999997</v>
      </c>
      <c r="OA32" s="28">
        <v>9.3844999999999992</v>
      </c>
      <c r="OB32" s="28">
        <v>9.4589999999999996</v>
      </c>
      <c r="OC32" s="28">
        <v>9.3745999999999992</v>
      </c>
      <c r="OD32" s="28">
        <v>9.3309999999999995</v>
      </c>
      <c r="OE32" s="28">
        <v>9.3055000000000003</v>
      </c>
      <c r="OF32" s="28">
        <v>9.6029999999999998</v>
      </c>
      <c r="OG32" s="28">
        <v>9.3194999999999997</v>
      </c>
      <c r="OH32" s="28">
        <v>9.3695000000000004</v>
      </c>
      <c r="OI32" s="22">
        <v>26</v>
      </c>
      <c r="OL32" s="22">
        <v>26</v>
      </c>
      <c r="OM32" s="28">
        <v>8.3320000000000007</v>
      </c>
      <c r="ON32" s="28">
        <v>8.6140000000000008</v>
      </c>
      <c r="OO32" s="28">
        <v>8.5410000000000004</v>
      </c>
      <c r="OP32" s="28">
        <v>8.4702999999999999</v>
      </c>
      <c r="OQ32" s="28">
        <v>8.6402000000000001</v>
      </c>
      <c r="OR32" s="28">
        <v>8.9252000000000002</v>
      </c>
      <c r="OS32" s="28">
        <v>8.8646999999999991</v>
      </c>
      <c r="OT32" s="28">
        <v>9.6457999999999995</v>
      </c>
      <c r="OU32" s="28">
        <v>10.111700000000001</v>
      </c>
      <c r="OV32" s="28">
        <v>9.9930000000000003</v>
      </c>
      <c r="OW32" s="28">
        <v>9.9145000000000003</v>
      </c>
      <c r="OX32" s="28">
        <v>9.8103999999999996</v>
      </c>
      <c r="OY32" s="22">
        <v>26</v>
      </c>
      <c r="PB32" s="22">
        <v>26</v>
      </c>
      <c r="PC32" s="28">
        <v>7.7912999999999997</v>
      </c>
      <c r="PD32" s="28">
        <v>7.7502000000000004</v>
      </c>
      <c r="PE32" s="28">
        <v>7.8958000000000004</v>
      </c>
      <c r="PF32" s="28">
        <v>7.8544999999999998</v>
      </c>
      <c r="PG32" s="28">
        <v>7.8689</v>
      </c>
      <c r="PH32" s="28">
        <v>7.9413</v>
      </c>
      <c r="PI32" s="28">
        <v>7.8312999999999997</v>
      </c>
      <c r="PJ32" s="28">
        <v>7.7904999999999998</v>
      </c>
      <c r="PK32" s="28">
        <v>7.8243</v>
      </c>
      <c r="PL32" s="28">
        <v>7.7629999999999999</v>
      </c>
      <c r="PM32" s="28">
        <v>8.2352000000000007</v>
      </c>
      <c r="PN32" s="28">
        <v>8.1267999999999994</v>
      </c>
      <c r="PO32" s="22">
        <v>26</v>
      </c>
      <c r="PR32" s="22">
        <v>26</v>
      </c>
      <c r="PS32" s="28">
        <v>7.4215</v>
      </c>
      <c r="PT32" s="28">
        <v>7.5476999999999999</v>
      </c>
      <c r="PU32" s="28">
        <v>7.56</v>
      </c>
      <c r="PV32" s="28">
        <v>7.4329999999999998</v>
      </c>
      <c r="PW32" s="28">
        <v>7.3822999999999999</v>
      </c>
      <c r="PX32" s="28">
        <v>7.6352000000000002</v>
      </c>
      <c r="PY32" s="28">
        <v>7.6116999999999999</v>
      </c>
      <c r="PZ32" s="28">
        <v>7.4756999999999998</v>
      </c>
      <c r="QA32" s="28">
        <v>7.5364000000000004</v>
      </c>
      <c r="QB32" s="28">
        <v>7.8296999999999999</v>
      </c>
      <c r="QC32" s="28">
        <v>7.87</v>
      </c>
      <c r="QD32" s="28">
        <v>7.8343999999999996</v>
      </c>
      <c r="QE32" s="22">
        <v>26</v>
      </c>
      <c r="QH32" s="22">
        <v>26</v>
      </c>
      <c r="QI32" s="28">
        <v>5.8075000000000001</v>
      </c>
      <c r="QJ32" s="28">
        <v>5.6749999999999998</v>
      </c>
      <c r="QK32" s="28">
        <v>7.0425000000000004</v>
      </c>
      <c r="QL32" s="28">
        <v>5.9349999999999996</v>
      </c>
      <c r="QM32" s="28">
        <v>6.0350000000000001</v>
      </c>
      <c r="QN32" s="28">
        <v>6.2424999999999997</v>
      </c>
      <c r="QO32" s="28">
        <v>6.1054000000000004</v>
      </c>
      <c r="QP32" s="28">
        <v>6.3167</v>
      </c>
      <c r="QQ32" s="28">
        <v>6.3685</v>
      </c>
      <c r="QR32" s="28">
        <v>6.7607999999999997</v>
      </c>
      <c r="QS32" s="28">
        <v>7.6349999999999998</v>
      </c>
      <c r="QT32" s="28">
        <v>7.5857999999999999</v>
      </c>
      <c r="QU32" s="22">
        <v>26</v>
      </c>
      <c r="QX32" s="22">
        <v>26</v>
      </c>
      <c r="QY32" s="28">
        <v>3.1055999999999999</v>
      </c>
      <c r="QZ32" s="28">
        <v>3.2075</v>
      </c>
      <c r="RA32" s="28">
        <v>3.3353000000000002</v>
      </c>
      <c r="RB32" s="28">
        <v>3.3679000000000001</v>
      </c>
      <c r="RC32" s="28">
        <v>3.2919</v>
      </c>
      <c r="RD32" s="28">
        <v>3.3855</v>
      </c>
      <c r="RE32" s="28">
        <v>3.4060000000000001</v>
      </c>
      <c r="RF32" s="28">
        <v>3.3555000000000001</v>
      </c>
      <c r="RG32" s="28">
        <v>3.4087999999999998</v>
      </c>
      <c r="RH32" s="28">
        <v>3.4199000000000002</v>
      </c>
      <c r="RI32" s="28">
        <v>3.448</v>
      </c>
      <c r="RJ32" s="28">
        <v>4.8875000000000002</v>
      </c>
      <c r="RK32" s="22">
        <v>26</v>
      </c>
      <c r="RN32" s="22">
        <v>26</v>
      </c>
      <c r="RO32" s="28">
        <v>3.1044</v>
      </c>
      <c r="RP32" s="28">
        <v>3.0937999999999999</v>
      </c>
      <c r="RQ32" s="28">
        <v>3.1118999999999999</v>
      </c>
      <c r="RR32" s="28">
        <v>3.0937000000000001</v>
      </c>
      <c r="RS32" s="28">
        <v>3.1172</v>
      </c>
      <c r="RT32" s="28">
        <v>3.1160000000000001</v>
      </c>
      <c r="RU32" s="28">
        <v>3.1229</v>
      </c>
      <c r="RV32" s="28">
        <v>3.1109</v>
      </c>
      <c r="RW32" s="28">
        <v>3.1124000000000001</v>
      </c>
      <c r="RX32" s="28">
        <v>3.1124999999999998</v>
      </c>
      <c r="RY32" s="28">
        <v>3.1021000000000001</v>
      </c>
      <c r="RZ32" s="28">
        <v>3.1110000000000002</v>
      </c>
      <c r="SA32" s="22">
        <v>26</v>
      </c>
      <c r="SD32" s="22">
        <v>26</v>
      </c>
      <c r="SE32" s="28">
        <v>3.0735999999999999</v>
      </c>
      <c r="SF32" s="28">
        <v>3.0621</v>
      </c>
      <c r="SG32" s="28">
        <v>3.0706000000000002</v>
      </c>
      <c r="SH32" s="28">
        <v>3.0855999999999999</v>
      </c>
      <c r="SI32" s="28">
        <v>3.1030000000000002</v>
      </c>
      <c r="SJ32" s="28">
        <v>3.1225000000000001</v>
      </c>
      <c r="SK32" s="28">
        <v>3.1113</v>
      </c>
      <c r="SL32" s="28">
        <v>3.0855000000000001</v>
      </c>
      <c r="SM32" s="28">
        <v>3.1040000000000001</v>
      </c>
      <c r="SN32" s="28">
        <v>3.1252</v>
      </c>
      <c r="SO32" s="28">
        <v>3.1193</v>
      </c>
      <c r="SP32" s="28">
        <v>3.1194999999999999</v>
      </c>
      <c r="SQ32" s="22">
        <v>26</v>
      </c>
      <c r="ST32" s="22">
        <v>26</v>
      </c>
      <c r="SU32" s="28">
        <v>2.9561999999999999</v>
      </c>
      <c r="SV32" s="28">
        <v>2.9678</v>
      </c>
      <c r="SW32" s="28">
        <v>2.9790000000000001</v>
      </c>
      <c r="SX32" s="28">
        <v>2.9922</v>
      </c>
      <c r="SY32" s="28">
        <v>3.0038</v>
      </c>
      <c r="SZ32" s="28">
        <v>3.0165999999999999</v>
      </c>
      <c r="TA32" s="28">
        <v>3.0286</v>
      </c>
      <c r="TB32" s="28">
        <v>3.0402</v>
      </c>
      <c r="TC32" s="28">
        <v>3.0541999999999998</v>
      </c>
      <c r="TD32" s="28">
        <v>3.0670000000000002</v>
      </c>
      <c r="TE32" s="28">
        <v>3.06115</v>
      </c>
      <c r="TF32" s="28">
        <v>3.08413</v>
      </c>
      <c r="TG32" s="22">
        <v>26</v>
      </c>
      <c r="TJ32" s="22">
        <v>26</v>
      </c>
      <c r="TK32" s="28">
        <v>2.6680000000000001</v>
      </c>
      <c r="TL32" s="28">
        <v>2.6970000000000001</v>
      </c>
      <c r="TM32" s="28">
        <v>2.7250000000000001</v>
      </c>
      <c r="TN32" s="28">
        <v>2.758</v>
      </c>
      <c r="TO32" s="28">
        <v>2.7879999999999998</v>
      </c>
      <c r="TP32" s="28">
        <v>2.8121999999999998</v>
      </c>
      <c r="TQ32" s="28">
        <v>2.8378000000000001</v>
      </c>
      <c r="TR32" s="28">
        <v>2.8618000000000001</v>
      </c>
      <c r="TS32" s="28">
        <v>2.8874</v>
      </c>
      <c r="TT32" s="28">
        <v>2.9114</v>
      </c>
      <c r="TU32" s="28">
        <v>2.931</v>
      </c>
      <c r="TV32" s="28">
        <v>2.9438</v>
      </c>
      <c r="TW32" s="22">
        <v>26</v>
      </c>
      <c r="TZ32" s="22">
        <v>26</v>
      </c>
      <c r="UA32" s="28">
        <v>2.3029999999999999</v>
      </c>
      <c r="UB32" s="28">
        <v>2.3330000000000002</v>
      </c>
      <c r="UC32" s="28">
        <v>2.3610000000000002</v>
      </c>
      <c r="UD32" s="28">
        <v>2.3929999999999998</v>
      </c>
      <c r="UE32" s="28">
        <v>2.423</v>
      </c>
      <c r="UF32" s="28">
        <v>2.452</v>
      </c>
      <c r="UG32" s="28">
        <v>2.484</v>
      </c>
      <c r="UH32" s="28">
        <v>2.5150000000000001</v>
      </c>
      <c r="UI32" s="28">
        <v>2.544</v>
      </c>
      <c r="UJ32" s="28">
        <v>2.5760000000000001</v>
      </c>
      <c r="UK32" s="28">
        <v>2.6059999999999999</v>
      </c>
      <c r="UL32" s="28">
        <v>2.6349999999999998</v>
      </c>
      <c r="UM32" s="22">
        <v>26</v>
      </c>
    </row>
    <row r="33" spans="2:559" s="7" customFormat="1" ht="19.2">
      <c r="B33" s="22">
        <v>27</v>
      </c>
      <c r="C33" s="28">
        <v>18.82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2">
        <v>27</v>
      </c>
      <c r="R33" s="22">
        <v>27</v>
      </c>
      <c r="S33" s="28">
        <v>20.668299999999999</v>
      </c>
      <c r="T33" s="28">
        <v>20.6525</v>
      </c>
      <c r="U33" s="28">
        <v>20.1313</v>
      </c>
      <c r="V33" s="28">
        <v>20.299199999999999</v>
      </c>
      <c r="W33" s="28">
        <v>19.837700000000002</v>
      </c>
      <c r="X33" s="28">
        <v>20.0365</v>
      </c>
      <c r="Y33" s="28">
        <v>20.465199999999999</v>
      </c>
      <c r="Z33" s="28">
        <v>19.9437</v>
      </c>
      <c r="AA33" s="28">
        <v>20.162700000000001</v>
      </c>
      <c r="AB33" s="28">
        <v>19.871200000000002</v>
      </c>
      <c r="AC33" s="28">
        <v>19.369199999999999</v>
      </c>
      <c r="AD33" s="28">
        <v>19.428699999999999</v>
      </c>
      <c r="AE33" s="22">
        <v>27</v>
      </c>
      <c r="AH33" s="22">
        <v>27</v>
      </c>
      <c r="AI33" s="28">
        <v>20.159800000000001</v>
      </c>
      <c r="AJ33" s="28">
        <v>20.8523</v>
      </c>
      <c r="AK33" s="28">
        <v>20.766200000000001</v>
      </c>
      <c r="AL33" s="28">
        <v>19.869499999999999</v>
      </c>
      <c r="AM33" s="28">
        <v>19.8903</v>
      </c>
      <c r="AN33" s="28">
        <v>20.048300000000001</v>
      </c>
      <c r="AO33" s="28">
        <v>20.023800000000001</v>
      </c>
      <c r="AP33" s="28">
        <v>20.293299999999999</v>
      </c>
      <c r="AQ33" s="28">
        <v>20.027999999999999</v>
      </c>
      <c r="AR33" s="28">
        <v>20.189699999999998</v>
      </c>
      <c r="AS33" s="28">
        <v>21.546199999999999</v>
      </c>
      <c r="AT33" s="28">
        <v>20.658200000000001</v>
      </c>
      <c r="AU33" s="22">
        <v>27</v>
      </c>
      <c r="AV33" s="8"/>
      <c r="AW33" s="8"/>
      <c r="AX33" s="22">
        <v>27</v>
      </c>
      <c r="AY33" s="28">
        <v>18.8018</v>
      </c>
      <c r="AZ33" s="28">
        <v>19.087800000000001</v>
      </c>
      <c r="BA33" s="28">
        <v>24.294799999999999</v>
      </c>
      <c r="BB33" s="28">
        <v>24.623000000000001</v>
      </c>
      <c r="BC33" s="28">
        <v>22.562999999999999</v>
      </c>
      <c r="BD33" s="28">
        <v>22.796299999999999</v>
      </c>
      <c r="BE33" s="28">
        <v>22.3627</v>
      </c>
      <c r="BF33" s="28">
        <v>21.972300000000001</v>
      </c>
      <c r="BG33" s="28">
        <v>22.367799999999999</v>
      </c>
      <c r="BH33" s="28">
        <v>20.920500000000001</v>
      </c>
      <c r="BI33" s="28">
        <v>20.046500000000002</v>
      </c>
      <c r="BJ33" s="28">
        <v>20.1175</v>
      </c>
      <c r="BK33" s="22">
        <v>27</v>
      </c>
      <c r="BN33" s="22">
        <v>27</v>
      </c>
      <c r="BO33" s="28">
        <v>18.985900000000001</v>
      </c>
      <c r="BP33" s="28">
        <v>19.118500000000001</v>
      </c>
      <c r="BQ33" s="28">
        <v>19.0151</v>
      </c>
      <c r="BR33" s="28">
        <v>19.094200000000001</v>
      </c>
      <c r="BS33" s="28">
        <v>19.0122</v>
      </c>
      <c r="BT33" s="28">
        <v>19.2271</v>
      </c>
      <c r="BU33" s="28">
        <v>19.0623</v>
      </c>
      <c r="BV33" s="28">
        <v>19.840199999999999</v>
      </c>
      <c r="BW33" s="28">
        <v>19.577500000000001</v>
      </c>
      <c r="BX33" s="28">
        <v>19.087800000000001</v>
      </c>
      <c r="BY33" s="28">
        <v>19.4468</v>
      </c>
      <c r="BZ33" s="28">
        <v>18.964300000000001</v>
      </c>
      <c r="CA33" s="22">
        <v>27</v>
      </c>
      <c r="CD33" s="22">
        <v>27</v>
      </c>
      <c r="CE33" s="28">
        <v>18.478000000000002</v>
      </c>
      <c r="CF33" s="28">
        <v>18.565899999999999</v>
      </c>
      <c r="CG33" s="28">
        <v>18.5364</v>
      </c>
      <c r="CH33" s="28">
        <v>19.053000000000001</v>
      </c>
      <c r="CI33" s="28">
        <v>19.704799999999999</v>
      </c>
      <c r="CJ33" s="28">
        <v>20.090800000000002</v>
      </c>
      <c r="CK33" s="28">
        <v>18.770900000000001</v>
      </c>
      <c r="CL33" s="28">
        <v>18.8672</v>
      </c>
      <c r="CM33" s="28">
        <v>18.986999999999998</v>
      </c>
      <c r="CN33" s="28">
        <v>19.438300000000002</v>
      </c>
      <c r="CO33" s="28">
        <v>20.3935</v>
      </c>
      <c r="CP33" s="28">
        <v>19.847300000000001</v>
      </c>
      <c r="CQ33" s="22">
        <v>27</v>
      </c>
      <c r="CT33" s="22">
        <v>27</v>
      </c>
      <c r="CU33" s="28">
        <v>21.343900000000001</v>
      </c>
      <c r="CV33" s="28">
        <v>19.7011</v>
      </c>
      <c r="CW33" s="28">
        <v>18.9877</v>
      </c>
      <c r="CX33" s="28">
        <v>18.922499999999999</v>
      </c>
      <c r="CY33" s="28">
        <v>18.418500000000002</v>
      </c>
      <c r="CZ33" s="28">
        <v>17.989999999999998</v>
      </c>
      <c r="DA33" s="28">
        <v>17.749199999999998</v>
      </c>
      <c r="DB33" s="28">
        <v>17.697700000000001</v>
      </c>
      <c r="DC33" s="28">
        <v>17.883099999999999</v>
      </c>
      <c r="DD33" s="28">
        <v>19.077000000000002</v>
      </c>
      <c r="DE33" s="28">
        <v>18.604099999999999</v>
      </c>
      <c r="DF33" s="28">
        <v>19.584800000000001</v>
      </c>
      <c r="DG33" s="22">
        <v>27</v>
      </c>
      <c r="DJ33" s="22">
        <v>27</v>
      </c>
      <c r="DK33" s="28">
        <v>18.5352</v>
      </c>
      <c r="DL33" s="28">
        <v>18.167999999999999</v>
      </c>
      <c r="DM33" s="28">
        <v>17.336099999999998</v>
      </c>
      <c r="DN33" s="28">
        <v>17.586600000000001</v>
      </c>
      <c r="DO33" s="28">
        <v>18.452000000000002</v>
      </c>
      <c r="DP33" s="28">
        <v>18.320699999999999</v>
      </c>
      <c r="DQ33" s="28">
        <v>18.756900000000002</v>
      </c>
      <c r="DR33" s="28">
        <v>18.446000000000002</v>
      </c>
      <c r="DS33" s="28">
        <v>19.7211</v>
      </c>
      <c r="DT33" s="28">
        <v>18.514700000000001</v>
      </c>
      <c r="DU33" s="28">
        <v>20.705100000000002</v>
      </c>
      <c r="DV33" s="28">
        <v>20.627099999999999</v>
      </c>
      <c r="DW33" s="22">
        <v>27</v>
      </c>
      <c r="DZ33" s="22">
        <v>27</v>
      </c>
      <c r="EA33" s="28">
        <v>14.649900000000001</v>
      </c>
      <c r="EB33" s="28">
        <v>14.922800000000001</v>
      </c>
      <c r="EC33" s="28">
        <v>14.952400000000001</v>
      </c>
      <c r="ED33" s="28">
        <v>15.353899999999999</v>
      </c>
      <c r="EE33" s="28">
        <v>15.263500000000001</v>
      </c>
      <c r="EF33" s="28">
        <v>15.455500000000001</v>
      </c>
      <c r="EG33" s="28">
        <v>16.098800000000001</v>
      </c>
      <c r="EH33" s="28">
        <v>16.985900000000001</v>
      </c>
      <c r="EI33" s="28">
        <v>17.045300000000001</v>
      </c>
      <c r="EJ33" s="28">
        <v>16.5138</v>
      </c>
      <c r="EK33" s="28">
        <v>16.5548</v>
      </c>
      <c r="EL33" s="28">
        <v>17.1953</v>
      </c>
      <c r="EM33" s="22">
        <v>27</v>
      </c>
      <c r="EP33" s="22">
        <v>27</v>
      </c>
      <c r="EQ33" s="28">
        <v>13.372199999999999</v>
      </c>
      <c r="ER33" s="28">
        <v>13.2248</v>
      </c>
      <c r="ES33" s="28">
        <v>13.1349</v>
      </c>
      <c r="ET33" s="28">
        <v>13.101000000000001</v>
      </c>
      <c r="EU33" s="28">
        <v>12.865600000000001</v>
      </c>
      <c r="EV33" s="28">
        <v>13.0174</v>
      </c>
      <c r="EW33" s="28">
        <v>12.9572</v>
      </c>
      <c r="EX33" s="28">
        <v>13.138299999999999</v>
      </c>
      <c r="EY33" s="28">
        <v>13.3848</v>
      </c>
      <c r="EZ33" s="28">
        <v>13.5288</v>
      </c>
      <c r="FA33" s="28">
        <v>13.641999999999999</v>
      </c>
      <c r="FB33" s="28">
        <v>14.742900000000001</v>
      </c>
      <c r="FC33" s="22">
        <v>27</v>
      </c>
      <c r="FF33" s="22">
        <v>27</v>
      </c>
      <c r="FG33" s="28">
        <v>12.6286</v>
      </c>
      <c r="FH33" s="28">
        <v>12.7028</v>
      </c>
      <c r="FI33" s="28">
        <v>12.357900000000001</v>
      </c>
      <c r="FJ33" s="28">
        <v>12.123100000000001</v>
      </c>
      <c r="FK33" s="28">
        <v>12.4764</v>
      </c>
      <c r="FL33" s="28">
        <v>13.2424</v>
      </c>
      <c r="FM33" s="28">
        <v>12.646800000000001</v>
      </c>
      <c r="FN33" s="28">
        <v>12.9979</v>
      </c>
      <c r="FO33" s="28">
        <v>12.952999999999999</v>
      </c>
      <c r="FP33" s="28">
        <v>12.9916</v>
      </c>
      <c r="FQ33" s="28">
        <v>13.0267</v>
      </c>
      <c r="FR33" s="28">
        <v>13.02</v>
      </c>
      <c r="FS33" s="22">
        <v>27</v>
      </c>
      <c r="FV33" s="22">
        <v>27</v>
      </c>
      <c r="FW33" s="28">
        <v>13.1319</v>
      </c>
      <c r="FX33" s="28">
        <v>12.8294</v>
      </c>
      <c r="FY33" s="28">
        <v>12.8035</v>
      </c>
      <c r="FZ33" s="28">
        <v>13.166700000000001</v>
      </c>
      <c r="GA33" s="28">
        <v>14.004</v>
      </c>
      <c r="GB33" s="28">
        <v>13.9542</v>
      </c>
      <c r="GC33" s="28">
        <v>13.6541</v>
      </c>
      <c r="GD33" s="28">
        <v>13.128399999999999</v>
      </c>
      <c r="GE33" s="28">
        <v>12.8233</v>
      </c>
      <c r="GF33" s="28">
        <v>12.966900000000001</v>
      </c>
      <c r="GG33" s="28">
        <v>12.979900000000001</v>
      </c>
      <c r="GH33" s="28">
        <v>12.9764</v>
      </c>
      <c r="GI33" s="22">
        <v>27</v>
      </c>
      <c r="GL33" s="22">
        <v>27</v>
      </c>
      <c r="GM33" s="28">
        <v>12.085599999999999</v>
      </c>
      <c r="GN33" s="28">
        <v>12.173</v>
      </c>
      <c r="GO33" s="28">
        <v>11.955500000000001</v>
      </c>
      <c r="GP33" s="28">
        <v>11.6294</v>
      </c>
      <c r="GQ33" s="28">
        <v>11.694800000000001</v>
      </c>
      <c r="GR33" s="28">
        <v>11.881600000000001</v>
      </c>
      <c r="GS33" s="28">
        <v>11.664099999999999</v>
      </c>
      <c r="GT33" s="28">
        <v>12.4259</v>
      </c>
      <c r="GU33" s="28">
        <v>13.7788</v>
      </c>
      <c r="GV33" s="28">
        <v>13.4459</v>
      </c>
      <c r="GW33" s="28">
        <v>14.1778</v>
      </c>
      <c r="GX33" s="28">
        <v>13.8163</v>
      </c>
      <c r="GY33" s="22">
        <v>27</v>
      </c>
      <c r="HB33" s="22">
        <v>27</v>
      </c>
      <c r="HC33" s="28">
        <v>12.9018</v>
      </c>
      <c r="HD33" s="28">
        <v>12.850300000000001</v>
      </c>
      <c r="HE33" s="28">
        <v>12.5009</v>
      </c>
      <c r="HF33" s="28">
        <v>12.1973</v>
      </c>
      <c r="HG33" s="28">
        <v>13.181900000000001</v>
      </c>
      <c r="HH33" s="28">
        <v>12.7141</v>
      </c>
      <c r="HI33" s="28">
        <v>12.774900000000001</v>
      </c>
      <c r="HJ33" s="28">
        <v>13.045299999999999</v>
      </c>
      <c r="HK33" s="28">
        <v>12.642200000000001</v>
      </c>
      <c r="HL33" s="28">
        <v>12.320499999999999</v>
      </c>
      <c r="HM33" s="28">
        <v>12.366899999999999</v>
      </c>
      <c r="HN33" s="28">
        <v>12.3332</v>
      </c>
      <c r="HO33" s="22">
        <v>27</v>
      </c>
      <c r="HR33" s="22">
        <v>27</v>
      </c>
      <c r="HS33" s="28">
        <v>14.095000000000001</v>
      </c>
      <c r="HT33" s="28">
        <v>14.9275</v>
      </c>
      <c r="HU33" s="28">
        <v>14.235799999999999</v>
      </c>
      <c r="HV33" s="28">
        <v>13.309900000000001</v>
      </c>
      <c r="HW33" s="28">
        <v>13.137499999999999</v>
      </c>
      <c r="HX33" s="28">
        <v>13.277799999999999</v>
      </c>
      <c r="HY33" s="28">
        <v>13.1915</v>
      </c>
      <c r="HZ33" s="28">
        <v>12.897500000000001</v>
      </c>
      <c r="IA33" s="28">
        <v>13.4549</v>
      </c>
      <c r="IB33" s="28">
        <v>12.979799999999999</v>
      </c>
      <c r="IC33" s="28">
        <v>12.866</v>
      </c>
      <c r="ID33" s="28">
        <v>12.8896</v>
      </c>
      <c r="IE33" s="22">
        <v>27</v>
      </c>
      <c r="IH33" s="22">
        <v>27</v>
      </c>
      <c r="II33" s="28">
        <v>10.8934</v>
      </c>
      <c r="IJ33" s="28">
        <v>10.785500000000001</v>
      </c>
      <c r="IK33" s="28">
        <v>10.6793</v>
      </c>
      <c r="IL33" s="28">
        <v>10.462</v>
      </c>
      <c r="IM33" s="28">
        <v>10.4</v>
      </c>
      <c r="IN33" s="28">
        <v>10.293799999999999</v>
      </c>
      <c r="IO33" s="28">
        <v>10.026400000000001</v>
      </c>
      <c r="IP33" s="28">
        <v>10.1183</v>
      </c>
      <c r="IQ33" s="28">
        <v>10.7653</v>
      </c>
      <c r="IR33" s="28">
        <v>13.5025</v>
      </c>
      <c r="IS33" s="28">
        <v>13.3142</v>
      </c>
      <c r="IT33" s="28">
        <v>13.311400000000001</v>
      </c>
      <c r="IU33" s="22">
        <v>27</v>
      </c>
      <c r="IX33" s="22">
        <v>27</v>
      </c>
      <c r="IY33" s="28">
        <v>10.975300000000001</v>
      </c>
      <c r="IZ33" s="28">
        <v>11.0397</v>
      </c>
      <c r="JA33" s="28">
        <v>11.0166</v>
      </c>
      <c r="JB33" s="28">
        <v>10.9369</v>
      </c>
      <c r="JC33" s="28">
        <v>10.8354</v>
      </c>
      <c r="JD33" s="28">
        <v>10.818899999999999</v>
      </c>
      <c r="JE33" s="28">
        <v>10.8712</v>
      </c>
      <c r="JF33" s="28">
        <v>11.0489</v>
      </c>
      <c r="JG33" s="28">
        <v>10.9438</v>
      </c>
      <c r="JH33" s="28">
        <v>10.8291</v>
      </c>
      <c r="JI33" s="28">
        <v>10.9733</v>
      </c>
      <c r="JJ33" s="28">
        <v>10.8132</v>
      </c>
      <c r="JK33" s="22">
        <v>27</v>
      </c>
      <c r="JN33" s="22">
        <v>27</v>
      </c>
      <c r="JO33" s="28">
        <v>10.500400000000001</v>
      </c>
      <c r="JP33" s="28">
        <v>10.4885</v>
      </c>
      <c r="JQ33" s="28">
        <v>10.8612</v>
      </c>
      <c r="JR33" s="28">
        <v>11.084199999999999</v>
      </c>
      <c r="JS33" s="28">
        <v>11.2097</v>
      </c>
      <c r="JT33" s="28">
        <v>11.4382</v>
      </c>
      <c r="JU33" s="28">
        <v>10.9148</v>
      </c>
      <c r="JV33" s="28">
        <v>10.922000000000001</v>
      </c>
      <c r="JW33" s="28">
        <v>11.105</v>
      </c>
      <c r="JX33" s="28">
        <v>10.7918</v>
      </c>
      <c r="JY33" s="28">
        <v>10.9682</v>
      </c>
      <c r="JZ33" s="28">
        <v>10.8597</v>
      </c>
      <c r="KA33" s="22">
        <v>27</v>
      </c>
      <c r="KD33" s="22">
        <v>27</v>
      </c>
      <c r="KE33" s="28">
        <v>11.289</v>
      </c>
      <c r="KF33" s="28">
        <v>11.095499999999999</v>
      </c>
      <c r="KG33" s="28">
        <v>11.1898</v>
      </c>
      <c r="KH33" s="28">
        <v>11.0571</v>
      </c>
      <c r="KI33" s="28">
        <v>10.937200000000001</v>
      </c>
      <c r="KJ33" s="28">
        <v>10.7897</v>
      </c>
      <c r="KK33" s="28">
        <v>10.6683</v>
      </c>
      <c r="KL33" s="28">
        <v>10.815300000000001</v>
      </c>
      <c r="KM33" s="28">
        <v>10.8475</v>
      </c>
      <c r="KN33" s="28">
        <v>10.841699999999999</v>
      </c>
      <c r="KO33" s="28">
        <v>10.6083</v>
      </c>
      <c r="KP33" s="28">
        <v>10.6845</v>
      </c>
      <c r="KQ33" s="22">
        <v>27</v>
      </c>
      <c r="KT33" s="22">
        <v>27</v>
      </c>
      <c r="KU33" s="28">
        <v>10.962</v>
      </c>
      <c r="KV33" s="28">
        <v>11.0932</v>
      </c>
      <c r="KW33" s="28">
        <v>11.013</v>
      </c>
      <c r="KX33" s="28">
        <v>11.343299999999999</v>
      </c>
      <c r="KY33" s="28">
        <v>11.476000000000001</v>
      </c>
      <c r="KZ33" s="28">
        <v>11.3004</v>
      </c>
      <c r="LA33" s="28">
        <v>11.433999999999999</v>
      </c>
      <c r="LB33" s="28">
        <v>11.3712</v>
      </c>
      <c r="LC33" s="28">
        <v>11.417999999999999</v>
      </c>
      <c r="LD33" s="28">
        <v>11.515000000000001</v>
      </c>
      <c r="LE33" s="28">
        <v>11.2713</v>
      </c>
      <c r="LF33" s="28">
        <v>11.1363</v>
      </c>
      <c r="LG33" s="22">
        <v>27</v>
      </c>
      <c r="LJ33" s="22">
        <v>27</v>
      </c>
      <c r="LK33" s="28">
        <v>10.770799999999999</v>
      </c>
      <c r="LL33" s="28">
        <v>11.058400000000001</v>
      </c>
      <c r="LM33" s="28">
        <v>10.72</v>
      </c>
      <c r="LN33" s="28">
        <v>10.434799999999999</v>
      </c>
      <c r="LO33" s="28">
        <v>10.247299999999999</v>
      </c>
      <c r="LP33" s="28">
        <v>10.4734</v>
      </c>
      <c r="LQ33" s="28">
        <v>10.520300000000001</v>
      </c>
      <c r="LR33" s="28">
        <v>10.875299999999999</v>
      </c>
      <c r="LS33" s="28">
        <v>10.811500000000001</v>
      </c>
      <c r="LT33" s="28">
        <v>11.180999999999999</v>
      </c>
      <c r="LU33" s="28">
        <v>11.3398</v>
      </c>
      <c r="LV33" s="28">
        <v>11.2744</v>
      </c>
      <c r="LW33" s="22">
        <v>27</v>
      </c>
      <c r="LZ33" s="22">
        <v>27</v>
      </c>
      <c r="MA33" s="28">
        <v>9.1227</v>
      </c>
      <c r="MB33" s="28">
        <v>9.0831</v>
      </c>
      <c r="MC33" s="28">
        <v>9.0297999999999998</v>
      </c>
      <c r="MD33" s="28">
        <v>9.3528000000000002</v>
      </c>
      <c r="ME33" s="28">
        <v>9.5165000000000006</v>
      </c>
      <c r="MF33" s="28">
        <v>9.8202999999999996</v>
      </c>
      <c r="MG33" s="28">
        <v>9.7157999999999998</v>
      </c>
      <c r="MH33" s="28">
        <v>9.8488000000000007</v>
      </c>
      <c r="MI33" s="28">
        <v>10.256500000000001</v>
      </c>
      <c r="MJ33" s="28">
        <v>9.9467999999999996</v>
      </c>
      <c r="MK33" s="28">
        <v>10.1065</v>
      </c>
      <c r="ML33" s="28">
        <v>10.2014</v>
      </c>
      <c r="MM33" s="22">
        <v>27</v>
      </c>
      <c r="MP33" s="22">
        <v>27</v>
      </c>
      <c r="MQ33" s="28">
        <v>9.6829999999999998</v>
      </c>
      <c r="MR33" s="28">
        <v>9.7182999999999993</v>
      </c>
      <c r="MS33" s="28">
        <v>9.6539999999999999</v>
      </c>
      <c r="MT33" s="28">
        <v>9.3123000000000005</v>
      </c>
      <c r="MU33" s="28">
        <v>9.0805000000000007</v>
      </c>
      <c r="MV33" s="28">
        <v>9.0594999999999999</v>
      </c>
      <c r="MW33" s="28">
        <v>9.1599000000000004</v>
      </c>
      <c r="MX33" s="28">
        <v>9.1204999999999998</v>
      </c>
      <c r="MY33" s="28">
        <v>9.4841999999999995</v>
      </c>
      <c r="MZ33" s="28">
        <v>9.2469000000000001</v>
      </c>
      <c r="NA33" s="28">
        <v>9.1476000000000006</v>
      </c>
      <c r="NB33" s="28">
        <v>9.0922999999999998</v>
      </c>
      <c r="NC33" s="22">
        <v>27</v>
      </c>
      <c r="NF33" s="22">
        <v>27</v>
      </c>
      <c r="NG33" s="28">
        <v>9.5288000000000004</v>
      </c>
      <c r="NH33" s="28">
        <v>9.3797999999999995</v>
      </c>
      <c r="NI33" s="28">
        <v>9.2398000000000007</v>
      </c>
      <c r="NJ33" s="28">
        <v>9.4077999999999999</v>
      </c>
      <c r="NK33" s="28">
        <v>9.4939999999999998</v>
      </c>
      <c r="NL33" s="28">
        <v>9.9804999999999993</v>
      </c>
      <c r="NM33" s="28">
        <v>9.3657000000000004</v>
      </c>
      <c r="NN33" s="28">
        <v>9.2268000000000008</v>
      </c>
      <c r="NO33" s="28">
        <v>9.4217999999999993</v>
      </c>
      <c r="NP33" s="28">
        <v>9.6242000000000001</v>
      </c>
      <c r="NQ33" s="28">
        <v>9.4056999999999995</v>
      </c>
      <c r="NR33" s="28">
        <v>9.5980000000000008</v>
      </c>
      <c r="NS33" s="22">
        <v>27</v>
      </c>
      <c r="NV33" s="22">
        <v>27</v>
      </c>
      <c r="NW33" s="28">
        <v>10.2242</v>
      </c>
      <c r="NX33" s="28">
        <v>9.9835999999999991</v>
      </c>
      <c r="NY33" s="28">
        <v>9.6454000000000004</v>
      </c>
      <c r="NZ33" s="28">
        <v>9.3004999999999995</v>
      </c>
      <c r="OA33" s="28">
        <v>9.5467999999999993</v>
      </c>
      <c r="OB33" s="28">
        <v>9.4589999999999996</v>
      </c>
      <c r="OC33" s="28">
        <v>9.3856000000000002</v>
      </c>
      <c r="OD33" s="28">
        <v>9.3080999999999996</v>
      </c>
      <c r="OE33" s="28">
        <v>9.3055000000000003</v>
      </c>
      <c r="OF33" s="28">
        <v>9.6373999999999995</v>
      </c>
      <c r="OG33" s="28">
        <v>9.2944999999999993</v>
      </c>
      <c r="OH33" s="28">
        <v>9.3695000000000004</v>
      </c>
      <c r="OI33" s="22">
        <v>27</v>
      </c>
      <c r="OL33" s="22">
        <v>27</v>
      </c>
      <c r="OM33" s="28">
        <v>8.2939000000000007</v>
      </c>
      <c r="ON33" s="28">
        <v>8.5831999999999997</v>
      </c>
      <c r="OO33" s="28">
        <v>8.5282</v>
      </c>
      <c r="OP33" s="28">
        <v>8.4702999999999999</v>
      </c>
      <c r="OQ33" s="28">
        <v>8.6378000000000004</v>
      </c>
      <c r="OR33" s="28">
        <v>8.9536999999999995</v>
      </c>
      <c r="OS33" s="28">
        <v>8.8646999999999991</v>
      </c>
      <c r="OT33" s="28">
        <v>9.6000999999999994</v>
      </c>
      <c r="OU33" s="28">
        <v>10.111700000000001</v>
      </c>
      <c r="OV33" s="28">
        <v>10.035299999999999</v>
      </c>
      <c r="OW33" s="28">
        <v>9.9107000000000003</v>
      </c>
      <c r="OX33" s="28">
        <v>9.8103999999999996</v>
      </c>
      <c r="OY33" s="22">
        <v>27</v>
      </c>
      <c r="PB33" s="22">
        <v>27</v>
      </c>
      <c r="PC33" s="28">
        <v>7.7912999999999997</v>
      </c>
      <c r="PD33" s="28">
        <v>7.7556000000000003</v>
      </c>
      <c r="PE33" s="28">
        <v>7.8905000000000003</v>
      </c>
      <c r="PF33" s="28">
        <v>7.8544999999999998</v>
      </c>
      <c r="PG33" s="28">
        <v>7.8731</v>
      </c>
      <c r="PH33" s="28">
        <v>7.9482999999999997</v>
      </c>
      <c r="PI33" s="28">
        <v>7.8312999999999997</v>
      </c>
      <c r="PJ33" s="28">
        <v>7.7583000000000002</v>
      </c>
      <c r="PK33" s="28">
        <v>7.8071999999999999</v>
      </c>
      <c r="PL33" s="28">
        <v>7.7629999999999999</v>
      </c>
      <c r="PM33" s="28">
        <v>8.2357999999999993</v>
      </c>
      <c r="PN33" s="28">
        <v>8.1647999999999996</v>
      </c>
      <c r="PO33" s="22">
        <v>27</v>
      </c>
      <c r="PR33" s="22">
        <v>27</v>
      </c>
      <c r="PS33" s="28">
        <v>7.3867000000000003</v>
      </c>
      <c r="PT33" s="28">
        <v>7.5331000000000001</v>
      </c>
      <c r="PU33" s="28">
        <v>7.5484</v>
      </c>
      <c r="PV33" s="28">
        <v>7.3794000000000004</v>
      </c>
      <c r="PW33" s="28">
        <v>7.3822999999999999</v>
      </c>
      <c r="PX33" s="28">
        <v>7.6077000000000004</v>
      </c>
      <c r="PY33" s="28">
        <v>7.5903</v>
      </c>
      <c r="PZ33" s="28">
        <v>7.4829999999999997</v>
      </c>
      <c r="QA33" s="28">
        <v>7.5316999999999998</v>
      </c>
      <c r="QB33" s="28">
        <v>7.8296999999999999</v>
      </c>
      <c r="QC33" s="28">
        <v>7.9095000000000004</v>
      </c>
      <c r="QD33" s="28">
        <v>7.8324999999999996</v>
      </c>
      <c r="QE33" s="22">
        <v>27</v>
      </c>
      <c r="QH33" s="22">
        <v>27</v>
      </c>
      <c r="QI33" s="28">
        <v>5.7</v>
      </c>
      <c r="QJ33" s="28">
        <v>5.6749999999999998</v>
      </c>
      <c r="QK33" s="28">
        <v>7.0425000000000004</v>
      </c>
      <c r="QL33" s="28">
        <v>5.8883000000000001</v>
      </c>
      <c r="QM33" s="28">
        <v>6.0549999999999997</v>
      </c>
      <c r="QN33" s="28">
        <v>6.25</v>
      </c>
      <c r="QO33" s="28">
        <v>6.15</v>
      </c>
      <c r="QP33" s="28">
        <v>6.3167</v>
      </c>
      <c r="QQ33" s="28">
        <v>6.3917999999999999</v>
      </c>
      <c r="QR33" s="28">
        <v>6.8007999999999997</v>
      </c>
      <c r="QS33" s="28">
        <v>7.6349999999999998</v>
      </c>
      <c r="QT33" s="28">
        <v>7.5708000000000002</v>
      </c>
      <c r="QU33" s="22">
        <v>27</v>
      </c>
      <c r="QX33" s="22">
        <v>27</v>
      </c>
      <c r="QY33" s="28">
        <v>3.1057999999999999</v>
      </c>
      <c r="QZ33" s="28">
        <v>3.2075</v>
      </c>
      <c r="RA33" s="28">
        <v>3.3353000000000002</v>
      </c>
      <c r="RB33" s="28">
        <v>3.3073000000000001</v>
      </c>
      <c r="RC33" s="28">
        <v>3.3092999999999999</v>
      </c>
      <c r="RD33" s="28">
        <v>3.3855</v>
      </c>
      <c r="RE33" s="28">
        <v>3.4072</v>
      </c>
      <c r="RF33" s="28">
        <v>3.3671000000000002</v>
      </c>
      <c r="RG33" s="28">
        <v>3.3904999999999998</v>
      </c>
      <c r="RH33" s="28">
        <v>3.4285999999999999</v>
      </c>
      <c r="RI33" s="28">
        <v>3.448</v>
      </c>
      <c r="RJ33" s="28">
        <v>4.7374999999999998</v>
      </c>
      <c r="RK33" s="22">
        <v>27</v>
      </c>
      <c r="RN33" s="22">
        <v>27</v>
      </c>
      <c r="RO33" s="28">
        <v>3.1044</v>
      </c>
      <c r="RP33" s="28">
        <v>3.0973999999999999</v>
      </c>
      <c r="RQ33" s="28">
        <v>3.1114000000000002</v>
      </c>
      <c r="RR33" s="28">
        <v>3.0945999999999998</v>
      </c>
      <c r="RS33" s="28">
        <v>3.1242000000000001</v>
      </c>
      <c r="RT33" s="28">
        <v>3.1160000000000001</v>
      </c>
      <c r="RU33" s="28">
        <v>3.1251000000000002</v>
      </c>
      <c r="RV33" s="28">
        <v>3.1103999999999998</v>
      </c>
      <c r="RW33" s="28">
        <v>3.1124000000000001</v>
      </c>
      <c r="RX33" s="28">
        <v>3.1135000000000002</v>
      </c>
      <c r="RY33" s="28">
        <v>3.1168</v>
      </c>
      <c r="RZ33" s="28">
        <v>3.1110000000000002</v>
      </c>
      <c r="SA33" s="22">
        <v>27</v>
      </c>
      <c r="SD33" s="22">
        <v>27</v>
      </c>
      <c r="SE33" s="28">
        <v>3.0735999999999999</v>
      </c>
      <c r="SF33" s="28">
        <v>3.0609000000000002</v>
      </c>
      <c r="SG33" s="28">
        <v>3.0794999999999999</v>
      </c>
      <c r="SH33" s="28">
        <v>3.0855999999999999</v>
      </c>
      <c r="SI33" s="28">
        <v>3.1025999999999998</v>
      </c>
      <c r="SJ33" s="28">
        <v>3.1225000000000001</v>
      </c>
      <c r="SK33" s="28">
        <v>3.1113</v>
      </c>
      <c r="SL33" s="28">
        <v>3.081</v>
      </c>
      <c r="SM33" s="28">
        <v>3.1040000000000001</v>
      </c>
      <c r="SN33" s="28">
        <v>3.1190000000000002</v>
      </c>
      <c r="SO33" s="28">
        <v>3.1137999999999999</v>
      </c>
      <c r="SP33" s="28">
        <v>3.1194999999999999</v>
      </c>
      <c r="SQ33" s="22">
        <v>27</v>
      </c>
      <c r="ST33" s="22">
        <v>27</v>
      </c>
      <c r="SU33" s="28">
        <v>2.9561999999999999</v>
      </c>
      <c r="SV33" s="28">
        <v>2.9689999999999999</v>
      </c>
      <c r="SW33" s="28">
        <v>2.9802</v>
      </c>
      <c r="SX33" s="28">
        <v>2.9925999999999999</v>
      </c>
      <c r="SY33" s="28">
        <v>3.0038</v>
      </c>
      <c r="SZ33" s="28">
        <v>3.0169999999999999</v>
      </c>
      <c r="TA33" s="28">
        <v>3.0289999999999999</v>
      </c>
      <c r="TB33" s="28">
        <v>3.0406</v>
      </c>
      <c r="TC33" s="28">
        <v>3.0546000000000002</v>
      </c>
      <c r="TD33" s="28">
        <v>3.0670000000000002</v>
      </c>
      <c r="TE33" s="28">
        <v>3.06216</v>
      </c>
      <c r="TF33" s="28">
        <v>3.08413</v>
      </c>
      <c r="TG33" s="22">
        <v>27</v>
      </c>
      <c r="TJ33" s="22">
        <v>27</v>
      </c>
      <c r="TK33" s="28">
        <v>2.669</v>
      </c>
      <c r="TL33" s="28">
        <v>2.698</v>
      </c>
      <c r="TM33" s="28">
        <v>2.726</v>
      </c>
      <c r="TN33" s="28">
        <v>2.7589999999999999</v>
      </c>
      <c r="TO33" s="28">
        <v>2.7879999999999998</v>
      </c>
      <c r="TP33" s="28">
        <v>2.8146</v>
      </c>
      <c r="TQ33" s="28">
        <v>2.8386</v>
      </c>
      <c r="TR33" s="28">
        <v>2.8618000000000001</v>
      </c>
      <c r="TS33" s="28">
        <v>2.8881999999999999</v>
      </c>
      <c r="TT33" s="28">
        <v>2.9121999999999999</v>
      </c>
      <c r="TU33" s="28">
        <v>2.9314</v>
      </c>
      <c r="TV33" s="28">
        <v>2.9441999999999999</v>
      </c>
      <c r="TW33" s="22">
        <v>27</v>
      </c>
      <c r="TZ33" s="22">
        <v>27</v>
      </c>
      <c r="UA33" s="28">
        <v>2.3039999999999998</v>
      </c>
      <c r="UB33" s="28">
        <v>2.3330000000000002</v>
      </c>
      <c r="UC33" s="28">
        <v>2.3610000000000002</v>
      </c>
      <c r="UD33" s="28">
        <v>2.3940000000000001</v>
      </c>
      <c r="UE33" s="28">
        <v>2.4239999999999999</v>
      </c>
      <c r="UF33" s="28">
        <v>2.4529999999999998</v>
      </c>
      <c r="UG33" s="28">
        <v>2.4849999999999999</v>
      </c>
      <c r="UH33" s="28">
        <v>2.5150000000000001</v>
      </c>
      <c r="UI33" s="28">
        <v>2.5470000000000002</v>
      </c>
      <c r="UJ33" s="28">
        <v>2.577</v>
      </c>
      <c r="UK33" s="28">
        <v>2.6059999999999999</v>
      </c>
      <c r="UL33" s="28">
        <v>2.6379999999999999</v>
      </c>
      <c r="UM33" s="22">
        <v>27</v>
      </c>
    </row>
    <row r="34" spans="2:559" s="7" customFormat="1" ht="19.2">
      <c r="B34" s="22">
        <v>28</v>
      </c>
      <c r="C34" s="28">
        <v>18.8355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2">
        <v>28</v>
      </c>
      <c r="R34" s="22">
        <v>28</v>
      </c>
      <c r="S34" s="28">
        <v>20.641500000000001</v>
      </c>
      <c r="T34" s="28">
        <v>20.6525</v>
      </c>
      <c r="U34" s="28">
        <v>20.1313</v>
      </c>
      <c r="V34" s="28">
        <v>20.356000000000002</v>
      </c>
      <c r="W34" s="28">
        <v>19.793299999999999</v>
      </c>
      <c r="X34" s="28">
        <v>19.870699999999999</v>
      </c>
      <c r="Y34" s="28">
        <v>20.433</v>
      </c>
      <c r="Z34" s="28">
        <v>19.9437</v>
      </c>
      <c r="AA34" s="28">
        <v>20.351700000000001</v>
      </c>
      <c r="AB34" s="28">
        <v>19.8553</v>
      </c>
      <c r="AC34" s="28">
        <v>19.369199999999999</v>
      </c>
      <c r="AD34" s="28">
        <v>19.398299999999999</v>
      </c>
      <c r="AE34" s="22">
        <v>28</v>
      </c>
      <c r="AH34" s="22">
        <v>28</v>
      </c>
      <c r="AI34" s="28">
        <v>20.0152</v>
      </c>
      <c r="AJ34" s="28">
        <v>20.8523</v>
      </c>
      <c r="AK34" s="28">
        <v>20.766200000000001</v>
      </c>
      <c r="AL34" s="28">
        <v>19.836200000000002</v>
      </c>
      <c r="AM34" s="28">
        <v>19.878299999999999</v>
      </c>
      <c r="AN34" s="28">
        <v>20.048300000000001</v>
      </c>
      <c r="AO34" s="28">
        <v>20.0245</v>
      </c>
      <c r="AP34" s="28">
        <v>20.3522</v>
      </c>
      <c r="AQ34" s="28">
        <v>20.111799999999999</v>
      </c>
      <c r="AR34" s="28">
        <v>20.188800000000001</v>
      </c>
      <c r="AS34" s="28">
        <v>21.546199999999999</v>
      </c>
      <c r="AT34" s="28">
        <v>20.6112</v>
      </c>
      <c r="AU34" s="22">
        <v>28</v>
      </c>
      <c r="AV34" s="8"/>
      <c r="AW34" s="8"/>
      <c r="AX34" s="22">
        <v>28</v>
      </c>
      <c r="AY34" s="28">
        <v>18.831299999999999</v>
      </c>
      <c r="AZ34" s="28">
        <v>19.1585</v>
      </c>
      <c r="BA34" s="28">
        <v>23.097000000000001</v>
      </c>
      <c r="BB34" s="28">
        <v>24.8583</v>
      </c>
      <c r="BC34" s="28">
        <v>22.293199999999999</v>
      </c>
      <c r="BD34" s="28">
        <v>22.796299999999999</v>
      </c>
      <c r="BE34" s="28">
        <v>22.3842</v>
      </c>
      <c r="BF34" s="28">
        <v>21.920200000000001</v>
      </c>
      <c r="BG34" s="28">
        <v>22.367799999999999</v>
      </c>
      <c r="BH34" s="28">
        <v>20.9818</v>
      </c>
      <c r="BI34" s="28">
        <v>20.046700000000001</v>
      </c>
      <c r="BJ34" s="28">
        <v>20.1175</v>
      </c>
      <c r="BK34" s="22">
        <v>28</v>
      </c>
      <c r="BN34" s="22">
        <v>28</v>
      </c>
      <c r="BO34" s="28">
        <v>18.985900000000001</v>
      </c>
      <c r="BP34" s="28">
        <v>19.163</v>
      </c>
      <c r="BQ34" s="28">
        <v>19.0989</v>
      </c>
      <c r="BR34" s="28">
        <v>19.094200000000001</v>
      </c>
      <c r="BS34" s="28">
        <v>19.065799999999999</v>
      </c>
      <c r="BT34" s="28">
        <v>19.144200000000001</v>
      </c>
      <c r="BU34" s="28">
        <v>19.0623</v>
      </c>
      <c r="BV34" s="28">
        <v>19.9086</v>
      </c>
      <c r="BW34" s="28">
        <v>19.636299999999999</v>
      </c>
      <c r="BX34" s="28">
        <v>19.087800000000001</v>
      </c>
      <c r="BY34" s="28">
        <v>19.5185</v>
      </c>
      <c r="BZ34" s="28">
        <v>18.944500000000001</v>
      </c>
      <c r="CA34" s="22">
        <v>28</v>
      </c>
      <c r="CD34" s="22">
        <v>28</v>
      </c>
      <c r="CE34" s="29">
        <v>18.478000000000002</v>
      </c>
      <c r="CF34" s="28">
        <v>18.645600000000002</v>
      </c>
      <c r="CG34" s="28">
        <v>18.326799999999999</v>
      </c>
      <c r="CH34" s="28">
        <v>18.8644</v>
      </c>
      <c r="CI34" s="28">
        <v>19.704799999999999</v>
      </c>
      <c r="CJ34" s="28">
        <v>19.875399999999999</v>
      </c>
      <c r="CK34" s="28">
        <v>18.6234</v>
      </c>
      <c r="CL34" s="28">
        <v>18.8339</v>
      </c>
      <c r="CM34" s="28">
        <v>18.898599999999998</v>
      </c>
      <c r="CN34" s="28">
        <v>19.438300000000002</v>
      </c>
      <c r="CO34" s="28">
        <v>20.5304</v>
      </c>
      <c r="CP34" s="28">
        <v>19.882300000000001</v>
      </c>
      <c r="CQ34" s="22">
        <v>28</v>
      </c>
      <c r="CT34" s="22">
        <v>28</v>
      </c>
      <c r="CU34" s="28">
        <v>21.202400000000001</v>
      </c>
      <c r="CV34" s="28">
        <v>19.833500000000001</v>
      </c>
      <c r="CW34" s="28">
        <v>18.852799999999998</v>
      </c>
      <c r="CX34" s="28">
        <v>19.111899999999999</v>
      </c>
      <c r="CY34" s="28">
        <v>18.418500000000002</v>
      </c>
      <c r="CZ34" s="28">
        <v>17.877500000000001</v>
      </c>
      <c r="DA34" s="28">
        <v>17.7561</v>
      </c>
      <c r="DB34" s="28">
        <v>17.697700000000001</v>
      </c>
      <c r="DC34" s="28">
        <v>17.993300000000001</v>
      </c>
      <c r="DD34" s="28">
        <v>19.096</v>
      </c>
      <c r="DE34" s="28">
        <v>18.5379</v>
      </c>
      <c r="DF34" s="28">
        <v>19.722300000000001</v>
      </c>
      <c r="DG34" s="22">
        <v>28</v>
      </c>
      <c r="DJ34" s="22">
        <v>28</v>
      </c>
      <c r="DK34" s="28">
        <v>18.471499999999999</v>
      </c>
      <c r="DL34" s="28">
        <v>18.167999999999999</v>
      </c>
      <c r="DM34" s="28">
        <v>17.336099999999998</v>
      </c>
      <c r="DN34" s="28">
        <v>17.4298</v>
      </c>
      <c r="DO34" s="28">
        <v>18.4572</v>
      </c>
      <c r="DP34" s="28">
        <v>18.871600000000001</v>
      </c>
      <c r="DQ34" s="28">
        <v>18.811399999999999</v>
      </c>
      <c r="DR34" s="28">
        <v>18.446000000000002</v>
      </c>
      <c r="DS34" s="28">
        <v>19.8322</v>
      </c>
      <c r="DT34" s="28">
        <v>18.648499999999999</v>
      </c>
      <c r="DU34" s="28">
        <v>20.705100000000002</v>
      </c>
      <c r="DV34" s="28">
        <v>20.644500000000001</v>
      </c>
      <c r="DW34" s="22">
        <v>28</v>
      </c>
      <c r="DZ34" s="22">
        <v>28</v>
      </c>
      <c r="EA34" s="28">
        <v>14.588699999999999</v>
      </c>
      <c r="EB34" s="28">
        <v>14.962400000000001</v>
      </c>
      <c r="EC34" s="28">
        <v>15.105600000000001</v>
      </c>
      <c r="ED34" s="28">
        <v>15.3834</v>
      </c>
      <c r="EE34" s="28">
        <v>15.323499999999999</v>
      </c>
      <c r="EF34" s="28">
        <v>15.455500000000001</v>
      </c>
      <c r="EG34" s="28">
        <v>16.2364</v>
      </c>
      <c r="EH34" s="28">
        <v>17.1065</v>
      </c>
      <c r="EI34" s="28">
        <v>17.114899999999999</v>
      </c>
      <c r="EJ34" s="28">
        <v>16.4998</v>
      </c>
      <c r="EK34" s="28">
        <v>16.549199999999999</v>
      </c>
      <c r="EL34" s="28">
        <v>17.1953</v>
      </c>
      <c r="EM34" s="22">
        <v>28</v>
      </c>
      <c r="EP34" s="22">
        <v>28</v>
      </c>
      <c r="EQ34" s="28">
        <v>13.493</v>
      </c>
      <c r="ER34" s="28">
        <v>13.299200000000001</v>
      </c>
      <c r="ES34" s="28">
        <v>13.1273</v>
      </c>
      <c r="ET34" s="28">
        <v>13.101000000000001</v>
      </c>
      <c r="EU34" s="28">
        <v>12.861599999999999</v>
      </c>
      <c r="EV34" s="28">
        <v>13.032299999999999</v>
      </c>
      <c r="EW34" s="28">
        <v>12.9572</v>
      </c>
      <c r="EX34" s="28">
        <v>13.1059</v>
      </c>
      <c r="EY34" s="28">
        <v>13.3848</v>
      </c>
      <c r="EZ34" s="28">
        <v>13.526300000000001</v>
      </c>
      <c r="FA34" s="28">
        <v>13.7219</v>
      </c>
      <c r="FB34" s="28">
        <v>14.742900000000001</v>
      </c>
      <c r="FC34" s="22">
        <v>28</v>
      </c>
      <c r="FF34" s="22">
        <v>28</v>
      </c>
      <c r="FG34" s="28">
        <v>12.6286</v>
      </c>
      <c r="FH34" s="28">
        <v>12.868</v>
      </c>
      <c r="FI34" s="28">
        <v>12.3546</v>
      </c>
      <c r="FJ34" s="28">
        <v>12.123100000000001</v>
      </c>
      <c r="FK34" s="28">
        <v>12.5219</v>
      </c>
      <c r="FL34" s="28">
        <v>13.1884</v>
      </c>
      <c r="FM34" s="28">
        <v>12.646800000000001</v>
      </c>
      <c r="FN34" s="28">
        <v>13.109</v>
      </c>
      <c r="FO34" s="28">
        <v>13.011900000000001</v>
      </c>
      <c r="FP34" s="28">
        <v>12.9916</v>
      </c>
      <c r="FQ34" s="28">
        <v>13.0745</v>
      </c>
      <c r="FR34" s="28">
        <v>13.0547</v>
      </c>
      <c r="FS34" s="22">
        <v>28</v>
      </c>
      <c r="FV34" s="22">
        <v>28</v>
      </c>
      <c r="FW34" s="28">
        <v>12.932499999999999</v>
      </c>
      <c r="FX34" s="28">
        <v>12.8675</v>
      </c>
      <c r="FY34" s="28">
        <v>12.679500000000001</v>
      </c>
      <c r="FZ34" s="28">
        <v>13.209300000000001</v>
      </c>
      <c r="GA34" s="28">
        <v>14.004</v>
      </c>
      <c r="GB34" s="28">
        <v>13.861599999999999</v>
      </c>
      <c r="GC34" s="28">
        <v>13.442500000000001</v>
      </c>
      <c r="GD34" s="28">
        <v>13.176</v>
      </c>
      <c r="GE34" s="28">
        <v>12.917</v>
      </c>
      <c r="GF34" s="28">
        <v>12.966900000000001</v>
      </c>
      <c r="GG34" s="28">
        <v>12.9984</v>
      </c>
      <c r="GH34" s="28">
        <v>13.005800000000001</v>
      </c>
      <c r="GI34" s="22">
        <v>28</v>
      </c>
      <c r="GL34" s="22">
        <v>28</v>
      </c>
      <c r="GM34" s="28">
        <v>12.040800000000001</v>
      </c>
      <c r="GN34" s="28">
        <v>12.173</v>
      </c>
      <c r="GO34" s="28">
        <v>11.955500000000001</v>
      </c>
      <c r="GP34" s="28">
        <v>11.5824</v>
      </c>
      <c r="GQ34" s="28">
        <v>11.695600000000001</v>
      </c>
      <c r="GR34" s="28">
        <v>11.882199999999999</v>
      </c>
      <c r="GS34" s="28">
        <v>11.6172</v>
      </c>
      <c r="GT34" s="28">
        <v>12.4259</v>
      </c>
      <c r="GU34" s="28">
        <v>13.6677</v>
      </c>
      <c r="GV34" s="28">
        <v>13.491400000000001</v>
      </c>
      <c r="GW34" s="28">
        <v>14.1778</v>
      </c>
      <c r="GX34" s="28">
        <v>13.8483</v>
      </c>
      <c r="GY34" s="22">
        <v>28</v>
      </c>
      <c r="HB34" s="22">
        <v>28</v>
      </c>
      <c r="HC34" s="28">
        <v>12.854900000000001</v>
      </c>
      <c r="HD34" s="28">
        <v>12.850300000000001</v>
      </c>
      <c r="HE34" s="28">
        <v>12.5009</v>
      </c>
      <c r="HF34" s="28">
        <v>12.157500000000001</v>
      </c>
      <c r="HG34" s="28">
        <v>12.9955</v>
      </c>
      <c r="HH34" s="28">
        <v>12.7141</v>
      </c>
      <c r="HI34" s="28">
        <v>12.6975</v>
      </c>
      <c r="HJ34" s="28">
        <v>12.984</v>
      </c>
      <c r="HK34" s="28">
        <v>12.549099999999999</v>
      </c>
      <c r="HL34" s="28">
        <v>12.385899999999999</v>
      </c>
      <c r="HM34" s="28">
        <v>12.366899999999999</v>
      </c>
      <c r="HN34" s="28">
        <v>12.3459</v>
      </c>
      <c r="HO34" s="22">
        <v>28</v>
      </c>
      <c r="HR34" s="22">
        <v>28</v>
      </c>
      <c r="HS34" s="28">
        <v>13.934200000000001</v>
      </c>
      <c r="HT34" s="28">
        <v>14.9322</v>
      </c>
      <c r="HU34" s="28">
        <v>14.2163</v>
      </c>
      <c r="HV34" s="28">
        <v>13.2318</v>
      </c>
      <c r="HW34" s="28">
        <v>13.133800000000001</v>
      </c>
      <c r="HX34" s="28">
        <v>13.277799999999999</v>
      </c>
      <c r="HY34" s="28">
        <v>13.2247</v>
      </c>
      <c r="HZ34" s="28">
        <v>13.1378</v>
      </c>
      <c r="IA34" s="28">
        <v>13.4549</v>
      </c>
      <c r="IB34" s="28">
        <v>13.148999999999999</v>
      </c>
      <c r="IC34" s="28">
        <v>12.9475</v>
      </c>
      <c r="ID34" s="28">
        <v>12.8896</v>
      </c>
      <c r="IE34" s="22">
        <v>28</v>
      </c>
      <c r="IH34" s="22">
        <v>28</v>
      </c>
      <c r="II34" s="28">
        <v>10.8934</v>
      </c>
      <c r="IJ34" s="28">
        <v>10.743</v>
      </c>
      <c r="IK34" s="28">
        <v>10.6957</v>
      </c>
      <c r="IL34" s="28">
        <v>10.462</v>
      </c>
      <c r="IM34" s="28">
        <v>10.3848</v>
      </c>
      <c r="IN34" s="28">
        <v>10.2841</v>
      </c>
      <c r="IO34" s="28">
        <v>10.026400000000001</v>
      </c>
      <c r="IP34" s="28">
        <v>10.173</v>
      </c>
      <c r="IQ34" s="28">
        <v>10.7653</v>
      </c>
      <c r="IR34" s="28">
        <v>13.4</v>
      </c>
      <c r="IS34" s="28">
        <v>13.2117</v>
      </c>
      <c r="IT34" s="28">
        <v>13.311400000000001</v>
      </c>
      <c r="IU34" s="22">
        <v>28</v>
      </c>
      <c r="IX34" s="22">
        <v>28</v>
      </c>
      <c r="IY34" s="28">
        <v>10.975300000000001</v>
      </c>
      <c r="IZ34" s="28">
        <v>11.079000000000001</v>
      </c>
      <c r="JA34" s="28">
        <v>11.0253</v>
      </c>
      <c r="JB34" s="28">
        <v>10.9312</v>
      </c>
      <c r="JC34" s="28">
        <v>10.8354</v>
      </c>
      <c r="JD34" s="28">
        <v>10.8398</v>
      </c>
      <c r="JE34" s="28">
        <v>10.9436</v>
      </c>
      <c r="JF34" s="28">
        <v>11.0413</v>
      </c>
      <c r="JG34" s="28">
        <v>10.924300000000001</v>
      </c>
      <c r="JH34" s="28">
        <v>10.8291</v>
      </c>
      <c r="JI34" s="28">
        <v>10.981</v>
      </c>
      <c r="JJ34" s="28">
        <v>10.810499999999999</v>
      </c>
      <c r="JK34" s="22">
        <v>28</v>
      </c>
      <c r="JN34" s="22">
        <v>28</v>
      </c>
      <c r="JO34" s="28">
        <v>10.5039</v>
      </c>
      <c r="JP34" s="28">
        <v>10.476100000000001</v>
      </c>
      <c r="JQ34" s="28">
        <v>10.8568</v>
      </c>
      <c r="JR34" s="28">
        <v>11.1578</v>
      </c>
      <c r="JS34" s="28">
        <v>11.2097</v>
      </c>
      <c r="JT34" s="28">
        <v>11.409000000000001</v>
      </c>
      <c r="JU34" s="28">
        <v>10.9337</v>
      </c>
      <c r="JV34" s="28">
        <v>10.922000000000001</v>
      </c>
      <c r="JW34" s="28">
        <v>11.0418</v>
      </c>
      <c r="JX34" s="28">
        <v>10.731299999999999</v>
      </c>
      <c r="JY34" s="28">
        <v>11.0242</v>
      </c>
      <c r="JZ34" s="28">
        <v>10.874700000000001</v>
      </c>
      <c r="KA34" s="22">
        <v>28</v>
      </c>
      <c r="KD34" s="22">
        <v>28</v>
      </c>
      <c r="KE34" s="28">
        <v>11.263199999999999</v>
      </c>
      <c r="KF34" s="28">
        <v>11.095499999999999</v>
      </c>
      <c r="KG34" s="28">
        <v>11.1898</v>
      </c>
      <c r="KH34" s="28">
        <v>11.0595</v>
      </c>
      <c r="KI34" s="28">
        <v>10.964499999999999</v>
      </c>
      <c r="KJ34" s="28">
        <v>10.764200000000001</v>
      </c>
      <c r="KK34" s="28">
        <v>10.7165</v>
      </c>
      <c r="KL34" s="28">
        <v>10.815300000000001</v>
      </c>
      <c r="KM34" s="28">
        <v>10.875999999999999</v>
      </c>
      <c r="KN34" s="28">
        <v>10.891</v>
      </c>
      <c r="KO34" s="28">
        <v>10.6083</v>
      </c>
      <c r="KP34" s="28">
        <v>10.693199999999999</v>
      </c>
      <c r="KQ34" s="22">
        <v>28</v>
      </c>
      <c r="KT34" s="22">
        <v>28</v>
      </c>
      <c r="KU34" s="28">
        <v>10.9178</v>
      </c>
      <c r="KV34" s="28">
        <v>11.0715</v>
      </c>
      <c r="KW34" s="28">
        <v>11.013</v>
      </c>
      <c r="KX34" s="28">
        <v>11.2881</v>
      </c>
      <c r="KY34" s="28">
        <v>11.4556</v>
      </c>
      <c r="KZ34" s="28">
        <v>11.3004</v>
      </c>
      <c r="LA34" s="28">
        <v>11.4582</v>
      </c>
      <c r="LB34" s="28">
        <v>11.366</v>
      </c>
      <c r="LC34" s="28">
        <v>11.4107</v>
      </c>
      <c r="LD34" s="28">
        <v>11.517799999999999</v>
      </c>
      <c r="LE34" s="28">
        <v>11.2713</v>
      </c>
      <c r="LF34" s="28">
        <v>11.15</v>
      </c>
      <c r="LG34" s="22">
        <v>28</v>
      </c>
      <c r="LJ34" s="22">
        <v>28</v>
      </c>
      <c r="LK34" s="28">
        <v>10.826700000000001</v>
      </c>
      <c r="LL34" s="28">
        <v>11.0329</v>
      </c>
      <c r="LM34" s="28">
        <v>10.7498</v>
      </c>
      <c r="LN34" s="28">
        <v>10.434799999999999</v>
      </c>
      <c r="LO34" s="28">
        <v>10.251899999999999</v>
      </c>
      <c r="LP34" s="28">
        <v>10.4808</v>
      </c>
      <c r="LQ34" s="28">
        <v>10.520300000000001</v>
      </c>
      <c r="LR34" s="28">
        <v>10.911799999999999</v>
      </c>
      <c r="LS34" s="28">
        <v>10.811500000000001</v>
      </c>
      <c r="LT34" s="28">
        <v>11.1784</v>
      </c>
      <c r="LU34" s="28">
        <v>11.3522</v>
      </c>
      <c r="LV34" s="28">
        <v>11.2744</v>
      </c>
      <c r="LW34" s="22">
        <v>28</v>
      </c>
      <c r="LZ34" s="22">
        <v>28</v>
      </c>
      <c r="MA34" s="28">
        <v>9.1227</v>
      </c>
      <c r="MB34" s="28">
        <v>9.0815000000000001</v>
      </c>
      <c r="MC34" s="28">
        <v>9.0243000000000002</v>
      </c>
      <c r="MD34" s="28">
        <v>9.3528000000000002</v>
      </c>
      <c r="ME34" s="28">
        <v>9.5585000000000004</v>
      </c>
      <c r="MF34" s="28">
        <v>9.9998000000000005</v>
      </c>
      <c r="MG34" s="28">
        <v>9.7157999999999998</v>
      </c>
      <c r="MH34" s="28">
        <v>9.8267000000000007</v>
      </c>
      <c r="MI34" s="28">
        <v>10.166700000000001</v>
      </c>
      <c r="MJ34" s="28">
        <v>9.9467999999999996</v>
      </c>
      <c r="MK34" s="28">
        <v>10.153499999999999</v>
      </c>
      <c r="ML34" s="28">
        <v>10.2479</v>
      </c>
      <c r="MM34" s="22">
        <v>28</v>
      </c>
      <c r="MP34" s="22">
        <v>28</v>
      </c>
      <c r="MQ34" s="28">
        <v>9.6829999999999998</v>
      </c>
      <c r="MR34" s="28">
        <v>9.6617999999999995</v>
      </c>
      <c r="MS34" s="28">
        <v>9.5314999999999994</v>
      </c>
      <c r="MT34" s="28">
        <v>9.2670999999999992</v>
      </c>
      <c r="MU34" s="28">
        <v>9.0805000000000007</v>
      </c>
      <c r="MV34" s="28">
        <v>9.0606000000000009</v>
      </c>
      <c r="MW34" s="28">
        <v>9.157</v>
      </c>
      <c r="MX34" s="28">
        <v>9.1443999999999992</v>
      </c>
      <c r="MY34" s="28">
        <v>9.5258000000000003</v>
      </c>
      <c r="MZ34" s="28">
        <v>9.2469000000000001</v>
      </c>
      <c r="NA34" s="28">
        <v>9.1646999999999998</v>
      </c>
      <c r="NB34" s="28">
        <v>9.0957000000000008</v>
      </c>
      <c r="NC34" s="22">
        <v>28</v>
      </c>
      <c r="NF34" s="22">
        <v>28</v>
      </c>
      <c r="NG34" s="28">
        <v>9.5103000000000009</v>
      </c>
      <c r="NH34" s="28">
        <v>9.3797999999999995</v>
      </c>
      <c r="NI34" s="28">
        <v>9.1712000000000007</v>
      </c>
      <c r="NJ34" s="28">
        <v>9.4072999999999993</v>
      </c>
      <c r="NK34" s="28">
        <v>9.4939999999999998</v>
      </c>
      <c r="NL34" s="28">
        <v>10.0197</v>
      </c>
      <c r="NM34" s="28">
        <v>9.3627000000000002</v>
      </c>
      <c r="NN34" s="28">
        <v>9.2268000000000008</v>
      </c>
      <c r="NO34" s="28">
        <v>9.4032</v>
      </c>
      <c r="NP34" s="28">
        <v>9.6776999999999997</v>
      </c>
      <c r="NQ34" s="28">
        <v>9.3930000000000007</v>
      </c>
      <c r="NR34" s="28">
        <v>9.5200999999999993</v>
      </c>
      <c r="NS34" s="22">
        <v>28</v>
      </c>
      <c r="NV34" s="22">
        <v>28</v>
      </c>
      <c r="NW34" s="28">
        <v>10.225199999999999</v>
      </c>
      <c r="NX34" s="28">
        <v>9.9835999999999991</v>
      </c>
      <c r="NY34" s="28">
        <v>9.6454000000000004</v>
      </c>
      <c r="NZ34" s="28">
        <v>9.3084000000000007</v>
      </c>
      <c r="OA34" s="28">
        <v>9.6715</v>
      </c>
      <c r="OB34" s="28">
        <v>9.4589999999999996</v>
      </c>
      <c r="OC34" s="28">
        <v>9.4235000000000007</v>
      </c>
      <c r="OD34" s="28">
        <v>9.3393999999999995</v>
      </c>
      <c r="OE34" s="28">
        <v>9.3565000000000005</v>
      </c>
      <c r="OF34" s="28">
        <v>9.6298999999999992</v>
      </c>
      <c r="OG34" s="28">
        <v>9.2944999999999993</v>
      </c>
      <c r="OH34" s="28">
        <v>9.4187999999999992</v>
      </c>
      <c r="OI34" s="22">
        <v>28</v>
      </c>
      <c r="OL34" s="22">
        <v>28</v>
      </c>
      <c r="OM34" s="28">
        <v>8.2810000000000006</v>
      </c>
      <c r="ON34" s="28">
        <v>8.5582999999999991</v>
      </c>
      <c r="OO34" s="28">
        <v>8.5251999999999999</v>
      </c>
      <c r="OP34" s="28">
        <v>8.4747000000000003</v>
      </c>
      <c r="OQ34" s="28">
        <v>8.7081</v>
      </c>
      <c r="OR34" s="28">
        <v>8.9536999999999995</v>
      </c>
      <c r="OS34" s="28">
        <v>8.8670000000000009</v>
      </c>
      <c r="OT34" s="28">
        <v>9.8149999999999995</v>
      </c>
      <c r="OU34" s="28">
        <v>10.111700000000001</v>
      </c>
      <c r="OV34" s="28">
        <v>10.029299999999999</v>
      </c>
      <c r="OW34" s="28">
        <v>9.9404000000000003</v>
      </c>
      <c r="OX34" s="28">
        <v>9.8103999999999996</v>
      </c>
      <c r="OY34" s="22">
        <v>28</v>
      </c>
      <c r="PB34" s="22">
        <v>28</v>
      </c>
      <c r="PC34" s="28">
        <v>7.8205</v>
      </c>
      <c r="PD34" s="28">
        <v>7.7843999999999998</v>
      </c>
      <c r="PE34" s="28">
        <v>7.8905000000000003</v>
      </c>
      <c r="PF34" s="28">
        <v>7.8544999999999998</v>
      </c>
      <c r="PG34" s="28">
        <v>7.9058999999999999</v>
      </c>
      <c r="PH34" s="28">
        <v>7.9577</v>
      </c>
      <c r="PI34" s="28">
        <v>7.8312999999999997</v>
      </c>
      <c r="PJ34" s="28">
        <v>7.7637</v>
      </c>
      <c r="PK34" s="28">
        <v>7.8071999999999999</v>
      </c>
      <c r="PL34" s="28">
        <v>7.8272000000000004</v>
      </c>
      <c r="PM34" s="28">
        <v>8.1999999999999993</v>
      </c>
      <c r="PN34" s="28">
        <v>8.1647999999999996</v>
      </c>
      <c r="PO34" s="22">
        <v>28</v>
      </c>
      <c r="PR34" s="22">
        <v>28</v>
      </c>
      <c r="PS34" s="28">
        <v>7.3867000000000003</v>
      </c>
      <c r="PT34" s="28">
        <v>7.5571000000000002</v>
      </c>
      <c r="PU34" s="28">
        <v>7.5437000000000003</v>
      </c>
      <c r="PV34" s="28">
        <v>7.3794000000000004</v>
      </c>
      <c r="PW34" s="28">
        <v>7.3987999999999996</v>
      </c>
      <c r="PX34" s="28">
        <v>7.6108000000000002</v>
      </c>
      <c r="PY34" s="28">
        <v>7.5903</v>
      </c>
      <c r="PZ34" s="28">
        <v>7.5019999999999998</v>
      </c>
      <c r="QA34" s="28">
        <v>7.5373999999999999</v>
      </c>
      <c r="QB34" s="28">
        <v>7.8296999999999999</v>
      </c>
      <c r="QC34" s="28">
        <v>7.875</v>
      </c>
      <c r="QD34" s="28">
        <v>7.8441999999999998</v>
      </c>
      <c r="QE34" s="22">
        <v>28</v>
      </c>
      <c r="QH34" s="22">
        <v>28</v>
      </c>
      <c r="QI34" s="28">
        <v>5.69</v>
      </c>
      <c r="QJ34" s="28">
        <v>5.8375000000000004</v>
      </c>
      <c r="QK34" s="28">
        <v>6.875</v>
      </c>
      <c r="QL34" s="28">
        <v>5.7850000000000001</v>
      </c>
      <c r="QM34" s="28">
        <v>6.0549999999999997</v>
      </c>
      <c r="QN34" s="28">
        <v>6.2549999999999999</v>
      </c>
      <c r="QO34" s="28">
        <v>6.12</v>
      </c>
      <c r="QP34" s="28">
        <v>6.3167</v>
      </c>
      <c r="QQ34" s="28">
        <v>6.3878000000000004</v>
      </c>
      <c r="QR34" s="28">
        <v>7.1666999999999996</v>
      </c>
      <c r="QS34" s="28">
        <v>7.6966999999999999</v>
      </c>
      <c r="QT34" s="28">
        <v>7.5533000000000001</v>
      </c>
      <c r="QU34" s="22">
        <v>28</v>
      </c>
      <c r="QX34" s="22">
        <v>28</v>
      </c>
      <c r="QY34" s="28">
        <v>3.1063999999999998</v>
      </c>
      <c r="QZ34" s="28">
        <v>3.2075</v>
      </c>
      <c r="RA34" s="28">
        <v>3.3353000000000002</v>
      </c>
      <c r="RB34" s="28">
        <v>3.298</v>
      </c>
      <c r="RC34" s="28">
        <v>3.3148</v>
      </c>
      <c r="RD34" s="28">
        <v>3.3902999999999999</v>
      </c>
      <c r="RE34" s="28">
        <v>3.4077999999999999</v>
      </c>
      <c r="RF34" s="28">
        <v>3.3671000000000002</v>
      </c>
      <c r="RG34" s="28">
        <v>3.3733</v>
      </c>
      <c r="RH34" s="28">
        <v>3.4256000000000002</v>
      </c>
      <c r="RI34" s="28">
        <v>3.448</v>
      </c>
      <c r="RJ34" s="28">
        <v>5.0999999999999996</v>
      </c>
      <c r="RK34" s="22">
        <v>28</v>
      </c>
      <c r="RN34" s="22">
        <v>28</v>
      </c>
      <c r="RO34" s="28">
        <v>3.0989</v>
      </c>
      <c r="RP34" s="28">
        <v>3.0973999999999999</v>
      </c>
      <c r="RQ34" s="28">
        <v>3.1114000000000002</v>
      </c>
      <c r="RR34" s="28">
        <v>3.0975999999999999</v>
      </c>
      <c r="RS34" s="28">
        <v>3.1294</v>
      </c>
      <c r="RT34" s="28">
        <v>3.1160000000000001</v>
      </c>
      <c r="RU34" s="28">
        <v>3.121</v>
      </c>
      <c r="RV34" s="28">
        <v>3.1116999999999999</v>
      </c>
      <c r="RW34" s="28">
        <v>3.1114000000000002</v>
      </c>
      <c r="RX34" s="28">
        <v>3.1135000000000002</v>
      </c>
      <c r="RY34" s="28">
        <v>3.1168</v>
      </c>
      <c r="RZ34" s="28">
        <v>3.1059000000000001</v>
      </c>
      <c r="SA34" s="22">
        <v>28</v>
      </c>
      <c r="SD34" s="22">
        <v>28</v>
      </c>
      <c r="SE34" s="28">
        <v>3.0790999999999999</v>
      </c>
      <c r="SF34" s="28">
        <v>3.0608</v>
      </c>
      <c r="SG34" s="28">
        <v>3.0901999999999998</v>
      </c>
      <c r="SH34" s="28">
        <v>3.0758000000000001</v>
      </c>
      <c r="SI34" s="28">
        <v>3.1078999999999999</v>
      </c>
      <c r="SJ34" s="28">
        <v>3.1225000000000001</v>
      </c>
      <c r="SK34" s="28">
        <v>3.11</v>
      </c>
      <c r="SL34" s="28">
        <v>3.0789</v>
      </c>
      <c r="SM34" s="28">
        <v>3.1040000000000001</v>
      </c>
      <c r="SN34" s="28">
        <v>3.1181000000000001</v>
      </c>
      <c r="SO34" s="28">
        <v>3.1158999999999999</v>
      </c>
      <c r="SP34" s="28">
        <v>3.1194999999999999</v>
      </c>
      <c r="SQ34" s="22">
        <v>28</v>
      </c>
      <c r="ST34" s="22">
        <v>28</v>
      </c>
      <c r="SU34" s="28">
        <v>2.9561999999999999</v>
      </c>
      <c r="SV34" s="28">
        <v>2.9693999999999998</v>
      </c>
      <c r="SW34" s="28">
        <v>2.9805999999999999</v>
      </c>
      <c r="SX34" s="28">
        <v>2.9925999999999999</v>
      </c>
      <c r="SY34" s="28">
        <v>3.0042</v>
      </c>
      <c r="SZ34" s="28">
        <v>3.0173999999999999</v>
      </c>
      <c r="TA34" s="28">
        <v>3.0289999999999999</v>
      </c>
      <c r="TB34" s="28">
        <v>3.0417999999999998</v>
      </c>
      <c r="TC34" s="28">
        <v>3.0558000000000001</v>
      </c>
      <c r="TD34" s="28">
        <v>3.0670000000000002</v>
      </c>
      <c r="TE34" s="28">
        <v>3.0760399999999999</v>
      </c>
      <c r="TF34" s="28">
        <v>3.0710000000000002</v>
      </c>
      <c r="TG34" s="22">
        <v>28</v>
      </c>
      <c r="TJ34" s="22">
        <v>28</v>
      </c>
      <c r="TK34" s="28">
        <v>2.669</v>
      </c>
      <c r="TL34" s="28">
        <v>2.7010000000000001</v>
      </c>
      <c r="TM34" s="28">
        <v>2.7290000000000001</v>
      </c>
      <c r="TN34" s="28">
        <v>2.76</v>
      </c>
      <c r="TO34" s="28">
        <v>2.7879999999999998</v>
      </c>
      <c r="TP34" s="28">
        <v>2.8153999999999999</v>
      </c>
      <c r="TQ34" s="28">
        <v>2.8393999999999999</v>
      </c>
      <c r="TR34" s="28">
        <v>2.8626</v>
      </c>
      <c r="TS34" s="28">
        <v>2.8889999999999998</v>
      </c>
      <c r="TT34" s="28">
        <v>2.9121999999999999</v>
      </c>
      <c r="TU34" s="28">
        <v>2.9325999999999999</v>
      </c>
      <c r="TV34" s="28">
        <v>2.9445999999999999</v>
      </c>
      <c r="TW34" s="22">
        <v>28</v>
      </c>
      <c r="TZ34" s="22">
        <v>28</v>
      </c>
      <c r="UA34" s="28">
        <v>2.3050000000000002</v>
      </c>
      <c r="UB34" s="28">
        <v>2.3340000000000001</v>
      </c>
      <c r="UC34" s="28">
        <v>2.3620000000000001</v>
      </c>
      <c r="UD34" s="28">
        <v>2.395</v>
      </c>
      <c r="UE34" s="28">
        <v>2.4239999999999999</v>
      </c>
      <c r="UF34" s="28">
        <v>2.456</v>
      </c>
      <c r="UG34" s="28">
        <v>2.4860000000000002</v>
      </c>
      <c r="UH34" s="28">
        <v>2.5150000000000001</v>
      </c>
      <c r="UI34" s="28">
        <v>2.548</v>
      </c>
      <c r="UJ34" s="28">
        <v>2.5779999999999998</v>
      </c>
      <c r="UK34" s="28">
        <v>2.6070000000000002</v>
      </c>
      <c r="UL34" s="28">
        <v>2.6389999999999998</v>
      </c>
      <c r="UM34" s="22">
        <v>28</v>
      </c>
    </row>
    <row r="35" spans="2:559" s="7" customFormat="1" ht="19.2">
      <c r="B35" s="22">
        <v>29</v>
      </c>
      <c r="C35" s="28">
        <v>18.8355</v>
      </c>
      <c r="D35" s="3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2">
        <v>29</v>
      </c>
      <c r="R35" s="22">
        <v>29</v>
      </c>
      <c r="S35" s="28">
        <v>20.738299999999999</v>
      </c>
      <c r="T35" s="30"/>
      <c r="U35" s="28">
        <v>19.957699999999999</v>
      </c>
      <c r="V35" s="28">
        <v>20.470700000000001</v>
      </c>
      <c r="W35" s="28">
        <v>19.793299999999999</v>
      </c>
      <c r="X35" s="28">
        <v>19.8797</v>
      </c>
      <c r="Y35" s="28">
        <v>20.512</v>
      </c>
      <c r="Z35" s="28">
        <v>19.9437</v>
      </c>
      <c r="AA35" s="28">
        <v>20.356999999999999</v>
      </c>
      <c r="AB35" s="28">
        <v>19.836500000000001</v>
      </c>
      <c r="AC35" s="28">
        <v>19.339300000000001</v>
      </c>
      <c r="AD35" s="28">
        <v>19.4407</v>
      </c>
      <c r="AE35" s="22">
        <v>29</v>
      </c>
      <c r="AH35" s="22">
        <v>29</v>
      </c>
      <c r="AI35" s="28">
        <v>20.216799999999999</v>
      </c>
      <c r="AJ35" s="30"/>
      <c r="AK35" s="28">
        <v>20.766200000000001</v>
      </c>
      <c r="AL35" s="28">
        <v>19.9785</v>
      </c>
      <c r="AM35" s="28">
        <v>19.948699999999999</v>
      </c>
      <c r="AN35" s="28">
        <v>19.792999999999999</v>
      </c>
      <c r="AO35" s="28">
        <v>19.977</v>
      </c>
      <c r="AP35" s="28">
        <v>20.3522</v>
      </c>
      <c r="AQ35" s="28">
        <v>20.1052</v>
      </c>
      <c r="AR35" s="28">
        <v>20.193000000000001</v>
      </c>
      <c r="AS35" s="28">
        <v>21.546199999999999</v>
      </c>
      <c r="AT35" s="28">
        <v>20.6828</v>
      </c>
      <c r="AU35" s="22">
        <v>29</v>
      </c>
      <c r="AV35" s="8"/>
      <c r="AW35" s="8"/>
      <c r="AX35" s="22">
        <v>29</v>
      </c>
      <c r="AY35" s="28">
        <v>18.9407</v>
      </c>
      <c r="AZ35" s="28">
        <v>19.397300000000001</v>
      </c>
      <c r="BA35" s="28">
        <v>23.097000000000001</v>
      </c>
      <c r="BB35" s="28">
        <v>24.8492</v>
      </c>
      <c r="BC35" s="28">
        <v>22.363299999999999</v>
      </c>
      <c r="BD35" s="28">
        <v>22.796299999999999</v>
      </c>
      <c r="BE35" s="28">
        <v>22.0275</v>
      </c>
      <c r="BF35" s="28">
        <v>22.116800000000001</v>
      </c>
      <c r="BG35" s="28">
        <v>22.440200000000001</v>
      </c>
      <c r="BH35" s="28">
        <v>20.879799999999999</v>
      </c>
      <c r="BI35" s="28">
        <v>20.046700000000001</v>
      </c>
      <c r="BJ35" s="28">
        <v>19.851700000000001</v>
      </c>
      <c r="BK35" s="22">
        <v>29</v>
      </c>
      <c r="BN35" s="22">
        <v>29</v>
      </c>
      <c r="BO35" s="28">
        <v>18.928000000000001</v>
      </c>
      <c r="BP35" s="30"/>
      <c r="BQ35" s="28">
        <v>19.3201</v>
      </c>
      <c r="BR35" s="28">
        <v>19.094200000000001</v>
      </c>
      <c r="BS35" s="28">
        <v>19.052099999999999</v>
      </c>
      <c r="BT35" s="28">
        <v>19.168500000000002</v>
      </c>
      <c r="BU35" s="28">
        <v>19.0623</v>
      </c>
      <c r="BV35" s="28">
        <v>19.993400000000001</v>
      </c>
      <c r="BW35" s="28">
        <v>19.636299999999999</v>
      </c>
      <c r="BX35" s="28">
        <v>19.082000000000001</v>
      </c>
      <c r="BY35" s="28">
        <v>19.560700000000001</v>
      </c>
      <c r="BZ35" s="28">
        <v>18.944500000000001</v>
      </c>
      <c r="CA35" s="22">
        <v>29</v>
      </c>
      <c r="CD35" s="22">
        <v>29</v>
      </c>
      <c r="CE35" s="29">
        <v>18.478000000000002</v>
      </c>
      <c r="CF35" s="30"/>
      <c r="CG35" s="28">
        <v>18.3445</v>
      </c>
      <c r="CH35" s="28">
        <v>18.8644</v>
      </c>
      <c r="CI35" s="28">
        <v>19.5608</v>
      </c>
      <c r="CJ35" s="28">
        <v>20.055299999999999</v>
      </c>
      <c r="CK35" s="28">
        <v>18.6234</v>
      </c>
      <c r="CL35" s="28">
        <v>18.669699999999999</v>
      </c>
      <c r="CM35" s="28">
        <v>18.812000000000001</v>
      </c>
      <c r="CN35" s="28">
        <v>19.438300000000002</v>
      </c>
      <c r="CO35" s="28">
        <v>20.497699999999998</v>
      </c>
      <c r="CP35" s="28">
        <v>19.6829</v>
      </c>
      <c r="CQ35" s="22">
        <v>29</v>
      </c>
      <c r="CT35" s="22">
        <v>29</v>
      </c>
      <c r="CU35" s="29">
        <v>21.202400000000001</v>
      </c>
      <c r="CV35" s="30"/>
      <c r="CW35" s="28">
        <v>18.866099999999999</v>
      </c>
      <c r="CX35" s="28">
        <v>19.067</v>
      </c>
      <c r="CY35" s="28">
        <v>18.418500000000002</v>
      </c>
      <c r="CZ35" s="28">
        <v>17.9862</v>
      </c>
      <c r="DA35" s="28">
        <v>17.688600000000001</v>
      </c>
      <c r="DB35" s="28">
        <v>17.6205</v>
      </c>
      <c r="DC35" s="28">
        <v>18.13</v>
      </c>
      <c r="DD35" s="28">
        <v>19.096</v>
      </c>
      <c r="DE35" s="28">
        <v>18.52</v>
      </c>
      <c r="DF35" s="28">
        <v>19.7867</v>
      </c>
      <c r="DG35" s="22">
        <v>29</v>
      </c>
      <c r="DJ35" s="22">
        <v>29</v>
      </c>
      <c r="DK35" s="29">
        <v>18.452999999999999</v>
      </c>
      <c r="DL35" s="30">
        <v>18.167999999999999</v>
      </c>
      <c r="DM35" s="28">
        <v>17.5273</v>
      </c>
      <c r="DN35" s="28">
        <v>17.3993</v>
      </c>
      <c r="DO35" s="28">
        <v>18.4572</v>
      </c>
      <c r="DP35" s="28">
        <v>19.128299999999999</v>
      </c>
      <c r="DQ35" s="28">
        <v>18.860199999999999</v>
      </c>
      <c r="DR35" s="28">
        <v>18.446000000000002</v>
      </c>
      <c r="DS35" s="28">
        <v>19.5044</v>
      </c>
      <c r="DT35" s="28">
        <v>18.8443</v>
      </c>
      <c r="DU35" s="28">
        <v>20.647500000000001</v>
      </c>
      <c r="DV35" s="28">
        <v>20.705200000000001</v>
      </c>
      <c r="DW35" s="22">
        <v>29</v>
      </c>
      <c r="DZ35" s="22">
        <v>29</v>
      </c>
      <c r="EA35" s="29">
        <v>14.587199999999999</v>
      </c>
      <c r="EB35" s="30"/>
      <c r="EC35" s="28">
        <v>15.105600000000001</v>
      </c>
      <c r="ED35" s="28">
        <v>15.321300000000001</v>
      </c>
      <c r="EE35" s="28">
        <v>15.3581</v>
      </c>
      <c r="EF35" s="28">
        <v>15.4816</v>
      </c>
      <c r="EG35" s="28">
        <v>16.2681</v>
      </c>
      <c r="EH35" s="28">
        <v>17.1065</v>
      </c>
      <c r="EI35" s="28">
        <v>16.959499999999998</v>
      </c>
      <c r="EJ35" s="28">
        <v>16.554500000000001</v>
      </c>
      <c r="EK35" s="28">
        <v>16.549199999999999</v>
      </c>
      <c r="EL35" s="28">
        <v>17.276</v>
      </c>
      <c r="EM35" s="22">
        <v>29</v>
      </c>
      <c r="EP35" s="22">
        <v>29</v>
      </c>
      <c r="EQ35" s="29">
        <v>13.440799999999999</v>
      </c>
      <c r="ER35" s="30"/>
      <c r="ES35" s="28">
        <v>13.0837</v>
      </c>
      <c r="ET35" s="28">
        <v>13.1371</v>
      </c>
      <c r="EU35" s="28">
        <v>12.8772</v>
      </c>
      <c r="EV35" s="28">
        <v>13.032299999999999</v>
      </c>
      <c r="EW35" s="28">
        <v>12.9445</v>
      </c>
      <c r="EX35" s="28">
        <v>13.081099999999999</v>
      </c>
      <c r="EY35" s="28">
        <v>13.3848</v>
      </c>
      <c r="EZ35" s="28">
        <v>13.5701</v>
      </c>
      <c r="FA35" s="28">
        <v>13.7667</v>
      </c>
      <c r="FB35" s="28">
        <v>14.742900000000001</v>
      </c>
      <c r="FC35" s="22">
        <v>29</v>
      </c>
      <c r="FF35" s="22">
        <v>29</v>
      </c>
      <c r="FG35" s="29">
        <v>12.699299999999999</v>
      </c>
      <c r="FH35" s="30"/>
      <c r="FI35" s="28">
        <v>12.3546</v>
      </c>
      <c r="FJ35" s="28">
        <v>12.123100000000001</v>
      </c>
      <c r="FK35" s="28">
        <v>12.4831</v>
      </c>
      <c r="FL35" s="28">
        <v>13.0235</v>
      </c>
      <c r="FM35" s="28">
        <v>12.646800000000001</v>
      </c>
      <c r="FN35" s="28">
        <v>13.336600000000001</v>
      </c>
      <c r="FO35" s="28">
        <v>13.011900000000001</v>
      </c>
      <c r="FP35" s="28">
        <v>12.869300000000001</v>
      </c>
      <c r="FQ35" s="28">
        <v>13.092499999999999</v>
      </c>
      <c r="FR35" s="28">
        <v>13.0547</v>
      </c>
      <c r="FS35" s="22">
        <v>29</v>
      </c>
      <c r="FV35" s="22">
        <v>29</v>
      </c>
      <c r="FW35" s="29">
        <v>12.932499999999999</v>
      </c>
      <c r="FX35" s="30">
        <v>12.8779</v>
      </c>
      <c r="FY35" s="28">
        <v>12.6706</v>
      </c>
      <c r="FZ35" s="28">
        <v>13.209300000000001</v>
      </c>
      <c r="GA35" s="28">
        <v>14.015599999999999</v>
      </c>
      <c r="GB35" s="28">
        <v>13.6652</v>
      </c>
      <c r="GC35" s="28">
        <v>13.442500000000001</v>
      </c>
      <c r="GD35" s="28">
        <v>13.170299999999999</v>
      </c>
      <c r="GE35" s="28">
        <v>12.8521</v>
      </c>
      <c r="GF35" s="28">
        <v>12.966900000000001</v>
      </c>
      <c r="GG35" s="28">
        <v>12.9861</v>
      </c>
      <c r="GH35" s="28">
        <v>13.0101</v>
      </c>
      <c r="GI35" s="22">
        <v>29</v>
      </c>
      <c r="GL35" s="22">
        <v>29</v>
      </c>
      <c r="GM35" s="29">
        <v>12.023899999999999</v>
      </c>
      <c r="GN35" s="30"/>
      <c r="GO35" s="28">
        <v>11.9505</v>
      </c>
      <c r="GP35" s="28">
        <v>11.5868</v>
      </c>
      <c r="GQ35" s="28">
        <v>11.695600000000001</v>
      </c>
      <c r="GR35" s="28">
        <v>11.893800000000001</v>
      </c>
      <c r="GS35" s="28">
        <v>11.652699999999999</v>
      </c>
      <c r="GT35" s="28">
        <v>12.4259</v>
      </c>
      <c r="GU35" s="28">
        <v>13.3414</v>
      </c>
      <c r="GV35" s="28">
        <v>13.1973</v>
      </c>
      <c r="GW35" s="28">
        <v>14.244300000000001</v>
      </c>
      <c r="GX35" s="28">
        <v>13.9658</v>
      </c>
      <c r="GY35" s="22">
        <v>29</v>
      </c>
      <c r="HB35" s="22">
        <v>29</v>
      </c>
      <c r="HC35" s="29">
        <v>12.929500000000001</v>
      </c>
      <c r="HD35" s="30"/>
      <c r="HE35" s="28">
        <v>12.5009</v>
      </c>
      <c r="HF35" s="28">
        <v>12.2278</v>
      </c>
      <c r="HG35" s="28">
        <v>12.884600000000001</v>
      </c>
      <c r="HH35" s="28">
        <v>12.7042</v>
      </c>
      <c r="HI35" s="28">
        <v>12.6469</v>
      </c>
      <c r="HJ35" s="28">
        <v>12.984</v>
      </c>
      <c r="HK35" s="28">
        <v>12.5168</v>
      </c>
      <c r="HL35" s="28">
        <v>12.477600000000001</v>
      </c>
      <c r="HM35" s="28">
        <v>12.366899999999999</v>
      </c>
      <c r="HN35" s="28">
        <v>12.3653</v>
      </c>
      <c r="HO35" s="22">
        <v>29</v>
      </c>
      <c r="HR35" s="22">
        <v>29</v>
      </c>
      <c r="HS35" s="29">
        <v>14.1675</v>
      </c>
      <c r="HT35" s="30"/>
      <c r="HU35" s="28">
        <v>14.2163</v>
      </c>
      <c r="HV35" s="28">
        <v>13.755000000000001</v>
      </c>
      <c r="HW35" s="28">
        <v>13.159000000000001</v>
      </c>
      <c r="HX35" s="28">
        <v>13.277799999999999</v>
      </c>
      <c r="HY35" s="28">
        <v>13.216699999999999</v>
      </c>
      <c r="HZ35" s="28">
        <v>13.2462</v>
      </c>
      <c r="IA35" s="28">
        <v>13.5243</v>
      </c>
      <c r="IB35" s="28">
        <v>13.2662</v>
      </c>
      <c r="IC35" s="28">
        <v>12.9475</v>
      </c>
      <c r="ID35" s="28">
        <v>12.879300000000001</v>
      </c>
      <c r="IE35" s="22">
        <v>29</v>
      </c>
      <c r="IH35" s="22">
        <v>29</v>
      </c>
      <c r="II35" s="29">
        <v>10.8698</v>
      </c>
      <c r="IJ35" s="30">
        <v>10.734400000000001</v>
      </c>
      <c r="IK35" s="28">
        <v>10.696199999999999</v>
      </c>
      <c r="IL35" s="28">
        <v>10.4702</v>
      </c>
      <c r="IM35" s="28">
        <v>10.3925</v>
      </c>
      <c r="IN35" s="28">
        <v>10.2841</v>
      </c>
      <c r="IO35" s="28">
        <v>10.019</v>
      </c>
      <c r="IP35" s="28">
        <v>10.142099999999999</v>
      </c>
      <c r="IQ35" s="28">
        <v>10.7653</v>
      </c>
      <c r="IR35" s="28">
        <v>13.308299999999999</v>
      </c>
      <c r="IS35" s="28">
        <v>13.2325</v>
      </c>
      <c r="IT35" s="28">
        <v>13.311400000000001</v>
      </c>
      <c r="IU35" s="22">
        <v>29</v>
      </c>
      <c r="IX35" s="22">
        <v>29</v>
      </c>
      <c r="IY35" s="29">
        <v>10.975300000000001</v>
      </c>
      <c r="IZ35" s="30"/>
      <c r="JA35" s="28">
        <v>11.047000000000001</v>
      </c>
      <c r="JB35" s="28">
        <v>10.9312</v>
      </c>
      <c r="JC35" s="28">
        <v>10.7803</v>
      </c>
      <c r="JD35" s="28">
        <v>10.866099999999999</v>
      </c>
      <c r="JE35" s="28">
        <v>10.9436</v>
      </c>
      <c r="JF35" s="28">
        <v>11.0382</v>
      </c>
      <c r="JG35" s="28">
        <v>10.920299999999999</v>
      </c>
      <c r="JH35" s="28">
        <v>10.8291</v>
      </c>
      <c r="JI35" s="28">
        <v>10.9695</v>
      </c>
      <c r="JJ35" s="28">
        <v>10.866199999999999</v>
      </c>
      <c r="JK35" s="22">
        <v>29</v>
      </c>
      <c r="JN35" s="22">
        <v>29</v>
      </c>
      <c r="JO35" s="29">
        <v>10.5039</v>
      </c>
      <c r="JP35" s="30"/>
      <c r="JQ35" s="28">
        <v>10.9329</v>
      </c>
      <c r="JR35" s="28">
        <v>11.1135</v>
      </c>
      <c r="JS35" s="28">
        <v>11.2097</v>
      </c>
      <c r="JT35" s="28">
        <v>11.430199999999999</v>
      </c>
      <c r="JU35" s="28">
        <v>10.896800000000001</v>
      </c>
      <c r="JV35" s="28">
        <v>10.9528</v>
      </c>
      <c r="JW35" s="28">
        <v>11.0152</v>
      </c>
      <c r="JX35" s="28">
        <v>10.731299999999999</v>
      </c>
      <c r="JY35" s="28">
        <v>11.052</v>
      </c>
      <c r="JZ35" s="28">
        <v>10.881</v>
      </c>
      <c r="KA35" s="22">
        <v>29</v>
      </c>
      <c r="KD35" s="22">
        <v>29</v>
      </c>
      <c r="KE35" s="29">
        <v>11.299099999999999</v>
      </c>
      <c r="KF35" s="30"/>
      <c r="KG35" s="28">
        <v>11.250500000000001</v>
      </c>
      <c r="KH35" s="28">
        <v>11.103300000000001</v>
      </c>
      <c r="KI35" s="28">
        <v>10.964499999999999</v>
      </c>
      <c r="KJ35" s="28">
        <v>10.8127</v>
      </c>
      <c r="KK35" s="28">
        <v>10.643000000000001</v>
      </c>
      <c r="KL35" s="28">
        <v>10.815300000000001</v>
      </c>
      <c r="KM35" s="28">
        <v>10.885999999999999</v>
      </c>
      <c r="KN35" s="28">
        <v>10.9092</v>
      </c>
      <c r="KO35" s="28">
        <v>10.606999999999999</v>
      </c>
      <c r="KP35" s="28">
        <v>10.7362</v>
      </c>
      <c r="KQ35" s="22">
        <v>29</v>
      </c>
      <c r="KT35" s="22">
        <v>29</v>
      </c>
      <c r="KU35" s="29">
        <v>10.8789</v>
      </c>
      <c r="KV35" s="30">
        <v>11.0715</v>
      </c>
      <c r="KW35" s="28">
        <v>11.013</v>
      </c>
      <c r="KX35" s="28">
        <v>11.3109</v>
      </c>
      <c r="KY35" s="28">
        <v>11.451499999999999</v>
      </c>
      <c r="KZ35" s="28">
        <v>11.317500000000001</v>
      </c>
      <c r="LA35" s="28">
        <v>11.511100000000001</v>
      </c>
      <c r="LB35" s="28">
        <v>11.366</v>
      </c>
      <c r="LC35" s="28">
        <v>11.434799999999999</v>
      </c>
      <c r="LD35" s="28">
        <v>11.511799999999999</v>
      </c>
      <c r="LE35" s="28">
        <v>11.2713</v>
      </c>
      <c r="LF35" s="28">
        <v>11.1348</v>
      </c>
      <c r="LG35" s="22">
        <v>29</v>
      </c>
      <c r="LJ35" s="22">
        <v>29</v>
      </c>
      <c r="LK35" s="29">
        <v>10.887499999999999</v>
      </c>
      <c r="LL35" s="30"/>
      <c r="LM35" s="28">
        <v>10.767099999999999</v>
      </c>
      <c r="LN35" s="28">
        <v>10.431800000000001</v>
      </c>
      <c r="LO35" s="28">
        <v>10.316599999999999</v>
      </c>
      <c r="LP35" s="28">
        <v>10.4808</v>
      </c>
      <c r="LQ35" s="28">
        <v>10.509499999999999</v>
      </c>
      <c r="LR35" s="28">
        <v>10.9337</v>
      </c>
      <c r="LS35" s="28">
        <v>10.811500000000001</v>
      </c>
      <c r="LT35" s="28">
        <v>11.1068</v>
      </c>
      <c r="LU35" s="28">
        <v>11.3385</v>
      </c>
      <c r="LV35" s="28">
        <v>11.2744</v>
      </c>
      <c r="LW35" s="22">
        <v>29</v>
      </c>
      <c r="LZ35" s="22">
        <v>29</v>
      </c>
      <c r="MA35" s="29">
        <v>9.1295000000000002</v>
      </c>
      <c r="MB35" s="30"/>
      <c r="MC35" s="28">
        <v>9.0243000000000002</v>
      </c>
      <c r="MD35" s="28">
        <v>9.3528000000000002</v>
      </c>
      <c r="ME35" s="28">
        <v>9.57</v>
      </c>
      <c r="MF35" s="28">
        <v>9.9614999999999991</v>
      </c>
      <c r="MG35" s="28">
        <v>9.7157999999999998</v>
      </c>
      <c r="MH35" s="28">
        <v>9.8543000000000003</v>
      </c>
      <c r="MI35" s="28">
        <v>10.166700000000001</v>
      </c>
      <c r="MJ35" s="28">
        <v>9.9816000000000003</v>
      </c>
      <c r="MK35" s="28">
        <v>10.1496</v>
      </c>
      <c r="ML35" s="28">
        <v>10.2479</v>
      </c>
      <c r="MM35" s="22">
        <v>29</v>
      </c>
      <c r="MP35" s="22">
        <v>29</v>
      </c>
      <c r="MQ35" s="29">
        <v>9.6829999999999998</v>
      </c>
      <c r="MR35" s="30"/>
      <c r="MS35" s="28">
        <v>9.5138999999999996</v>
      </c>
      <c r="MT35" s="28">
        <v>9.2670999999999992</v>
      </c>
      <c r="MU35" s="28">
        <v>9.0945</v>
      </c>
      <c r="MV35" s="28">
        <v>9.0608000000000004</v>
      </c>
      <c r="MW35" s="28">
        <v>9.157</v>
      </c>
      <c r="MX35" s="28">
        <v>9.1122999999999994</v>
      </c>
      <c r="MY35" s="28">
        <v>9.5541999999999998</v>
      </c>
      <c r="MZ35" s="28">
        <v>9.2469000000000001</v>
      </c>
      <c r="NA35" s="28">
        <v>9.2371999999999996</v>
      </c>
      <c r="NB35" s="28">
        <v>9.1423000000000005</v>
      </c>
      <c r="NC35" s="22">
        <v>29</v>
      </c>
      <c r="NF35" s="22">
        <v>29</v>
      </c>
      <c r="NG35" s="29">
        <v>9.5122999999999998</v>
      </c>
      <c r="NH35" s="30">
        <v>9.3748000000000005</v>
      </c>
      <c r="NI35" s="28">
        <v>9.1775000000000002</v>
      </c>
      <c r="NJ35" s="28">
        <v>9.4520999999999997</v>
      </c>
      <c r="NK35" s="28">
        <v>9.4939999999999998</v>
      </c>
      <c r="NL35" s="28">
        <v>10.0787</v>
      </c>
      <c r="NM35" s="28">
        <v>9.3610000000000007</v>
      </c>
      <c r="NN35" s="28">
        <v>9.2341999999999995</v>
      </c>
      <c r="NO35" s="28">
        <v>9.4087999999999994</v>
      </c>
      <c r="NP35" s="28">
        <v>9.6776999999999997</v>
      </c>
      <c r="NQ35" s="28">
        <v>9.3691999999999993</v>
      </c>
      <c r="NR35" s="28">
        <v>9.5722000000000005</v>
      </c>
      <c r="NS35" s="22">
        <v>29</v>
      </c>
      <c r="NV35" s="22">
        <v>29</v>
      </c>
      <c r="NW35" s="29">
        <v>10.1745</v>
      </c>
      <c r="NX35" s="30"/>
      <c r="NY35" s="28">
        <v>9.6454000000000004</v>
      </c>
      <c r="NZ35" s="28">
        <v>9.3285</v>
      </c>
      <c r="OA35" s="28">
        <v>9.7498000000000005</v>
      </c>
      <c r="OB35" s="28">
        <v>9.4717000000000002</v>
      </c>
      <c r="OC35" s="28">
        <v>9.3680000000000003</v>
      </c>
      <c r="OD35" s="28">
        <v>9.3393999999999995</v>
      </c>
      <c r="OE35" s="28">
        <v>9.3157999999999994</v>
      </c>
      <c r="OF35" s="28">
        <v>9.6503999999999994</v>
      </c>
      <c r="OG35" s="28">
        <v>9.2944999999999993</v>
      </c>
      <c r="OH35" s="28">
        <v>9.4632000000000005</v>
      </c>
      <c r="OI35" s="22">
        <v>29</v>
      </c>
      <c r="OL35" s="22">
        <v>29</v>
      </c>
      <c r="OM35" s="29">
        <v>8.2661999999999995</v>
      </c>
      <c r="ON35" s="30"/>
      <c r="OO35" s="28">
        <v>8.5251999999999999</v>
      </c>
      <c r="OP35" s="28">
        <v>8.5190000000000001</v>
      </c>
      <c r="OQ35" s="28">
        <v>8.8802000000000003</v>
      </c>
      <c r="OR35" s="28">
        <v>8.9536999999999995</v>
      </c>
      <c r="OS35" s="28">
        <v>8.8930000000000007</v>
      </c>
      <c r="OT35" s="28">
        <v>9.9600000000000009</v>
      </c>
      <c r="OU35" s="28">
        <v>10.2438</v>
      </c>
      <c r="OV35" s="28">
        <v>10.148999999999999</v>
      </c>
      <c r="OW35" s="28">
        <v>9.9404000000000003</v>
      </c>
      <c r="OX35" s="28">
        <v>9.8821999999999992</v>
      </c>
      <c r="OY35" s="22">
        <v>29</v>
      </c>
      <c r="PB35" s="22">
        <v>29</v>
      </c>
      <c r="PC35" s="29">
        <v>7.8311999999999999</v>
      </c>
      <c r="PD35" s="30"/>
      <c r="PE35" s="28">
        <v>7.8905000000000003</v>
      </c>
      <c r="PF35" s="28">
        <v>7.8917000000000002</v>
      </c>
      <c r="PG35" s="28">
        <v>7.9263000000000003</v>
      </c>
      <c r="PH35" s="28">
        <v>7.9577</v>
      </c>
      <c r="PI35" s="28">
        <v>7.7717000000000001</v>
      </c>
      <c r="PJ35" s="28">
        <v>7.7548000000000004</v>
      </c>
      <c r="PK35" s="28">
        <v>7.8071999999999999</v>
      </c>
      <c r="PL35" s="28">
        <v>8.14</v>
      </c>
      <c r="PM35" s="28">
        <v>8.2164999999999999</v>
      </c>
      <c r="PN35" s="28">
        <v>8.1647999999999996</v>
      </c>
      <c r="PO35" s="22">
        <v>29</v>
      </c>
      <c r="PR35" s="22">
        <v>29</v>
      </c>
      <c r="PS35" s="29">
        <v>7.3867000000000003</v>
      </c>
      <c r="PT35" s="30">
        <v>7.5389999999999997</v>
      </c>
      <c r="PU35" s="28">
        <v>7.5479000000000003</v>
      </c>
      <c r="PV35" s="28">
        <v>7.3794000000000004</v>
      </c>
      <c r="PW35" s="28">
        <v>7.3840000000000003</v>
      </c>
      <c r="PX35" s="28">
        <v>7.6322999999999999</v>
      </c>
      <c r="PY35" s="28">
        <v>7.5903</v>
      </c>
      <c r="PZ35" s="28">
        <v>7.5163000000000002</v>
      </c>
      <c r="QA35" s="28">
        <v>7.5373999999999999</v>
      </c>
      <c r="QB35" s="28">
        <v>7.9550000000000001</v>
      </c>
      <c r="QC35" s="28">
        <v>7.87</v>
      </c>
      <c r="QD35" s="28">
        <v>7.8441999999999998</v>
      </c>
      <c r="QE35" s="22">
        <v>29</v>
      </c>
      <c r="QH35" s="22">
        <v>29</v>
      </c>
      <c r="QI35" s="29">
        <v>5.69</v>
      </c>
      <c r="QJ35" s="30"/>
      <c r="QK35" s="28">
        <v>6.7275</v>
      </c>
      <c r="QL35" s="28">
        <v>5.8982999999999999</v>
      </c>
      <c r="QM35" s="28">
        <v>6.0549999999999997</v>
      </c>
      <c r="QN35" s="28">
        <v>6.2717000000000001</v>
      </c>
      <c r="QO35" s="28">
        <v>6.0881999999999996</v>
      </c>
      <c r="QP35" s="28">
        <v>6.3342000000000001</v>
      </c>
      <c r="QQ35" s="28">
        <v>6.4195000000000002</v>
      </c>
      <c r="QR35" s="28">
        <v>7.1666999999999996</v>
      </c>
      <c r="QS35" s="28">
        <v>7.6783000000000001</v>
      </c>
      <c r="QT35" s="28">
        <v>7.6425000000000001</v>
      </c>
      <c r="QU35" s="22">
        <v>29</v>
      </c>
      <c r="QX35" s="22">
        <v>29</v>
      </c>
      <c r="QY35" s="29">
        <v>3.1063000000000001</v>
      </c>
      <c r="QZ35" s="30"/>
      <c r="RA35" s="28">
        <v>3.3586</v>
      </c>
      <c r="RB35" s="28">
        <v>3.2673000000000001</v>
      </c>
      <c r="RC35" s="28">
        <v>3.3148</v>
      </c>
      <c r="RD35" s="28">
        <v>3.3917999999999999</v>
      </c>
      <c r="RE35" s="28">
        <v>3.4018999999999999</v>
      </c>
      <c r="RF35" s="28">
        <v>3.3671000000000002</v>
      </c>
      <c r="RG35" s="28">
        <v>3.3908</v>
      </c>
      <c r="RH35" s="28">
        <v>3.43</v>
      </c>
      <c r="RI35" s="28">
        <v>3.4481000000000002</v>
      </c>
      <c r="RJ35" s="28">
        <v>5.7625000000000002</v>
      </c>
      <c r="RK35" s="22">
        <v>29</v>
      </c>
      <c r="RN35" s="22">
        <v>29</v>
      </c>
      <c r="RO35" s="29">
        <v>3.0939000000000001</v>
      </c>
      <c r="RP35" s="30"/>
      <c r="RQ35" s="28">
        <v>3.1114000000000002</v>
      </c>
      <c r="RR35" s="28">
        <v>3.0960999999999999</v>
      </c>
      <c r="RS35" s="28">
        <v>3.1227</v>
      </c>
      <c r="RT35" s="28">
        <v>3.1194999999999999</v>
      </c>
      <c r="RU35" s="28">
        <v>3.1208999999999998</v>
      </c>
      <c r="RV35" s="28">
        <v>3.1116999999999999</v>
      </c>
      <c r="RW35" s="28">
        <v>3.1198999999999999</v>
      </c>
      <c r="RX35" s="28">
        <v>3.1175999999999999</v>
      </c>
      <c r="RY35" s="28">
        <v>3.1168</v>
      </c>
      <c r="RZ35" s="28">
        <v>3.1055999999999999</v>
      </c>
      <c r="SA35" s="22">
        <v>29</v>
      </c>
      <c r="SD35" s="22">
        <v>29</v>
      </c>
      <c r="SE35" s="29">
        <v>3.0687000000000002</v>
      </c>
      <c r="SF35" s="30">
        <v>3.0608</v>
      </c>
      <c r="SG35" s="28">
        <v>3.0901999999999998</v>
      </c>
      <c r="SH35" s="28">
        <v>3.0764999999999998</v>
      </c>
      <c r="SI35" s="28">
        <v>3.1133999999999999</v>
      </c>
      <c r="SJ35" s="28">
        <v>3.1225000000000001</v>
      </c>
      <c r="SK35" s="28">
        <v>3.1139000000000001</v>
      </c>
      <c r="SL35" s="28">
        <v>3.081</v>
      </c>
      <c r="SM35" s="28">
        <v>3.1071</v>
      </c>
      <c r="SN35" s="28">
        <v>3.1364000000000001</v>
      </c>
      <c r="SO35" s="28">
        <v>3.1158999999999999</v>
      </c>
      <c r="SP35" s="28">
        <v>3.1133999999999999</v>
      </c>
      <c r="SQ35" s="22">
        <v>29</v>
      </c>
      <c r="ST35" s="22">
        <v>29</v>
      </c>
      <c r="SU35" s="29">
        <v>2.9565999999999999</v>
      </c>
      <c r="SV35" s="30"/>
      <c r="SW35" s="28">
        <v>2.9809999999999999</v>
      </c>
      <c r="SX35" s="28">
        <v>2.9925999999999999</v>
      </c>
      <c r="SY35" s="28">
        <v>3.0053999999999998</v>
      </c>
      <c r="SZ35" s="28">
        <v>3.0177999999999998</v>
      </c>
      <c r="TA35" s="28">
        <v>3.0289999999999999</v>
      </c>
      <c r="TB35" s="28">
        <v>3.0421999999999998</v>
      </c>
      <c r="TC35" s="28">
        <v>3.0558000000000001</v>
      </c>
      <c r="TD35" s="28">
        <v>3.0674000000000001</v>
      </c>
      <c r="TE35" s="28">
        <v>3.0730599999999999</v>
      </c>
      <c r="TF35" s="28">
        <v>3.0710000000000002</v>
      </c>
      <c r="TG35" s="22">
        <v>29</v>
      </c>
      <c r="TJ35" s="22">
        <v>29</v>
      </c>
      <c r="TK35" s="29">
        <v>2.669</v>
      </c>
      <c r="TL35" s="30"/>
      <c r="TM35" s="28">
        <v>2.73</v>
      </c>
      <c r="TN35" s="28">
        <v>2.76</v>
      </c>
      <c r="TO35" s="28">
        <v>2.7890000000000001</v>
      </c>
      <c r="TP35" s="28">
        <v>2.8161999999999998</v>
      </c>
      <c r="TQ35" s="28">
        <v>2.8393999999999999</v>
      </c>
      <c r="TR35" s="28">
        <v>2.8650000000000002</v>
      </c>
      <c r="TS35" s="28">
        <v>2.8898000000000001</v>
      </c>
      <c r="TT35" s="28">
        <v>2.9121999999999999</v>
      </c>
      <c r="TU35" s="28">
        <v>2.9329999999999998</v>
      </c>
      <c r="TV35" s="28">
        <v>2.9449999999999998</v>
      </c>
      <c r="TW35" s="22">
        <v>29</v>
      </c>
      <c r="TZ35" s="22">
        <v>29</v>
      </c>
      <c r="UA35" s="29">
        <v>2.3050000000000002</v>
      </c>
      <c r="UB35" s="30"/>
      <c r="UC35" s="28">
        <v>2.3650000000000002</v>
      </c>
      <c r="UD35" s="28">
        <v>2.3959999999999999</v>
      </c>
      <c r="UE35" s="28">
        <v>2.4239999999999999</v>
      </c>
      <c r="UF35" s="28">
        <v>2.4569999999999999</v>
      </c>
      <c r="UG35" s="28">
        <v>2.4870000000000001</v>
      </c>
      <c r="UH35" s="28">
        <v>2.516</v>
      </c>
      <c r="UI35" s="28">
        <v>2.5489999999999999</v>
      </c>
      <c r="UJ35" s="28">
        <v>2.5779999999999998</v>
      </c>
      <c r="UK35" s="28">
        <v>2.61</v>
      </c>
      <c r="UL35" s="28">
        <v>2.64</v>
      </c>
      <c r="UM35" s="22">
        <v>29</v>
      </c>
    </row>
    <row r="36" spans="2:559" s="7" customFormat="1" ht="19.2">
      <c r="B36" s="22">
        <v>30</v>
      </c>
      <c r="C36" s="28">
        <v>18.8355</v>
      </c>
      <c r="D36" s="3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2">
        <v>30</v>
      </c>
      <c r="R36" s="22">
        <v>30</v>
      </c>
      <c r="S36" s="28">
        <v>20.738299999999999</v>
      </c>
      <c r="T36" s="30"/>
      <c r="U36" s="28">
        <v>20.119499999999999</v>
      </c>
      <c r="V36" s="28">
        <v>20.567</v>
      </c>
      <c r="W36" s="28">
        <v>19.793299999999999</v>
      </c>
      <c r="X36" s="28">
        <v>19.9847</v>
      </c>
      <c r="Y36" s="28">
        <v>20.377800000000001</v>
      </c>
      <c r="Z36" s="28">
        <v>19.9268</v>
      </c>
      <c r="AA36" s="28">
        <v>20.305800000000001</v>
      </c>
      <c r="AB36" s="28">
        <v>19.836500000000001</v>
      </c>
      <c r="AC36" s="28">
        <v>19.324999999999999</v>
      </c>
      <c r="AD36" s="28">
        <v>19.414300000000001</v>
      </c>
      <c r="AE36" s="22">
        <v>30</v>
      </c>
      <c r="AH36" s="22">
        <v>30</v>
      </c>
      <c r="AI36" s="28">
        <v>20.2697</v>
      </c>
      <c r="AJ36" s="30"/>
      <c r="AK36" s="28">
        <v>20.567699999999999</v>
      </c>
      <c r="AL36" s="28">
        <v>19.9712</v>
      </c>
      <c r="AM36" s="28">
        <v>19.948699999999999</v>
      </c>
      <c r="AN36" s="28">
        <v>19.802700000000002</v>
      </c>
      <c r="AO36" s="28">
        <v>19.953499999999998</v>
      </c>
      <c r="AP36" s="28">
        <v>20.3522</v>
      </c>
      <c r="AQ36" s="28">
        <v>20.306000000000001</v>
      </c>
      <c r="AR36" s="28">
        <v>20.325500000000002</v>
      </c>
      <c r="AS36" s="28">
        <v>21.8185</v>
      </c>
      <c r="AT36" s="28">
        <v>20.577000000000002</v>
      </c>
      <c r="AU36" s="22">
        <v>30</v>
      </c>
      <c r="AV36" s="8"/>
      <c r="AW36" s="8"/>
      <c r="AX36" s="22">
        <v>30</v>
      </c>
      <c r="AY36" s="28">
        <v>18.802199999999999</v>
      </c>
      <c r="AZ36" s="30"/>
      <c r="BA36" s="28">
        <v>23.097000000000001</v>
      </c>
      <c r="BB36" s="28">
        <v>24.388200000000001</v>
      </c>
      <c r="BC36" s="28">
        <v>22.204000000000001</v>
      </c>
      <c r="BD36" s="28">
        <v>22.971499999999999</v>
      </c>
      <c r="BE36" s="28">
        <v>21.961500000000001</v>
      </c>
      <c r="BF36" s="28">
        <v>22.116800000000001</v>
      </c>
      <c r="BG36" s="28">
        <v>22.4573</v>
      </c>
      <c r="BH36" s="28">
        <v>21.1648</v>
      </c>
      <c r="BI36" s="28">
        <v>20.046700000000001</v>
      </c>
      <c r="BJ36" s="28">
        <v>20.047699999999999</v>
      </c>
      <c r="BK36" s="22">
        <v>30</v>
      </c>
      <c r="BN36" s="22">
        <v>30</v>
      </c>
      <c r="BO36" s="28">
        <v>19.0381</v>
      </c>
      <c r="BP36" s="30"/>
      <c r="BQ36" s="28">
        <v>19.379300000000001</v>
      </c>
      <c r="BR36" s="28">
        <v>18.941400000000002</v>
      </c>
      <c r="BS36" s="28">
        <v>19.165199999999999</v>
      </c>
      <c r="BT36" s="28">
        <v>19.168500000000002</v>
      </c>
      <c r="BU36" s="28">
        <v>19.069900000000001</v>
      </c>
      <c r="BV36" s="28">
        <v>20.031400000000001</v>
      </c>
      <c r="BW36" s="28">
        <v>19.636299999999999</v>
      </c>
      <c r="BX36" s="28">
        <v>19.054300000000001</v>
      </c>
      <c r="BY36" s="28">
        <v>19.6113</v>
      </c>
      <c r="BZ36" s="28">
        <v>18.944500000000001</v>
      </c>
      <c r="CA36" s="22">
        <v>30</v>
      </c>
      <c r="CD36" s="22">
        <v>30</v>
      </c>
      <c r="CE36" s="29">
        <v>18.467199999999998</v>
      </c>
      <c r="CF36" s="30"/>
      <c r="CG36" s="28">
        <v>18.3445</v>
      </c>
      <c r="CH36" s="28">
        <v>18.8644</v>
      </c>
      <c r="CI36" s="28">
        <v>19.5915</v>
      </c>
      <c r="CJ36" s="28">
        <v>19.863299999999999</v>
      </c>
      <c r="CK36" s="28">
        <v>18.6234</v>
      </c>
      <c r="CL36" s="28">
        <v>18.935400000000001</v>
      </c>
      <c r="CM36" s="28">
        <v>18.812000000000001</v>
      </c>
      <c r="CN36" s="28">
        <v>19.478999999999999</v>
      </c>
      <c r="CO36" s="28">
        <v>20.410799999999998</v>
      </c>
      <c r="CP36" s="28">
        <v>19.6829</v>
      </c>
      <c r="CQ36" s="22">
        <v>30</v>
      </c>
      <c r="CT36" s="22">
        <v>30</v>
      </c>
      <c r="CU36" s="29">
        <v>21.202400000000001</v>
      </c>
      <c r="CV36" s="30"/>
      <c r="CW36" s="28">
        <v>18.885300000000001</v>
      </c>
      <c r="CX36" s="28">
        <v>19.067</v>
      </c>
      <c r="CY36" s="28">
        <v>18.4849</v>
      </c>
      <c r="CZ36" s="28">
        <v>17.897300000000001</v>
      </c>
      <c r="DA36" s="28">
        <v>17.688600000000001</v>
      </c>
      <c r="DB36" s="28">
        <v>17.8049</v>
      </c>
      <c r="DC36" s="28">
        <v>18.197900000000001</v>
      </c>
      <c r="DD36" s="28">
        <v>19.096</v>
      </c>
      <c r="DE36" s="28">
        <v>18.584800000000001</v>
      </c>
      <c r="DF36" s="28">
        <v>19.735399999999998</v>
      </c>
      <c r="DG36" s="22">
        <v>30</v>
      </c>
      <c r="DJ36" s="22">
        <v>30</v>
      </c>
      <c r="DK36" s="29">
        <v>18.290600000000001</v>
      </c>
      <c r="DL36" s="30"/>
      <c r="DM36" s="28">
        <v>17.460999999999999</v>
      </c>
      <c r="DN36" s="28">
        <v>17.212499999999999</v>
      </c>
      <c r="DO36" s="28">
        <v>18.4572</v>
      </c>
      <c r="DP36" s="28">
        <v>18.911300000000001</v>
      </c>
      <c r="DQ36" s="28">
        <v>18.8979</v>
      </c>
      <c r="DR36" s="28">
        <v>18.283000000000001</v>
      </c>
      <c r="DS36" s="28">
        <v>19.5002</v>
      </c>
      <c r="DT36" s="28">
        <v>18.8443</v>
      </c>
      <c r="DU36" s="28">
        <v>20.552099999999999</v>
      </c>
      <c r="DV36" s="28">
        <v>20.731400000000001</v>
      </c>
      <c r="DW36" s="22">
        <v>30</v>
      </c>
      <c r="DZ36" s="22">
        <v>30</v>
      </c>
      <c r="EA36" s="29">
        <v>14.687799999999999</v>
      </c>
      <c r="EB36" s="30"/>
      <c r="EC36" s="28">
        <v>15.105600000000001</v>
      </c>
      <c r="ED36" s="28">
        <v>15.2225</v>
      </c>
      <c r="EE36" s="28">
        <v>15.373699999999999</v>
      </c>
      <c r="EF36" s="28">
        <v>15.567600000000001</v>
      </c>
      <c r="EG36" s="28">
        <v>16.2638</v>
      </c>
      <c r="EH36" s="28">
        <v>17.1065</v>
      </c>
      <c r="EI36" s="28">
        <v>17.007300000000001</v>
      </c>
      <c r="EJ36" s="28">
        <v>16.450299999999999</v>
      </c>
      <c r="EK36" s="28">
        <v>16.549199999999999</v>
      </c>
      <c r="EL36" s="28">
        <v>17.271000000000001</v>
      </c>
      <c r="EM36" s="22">
        <v>30</v>
      </c>
      <c r="EP36" s="22">
        <v>30</v>
      </c>
      <c r="EQ36" s="29">
        <v>13.3104</v>
      </c>
      <c r="ER36" s="30"/>
      <c r="ES36" s="28">
        <v>13.0837</v>
      </c>
      <c r="ET36" s="28">
        <v>13.1356</v>
      </c>
      <c r="EU36" s="28">
        <v>12.866</v>
      </c>
      <c r="EV36" s="28">
        <v>13.032299999999999</v>
      </c>
      <c r="EW36" s="28">
        <v>12.9878</v>
      </c>
      <c r="EX36" s="28">
        <v>13.110900000000001</v>
      </c>
      <c r="EY36" s="28">
        <v>13.4541</v>
      </c>
      <c r="EZ36" s="28">
        <v>13.484299999999999</v>
      </c>
      <c r="FA36" s="28">
        <v>13.7667</v>
      </c>
      <c r="FB36" s="28">
        <v>14.695499999999999</v>
      </c>
      <c r="FC36" s="22">
        <v>30</v>
      </c>
      <c r="FF36" s="22">
        <v>30</v>
      </c>
      <c r="FG36" s="29">
        <v>12.780200000000001</v>
      </c>
      <c r="FH36" s="30"/>
      <c r="FI36" s="28">
        <v>12.3546</v>
      </c>
      <c r="FJ36" s="28">
        <v>12.154999999999999</v>
      </c>
      <c r="FK36" s="28">
        <v>12.5275</v>
      </c>
      <c r="FL36" s="28">
        <v>13.0235</v>
      </c>
      <c r="FM36" s="28">
        <v>12.709099999999999</v>
      </c>
      <c r="FN36" s="28">
        <v>13.2539</v>
      </c>
      <c r="FO36" s="28">
        <v>13.011900000000001</v>
      </c>
      <c r="FP36" s="28">
        <v>12.8948</v>
      </c>
      <c r="FQ36" s="28">
        <v>13.083600000000001</v>
      </c>
      <c r="FR36" s="28">
        <v>13.0547</v>
      </c>
      <c r="FS36" s="22">
        <v>30</v>
      </c>
      <c r="FV36" s="22">
        <v>30</v>
      </c>
      <c r="FW36" s="29">
        <v>12.932499999999999</v>
      </c>
      <c r="FX36" s="30"/>
      <c r="FY36" s="28">
        <v>12.803900000000001</v>
      </c>
      <c r="FZ36" s="28">
        <v>13.209300000000001</v>
      </c>
      <c r="GA36" s="28">
        <v>13.943899999999999</v>
      </c>
      <c r="GB36" s="28">
        <v>13.653</v>
      </c>
      <c r="GC36" s="28">
        <v>13.442500000000001</v>
      </c>
      <c r="GD36" s="28">
        <v>13.184699999999999</v>
      </c>
      <c r="GE36" s="28">
        <v>12.8521</v>
      </c>
      <c r="GF36" s="28">
        <v>13.011200000000001</v>
      </c>
      <c r="GG36" s="28">
        <v>13.0372</v>
      </c>
      <c r="GH36" s="28">
        <v>13.0101</v>
      </c>
      <c r="GI36" s="22">
        <v>30</v>
      </c>
      <c r="GL36" s="22">
        <v>30</v>
      </c>
      <c r="GM36" s="29">
        <v>12.023899999999999</v>
      </c>
      <c r="GN36" s="30"/>
      <c r="GO36" s="28">
        <v>11.959</v>
      </c>
      <c r="GP36" s="28">
        <v>11.5428</v>
      </c>
      <c r="GQ36" s="28">
        <v>11.695600000000001</v>
      </c>
      <c r="GR36" s="28">
        <v>11.838900000000001</v>
      </c>
      <c r="GS36" s="28">
        <v>11.6821</v>
      </c>
      <c r="GT36" s="28">
        <v>12.4953</v>
      </c>
      <c r="GU36" s="28">
        <v>13.4217</v>
      </c>
      <c r="GV36" s="28">
        <v>13.1973</v>
      </c>
      <c r="GW36" s="28">
        <v>14.0344</v>
      </c>
      <c r="GX36" s="28">
        <v>13.990399999999999</v>
      </c>
      <c r="GY36" s="22">
        <v>30</v>
      </c>
      <c r="HB36" s="22">
        <v>30</v>
      </c>
      <c r="HC36" s="29">
        <v>12.9975</v>
      </c>
      <c r="HD36" s="30"/>
      <c r="HE36" s="28">
        <v>12.5426</v>
      </c>
      <c r="HF36" s="28">
        <v>12.3698</v>
      </c>
      <c r="HG36" s="28">
        <v>12.884600000000001</v>
      </c>
      <c r="HH36" s="28">
        <v>12.656700000000001</v>
      </c>
      <c r="HI36" s="28">
        <v>12.6798</v>
      </c>
      <c r="HJ36" s="28">
        <v>12.984</v>
      </c>
      <c r="HK36" s="28">
        <v>12.501099999999999</v>
      </c>
      <c r="HL36" s="28">
        <v>12.4023</v>
      </c>
      <c r="HM36" s="28">
        <v>12.489000000000001</v>
      </c>
      <c r="HN36" s="28">
        <v>12.3567</v>
      </c>
      <c r="HO36" s="22">
        <v>30</v>
      </c>
      <c r="HR36" s="22">
        <v>30</v>
      </c>
      <c r="HS36" s="29">
        <v>14.151300000000001</v>
      </c>
      <c r="HT36" s="30"/>
      <c r="HU36" s="28">
        <v>14.2163</v>
      </c>
      <c r="HV36" s="28">
        <v>13.8667</v>
      </c>
      <c r="HW36" s="28">
        <v>13.233700000000001</v>
      </c>
      <c r="HX36" s="28">
        <v>13.202299999999999</v>
      </c>
      <c r="HY36" s="28">
        <v>13.282500000000001</v>
      </c>
      <c r="HZ36" s="28">
        <v>13.2462</v>
      </c>
      <c r="IA36" s="28">
        <v>13.504200000000001</v>
      </c>
      <c r="IB36" s="28">
        <v>13.282299999999999</v>
      </c>
      <c r="IC36" s="28">
        <v>12.9475</v>
      </c>
      <c r="ID36" s="28">
        <v>12.928800000000001</v>
      </c>
      <c r="IE36" s="22">
        <v>30</v>
      </c>
      <c r="IH36" s="22">
        <v>30</v>
      </c>
      <c r="II36" s="29">
        <v>10.878399999999999</v>
      </c>
      <c r="IJ36" s="30"/>
      <c r="IK36" s="28">
        <v>10.696199999999999</v>
      </c>
      <c r="IL36" s="28">
        <v>10.446400000000001</v>
      </c>
      <c r="IM36" s="28">
        <v>10.3447</v>
      </c>
      <c r="IN36" s="28">
        <v>10.2841</v>
      </c>
      <c r="IO36" s="28">
        <v>10.070600000000001</v>
      </c>
      <c r="IP36" s="28">
        <v>10.1822</v>
      </c>
      <c r="IQ36" s="28">
        <v>10.7919</v>
      </c>
      <c r="IR36" s="28">
        <v>13.369199999999999</v>
      </c>
      <c r="IS36" s="28">
        <v>13.2325</v>
      </c>
      <c r="IT36" s="28">
        <v>13.3538</v>
      </c>
      <c r="IU36" s="22">
        <v>30</v>
      </c>
      <c r="IX36" s="22">
        <v>30</v>
      </c>
      <c r="IY36" s="29">
        <v>11.0402</v>
      </c>
      <c r="IZ36" s="30"/>
      <c r="JA36" s="28">
        <v>11.081300000000001</v>
      </c>
      <c r="JB36" s="28">
        <v>10.9312</v>
      </c>
      <c r="JC36" s="28">
        <v>10.7788</v>
      </c>
      <c r="JD36" s="28">
        <v>10.7926</v>
      </c>
      <c r="JE36" s="28">
        <v>10.9436</v>
      </c>
      <c r="JF36" s="28">
        <v>11.092000000000001</v>
      </c>
      <c r="JG36" s="28">
        <v>10.920299999999999</v>
      </c>
      <c r="JH36" s="28">
        <v>10.7523</v>
      </c>
      <c r="JI36" s="28">
        <v>10.9345</v>
      </c>
      <c r="JJ36" s="28">
        <v>10.866199999999999</v>
      </c>
      <c r="JK36" s="22">
        <v>30</v>
      </c>
      <c r="JN36" s="22">
        <v>30</v>
      </c>
      <c r="JO36" s="29">
        <v>10.5039</v>
      </c>
      <c r="JP36" s="30"/>
      <c r="JQ36" s="28">
        <v>10.9633</v>
      </c>
      <c r="JR36" s="28">
        <v>11.1135</v>
      </c>
      <c r="JS36" s="28">
        <v>11.1373</v>
      </c>
      <c r="JT36" s="28">
        <v>11.3973</v>
      </c>
      <c r="JU36" s="28">
        <v>10.896800000000001</v>
      </c>
      <c r="JV36" s="28">
        <v>10.934699999999999</v>
      </c>
      <c r="JW36" s="28">
        <v>11.0502</v>
      </c>
      <c r="JX36" s="28">
        <v>10.731299999999999</v>
      </c>
      <c r="JY36" s="28">
        <v>11.045400000000001</v>
      </c>
      <c r="JZ36" s="28">
        <v>10.875500000000001</v>
      </c>
      <c r="KA36" s="22">
        <v>30</v>
      </c>
      <c r="KD36" s="22">
        <v>30</v>
      </c>
      <c r="KE36" s="29">
        <v>11.299099999999999</v>
      </c>
      <c r="KF36" s="30"/>
      <c r="KG36" s="28">
        <v>11.322800000000001</v>
      </c>
      <c r="KH36" s="28">
        <v>11.1159</v>
      </c>
      <c r="KI36" s="28">
        <v>10.964499999999999</v>
      </c>
      <c r="KJ36" s="28">
        <v>10.8428</v>
      </c>
      <c r="KK36" s="28">
        <v>10.620100000000001</v>
      </c>
      <c r="KL36" s="28">
        <v>10.833299999999999</v>
      </c>
      <c r="KM36" s="28">
        <v>10.849500000000001</v>
      </c>
      <c r="KN36" s="28">
        <v>10.9092</v>
      </c>
      <c r="KO36" s="28">
        <v>10.567</v>
      </c>
      <c r="KP36" s="28">
        <v>10.777699999999999</v>
      </c>
      <c r="KQ36" s="22">
        <v>30</v>
      </c>
      <c r="KT36" s="22">
        <v>30</v>
      </c>
      <c r="KU36" s="29">
        <v>10.9145</v>
      </c>
      <c r="KV36" s="30"/>
      <c r="KW36" s="28">
        <v>11.0578</v>
      </c>
      <c r="KX36" s="28">
        <v>11.338699999999999</v>
      </c>
      <c r="KY36" s="28">
        <v>11.451499999999999</v>
      </c>
      <c r="KZ36" s="28">
        <v>11.4116</v>
      </c>
      <c r="LA36" s="28">
        <v>11.4801</v>
      </c>
      <c r="LB36" s="28">
        <v>11.366</v>
      </c>
      <c r="LC36" s="28">
        <v>11.410600000000001</v>
      </c>
      <c r="LD36" s="28">
        <v>11.529299999999999</v>
      </c>
      <c r="LE36" s="28">
        <v>11.247</v>
      </c>
      <c r="LF36" s="28">
        <v>11.2042</v>
      </c>
      <c r="LG36" s="22">
        <v>30</v>
      </c>
      <c r="LJ36" s="22">
        <v>30</v>
      </c>
      <c r="LK36" s="29">
        <v>10.8842</v>
      </c>
      <c r="LL36" s="30"/>
      <c r="LM36" s="28">
        <v>10.767099999999999</v>
      </c>
      <c r="LN36" s="28">
        <v>10.430400000000001</v>
      </c>
      <c r="LO36" s="28">
        <v>10.4063</v>
      </c>
      <c r="LP36" s="28">
        <v>10.4808</v>
      </c>
      <c r="LQ36" s="28">
        <v>10.464499999999999</v>
      </c>
      <c r="LR36" s="28">
        <v>10.980600000000001</v>
      </c>
      <c r="LS36" s="28">
        <v>10.927199999999999</v>
      </c>
      <c r="LT36" s="28">
        <v>11.0693</v>
      </c>
      <c r="LU36" s="28">
        <v>11.3385</v>
      </c>
      <c r="LV36" s="28">
        <v>11.218</v>
      </c>
      <c r="LW36" s="22">
        <v>30</v>
      </c>
      <c r="LZ36" s="22">
        <v>30</v>
      </c>
      <c r="MA36" s="29">
        <v>9.1585000000000001</v>
      </c>
      <c r="MB36" s="30"/>
      <c r="MC36" s="28">
        <v>9.0243000000000002</v>
      </c>
      <c r="MD36" s="28">
        <v>9.3195999999999994</v>
      </c>
      <c r="ME36" s="28">
        <v>9.5586000000000002</v>
      </c>
      <c r="MF36" s="28">
        <v>9.9614999999999991</v>
      </c>
      <c r="MG36" s="28">
        <v>9.7652000000000001</v>
      </c>
      <c r="MH36" s="28">
        <v>9.8989999999999991</v>
      </c>
      <c r="MI36" s="28">
        <v>10.166700000000001</v>
      </c>
      <c r="MJ36" s="28">
        <v>10.000299999999999</v>
      </c>
      <c r="MK36" s="28">
        <v>10.119300000000001</v>
      </c>
      <c r="ML36" s="28">
        <v>10.2479</v>
      </c>
      <c r="MM36" s="22">
        <v>30</v>
      </c>
      <c r="MP36" s="22">
        <v>30</v>
      </c>
      <c r="MQ36" s="29">
        <v>9.6908999999999992</v>
      </c>
      <c r="MR36" s="30"/>
      <c r="MS36" s="28">
        <v>9.5380000000000003</v>
      </c>
      <c r="MT36" s="28">
        <v>9.2670999999999992</v>
      </c>
      <c r="MU36" s="28">
        <v>9.0780999999999992</v>
      </c>
      <c r="MV36" s="28">
        <v>9.09</v>
      </c>
      <c r="MW36" s="28">
        <v>9.157</v>
      </c>
      <c r="MX36" s="28">
        <v>9.1364999999999998</v>
      </c>
      <c r="MY36" s="28">
        <v>9.5541999999999998</v>
      </c>
      <c r="MZ36" s="28">
        <v>9.2721999999999998</v>
      </c>
      <c r="NA36" s="28">
        <v>9.2761999999999993</v>
      </c>
      <c r="NB36" s="28">
        <v>9.1423000000000005</v>
      </c>
      <c r="NC36" s="22">
        <v>30</v>
      </c>
      <c r="NF36" s="22">
        <v>30</v>
      </c>
      <c r="NG36" s="29">
        <v>9.5122999999999998</v>
      </c>
      <c r="NH36" s="30"/>
      <c r="NI36" s="28">
        <v>9.1882999999999999</v>
      </c>
      <c r="NJ36" s="28">
        <v>9.4520999999999997</v>
      </c>
      <c r="NK36" s="28">
        <v>9.5274000000000001</v>
      </c>
      <c r="NL36" s="28">
        <v>9.9537999999999993</v>
      </c>
      <c r="NM36" s="28">
        <v>9.3610000000000007</v>
      </c>
      <c r="NN36" s="28">
        <v>9.2093000000000007</v>
      </c>
      <c r="NO36" s="28">
        <v>9.4290000000000003</v>
      </c>
      <c r="NP36" s="28">
        <v>9.6776999999999997</v>
      </c>
      <c r="NQ36" s="28">
        <v>9.4057999999999993</v>
      </c>
      <c r="NR36" s="28">
        <v>9.5997000000000003</v>
      </c>
      <c r="NS36" s="22">
        <v>30</v>
      </c>
      <c r="NV36" s="22">
        <v>30</v>
      </c>
      <c r="NW36" s="29">
        <v>10.1752</v>
      </c>
      <c r="NX36" s="30"/>
      <c r="NY36" s="28">
        <v>9.5953999999999997</v>
      </c>
      <c r="NZ36" s="28">
        <v>9.2871000000000006</v>
      </c>
      <c r="OA36" s="28">
        <v>9.7498000000000005</v>
      </c>
      <c r="OB36" s="28">
        <v>9.4875000000000007</v>
      </c>
      <c r="OC36" s="28">
        <v>9.3826999999999998</v>
      </c>
      <c r="OD36" s="28">
        <v>9.3393999999999995</v>
      </c>
      <c r="OE36" s="28">
        <v>9.3582000000000001</v>
      </c>
      <c r="OF36" s="28">
        <v>9.6356999999999999</v>
      </c>
      <c r="OG36" s="28">
        <v>9.3550000000000004</v>
      </c>
      <c r="OH36" s="28">
        <v>9.5143000000000004</v>
      </c>
      <c r="OI36" s="22">
        <v>30</v>
      </c>
      <c r="OL36" s="22">
        <v>30</v>
      </c>
      <c r="OM36" s="29">
        <v>8.3603000000000005</v>
      </c>
      <c r="ON36" s="30"/>
      <c r="OO36" s="28">
        <v>8.5251999999999999</v>
      </c>
      <c r="OP36" s="28">
        <v>8.4817999999999998</v>
      </c>
      <c r="OQ36" s="28">
        <v>8.7873000000000001</v>
      </c>
      <c r="OR36" s="28">
        <v>9.0406999999999993</v>
      </c>
      <c r="OS36" s="28">
        <v>8.8861000000000008</v>
      </c>
      <c r="OT36" s="28">
        <v>9.9600000000000009</v>
      </c>
      <c r="OU36" s="28">
        <v>10.106199999999999</v>
      </c>
      <c r="OV36" s="28">
        <v>10.157500000000001</v>
      </c>
      <c r="OW36" s="28">
        <v>9.9404000000000003</v>
      </c>
      <c r="OX36" s="28">
        <v>9.8382000000000005</v>
      </c>
      <c r="OY36" s="22">
        <v>30</v>
      </c>
      <c r="PB36" s="22">
        <v>30</v>
      </c>
      <c r="PC36" s="29">
        <v>7.8151999999999999</v>
      </c>
      <c r="PD36" s="30"/>
      <c r="PE36" s="28">
        <v>7.8905000000000003</v>
      </c>
      <c r="PF36" s="28">
        <v>7.9267000000000003</v>
      </c>
      <c r="PG36" s="28">
        <v>7.9085000000000001</v>
      </c>
      <c r="PH36" s="28">
        <v>7.9577</v>
      </c>
      <c r="PI36" s="28">
        <v>7.7808000000000002</v>
      </c>
      <c r="PJ36" s="28">
        <v>7.7746000000000004</v>
      </c>
      <c r="PK36" s="28">
        <v>7.8198999999999996</v>
      </c>
      <c r="PL36" s="28">
        <v>8.2966999999999995</v>
      </c>
      <c r="PM36" s="28">
        <v>8.2164999999999999</v>
      </c>
      <c r="PN36" s="28">
        <v>8.1430000000000007</v>
      </c>
      <c r="PO36" s="22">
        <v>30</v>
      </c>
      <c r="PR36" s="22">
        <v>30</v>
      </c>
      <c r="PS36" s="29">
        <v>7.4348999999999998</v>
      </c>
      <c r="PT36" s="30"/>
      <c r="PU36" s="28">
        <v>7.5526</v>
      </c>
      <c r="PV36" s="28">
        <v>7.4042000000000003</v>
      </c>
      <c r="PW36" s="28">
        <v>7.3849999999999998</v>
      </c>
      <c r="PX36" s="28">
        <v>7.6322999999999999</v>
      </c>
      <c r="PY36" s="28">
        <v>7.5959000000000003</v>
      </c>
      <c r="PZ36" s="28">
        <v>7.4930000000000003</v>
      </c>
      <c r="QA36" s="28">
        <v>7.5373999999999999</v>
      </c>
      <c r="QB36" s="28">
        <v>7.8903999999999996</v>
      </c>
      <c r="QC36" s="28">
        <v>7.8857999999999997</v>
      </c>
      <c r="QD36" s="28">
        <v>7.8441999999999998</v>
      </c>
      <c r="QE36" s="22">
        <v>30</v>
      </c>
      <c r="QH36" s="22">
        <v>30</v>
      </c>
      <c r="QI36" s="29">
        <v>5.69</v>
      </c>
      <c r="QJ36" s="30"/>
      <c r="QK36" s="28">
        <v>6.8274999999999997</v>
      </c>
      <c r="QL36" s="28">
        <v>5.8982999999999999</v>
      </c>
      <c r="QM36" s="28">
        <v>6.1582999999999997</v>
      </c>
      <c r="QN36" s="28">
        <v>6.3091999999999997</v>
      </c>
      <c r="QO36" s="28">
        <v>6.0881999999999996</v>
      </c>
      <c r="QP36" s="28">
        <v>6.3246000000000002</v>
      </c>
      <c r="QQ36" s="28">
        <v>6.4042000000000003</v>
      </c>
      <c r="QR36" s="28">
        <v>7.1666999999999996</v>
      </c>
      <c r="QS36" s="28">
        <v>7.6516999999999999</v>
      </c>
      <c r="QT36" s="28">
        <v>7.6841999999999997</v>
      </c>
      <c r="QU36" s="22">
        <v>30</v>
      </c>
      <c r="QX36" s="22">
        <v>30</v>
      </c>
      <c r="QY36" s="29">
        <v>3.1063000000000001</v>
      </c>
      <c r="QZ36" s="30"/>
      <c r="RA36" s="28">
        <v>3.3597999999999999</v>
      </c>
      <c r="RB36" s="28">
        <v>3.2763</v>
      </c>
      <c r="RC36" s="28">
        <v>3.3148</v>
      </c>
      <c r="RD36" s="28">
        <v>3.3917999999999999</v>
      </c>
      <c r="RE36" s="28">
        <v>3.4005999999999998</v>
      </c>
      <c r="RF36" s="28">
        <v>3.3826000000000001</v>
      </c>
      <c r="RG36" s="28">
        <v>3.4039999999999999</v>
      </c>
      <c r="RH36" s="28">
        <v>3.43</v>
      </c>
      <c r="RI36" s="28">
        <v>3.4498000000000002</v>
      </c>
      <c r="RJ36" s="28">
        <v>5.3250000000000002</v>
      </c>
      <c r="RK36" s="22">
        <v>30</v>
      </c>
      <c r="RN36" s="22">
        <v>30</v>
      </c>
      <c r="RO36" s="29">
        <v>3.1030000000000002</v>
      </c>
      <c r="RP36" s="30"/>
      <c r="RQ36" s="28">
        <v>3.1049000000000002</v>
      </c>
      <c r="RR36" s="28">
        <v>3.1021999999999998</v>
      </c>
      <c r="RS36" s="28">
        <v>3.1227</v>
      </c>
      <c r="RT36" s="28">
        <v>3.1212</v>
      </c>
      <c r="RU36" s="28">
        <v>3.1189</v>
      </c>
      <c r="RV36" s="28">
        <v>3.1116999999999999</v>
      </c>
      <c r="RW36" s="28">
        <v>3.1177999999999999</v>
      </c>
      <c r="RX36" s="28">
        <v>3.1293000000000002</v>
      </c>
      <c r="RY36" s="28">
        <v>3.1124999999999998</v>
      </c>
      <c r="RZ36" s="28">
        <v>3.1059000000000001</v>
      </c>
      <c r="SA36" s="22">
        <v>30</v>
      </c>
      <c r="SD36" s="22">
        <v>30</v>
      </c>
      <c r="SE36" s="29">
        <v>3.0659000000000001</v>
      </c>
      <c r="SF36" s="30"/>
      <c r="SG36" s="28">
        <v>3.0901999999999998</v>
      </c>
      <c r="SH36" s="28">
        <v>3.0790000000000002</v>
      </c>
      <c r="SI36" s="28">
        <v>3.1168</v>
      </c>
      <c r="SJ36" s="28">
        <v>3.1225000000000001</v>
      </c>
      <c r="SK36" s="28">
        <v>3.1160999999999999</v>
      </c>
      <c r="SL36" s="28">
        <v>3.081</v>
      </c>
      <c r="SM36" s="28">
        <v>3.1160999999999999</v>
      </c>
      <c r="SN36" s="28">
        <v>3.1320999999999999</v>
      </c>
      <c r="SO36" s="28">
        <v>3.1158999999999999</v>
      </c>
      <c r="SP36" s="28">
        <v>3.1154000000000002</v>
      </c>
      <c r="SQ36" s="22">
        <v>30</v>
      </c>
      <c r="ST36" s="22">
        <v>30</v>
      </c>
      <c r="SU36" s="29">
        <v>2.9578000000000002</v>
      </c>
      <c r="SV36" s="30"/>
      <c r="SW36" s="28">
        <v>2.9813999999999998</v>
      </c>
      <c r="SX36" s="28">
        <v>2.9929999999999999</v>
      </c>
      <c r="SY36" s="28">
        <v>3.0057999999999998</v>
      </c>
      <c r="SZ36" s="28">
        <v>3.0177999999999998</v>
      </c>
      <c r="TA36" s="28">
        <v>3.0293999999999999</v>
      </c>
      <c r="TB36" s="28">
        <v>3.0426000000000002</v>
      </c>
      <c r="TC36" s="28">
        <v>3.0558000000000001</v>
      </c>
      <c r="TD36" s="28">
        <v>3.0678000000000001</v>
      </c>
      <c r="TE36" s="28">
        <v>3.0676899999999998</v>
      </c>
      <c r="TF36" s="28">
        <v>3.0710000000000002</v>
      </c>
      <c r="TG36" s="22">
        <v>30</v>
      </c>
      <c r="TJ36" s="22">
        <v>30</v>
      </c>
      <c r="TK36" s="29">
        <v>2.67</v>
      </c>
      <c r="TL36" s="30"/>
      <c r="TM36" s="28">
        <v>2.7309999999999999</v>
      </c>
      <c r="TN36" s="28">
        <v>2.76</v>
      </c>
      <c r="TO36" s="28">
        <v>2.7919999999999998</v>
      </c>
      <c r="TP36" s="28">
        <v>2.8170000000000002</v>
      </c>
      <c r="TQ36" s="28">
        <v>2.8393999999999999</v>
      </c>
      <c r="TR36" s="28">
        <v>2.8658000000000001</v>
      </c>
      <c r="TS36" s="28">
        <v>2.8898000000000001</v>
      </c>
      <c r="TT36" s="28">
        <v>2.9129999999999998</v>
      </c>
      <c r="TU36" s="28">
        <v>2.9333999999999998</v>
      </c>
      <c r="TV36" s="28">
        <v>2.9449999999999998</v>
      </c>
      <c r="TW36" s="22">
        <v>30</v>
      </c>
      <c r="TZ36" s="22">
        <v>30</v>
      </c>
      <c r="UA36" s="29">
        <v>2.3050000000000002</v>
      </c>
      <c r="UB36" s="30"/>
      <c r="UC36" s="28">
        <v>2.3660000000000001</v>
      </c>
      <c r="UD36" s="28">
        <v>2.3959999999999999</v>
      </c>
      <c r="UE36" s="28">
        <v>2.4249999999999998</v>
      </c>
      <c r="UF36" s="28">
        <v>2.4580000000000002</v>
      </c>
      <c r="UG36" s="28">
        <v>2.4870000000000001</v>
      </c>
      <c r="UH36" s="28">
        <v>2.5190000000000001</v>
      </c>
      <c r="UI36" s="28">
        <v>2.5499999999999998</v>
      </c>
      <c r="UJ36" s="28">
        <v>2.5779999999999998</v>
      </c>
      <c r="UK36" s="28">
        <v>2.6110000000000002</v>
      </c>
      <c r="UL36" s="28">
        <v>2.641</v>
      </c>
      <c r="UM36" s="22">
        <v>30</v>
      </c>
    </row>
    <row r="37" spans="2:559" s="7" customFormat="1" ht="19.2">
      <c r="B37" s="22">
        <v>31</v>
      </c>
      <c r="C37" s="28">
        <v>18.787199999999999</v>
      </c>
      <c r="D37" s="30"/>
      <c r="E37" s="28"/>
      <c r="F37" s="30"/>
      <c r="G37" s="28"/>
      <c r="H37" s="30"/>
      <c r="I37" s="28"/>
      <c r="J37" s="28"/>
      <c r="K37" s="31"/>
      <c r="L37" s="28"/>
      <c r="M37" s="31"/>
      <c r="N37" s="28"/>
      <c r="O37" s="22">
        <v>31</v>
      </c>
      <c r="R37" s="22">
        <v>31</v>
      </c>
      <c r="S37" s="28">
        <v>20.738299999999999</v>
      </c>
      <c r="T37" s="30"/>
      <c r="U37" s="28">
        <v>19.994199999999999</v>
      </c>
      <c r="V37" s="30"/>
      <c r="W37" s="28">
        <v>19.596499999999999</v>
      </c>
      <c r="X37" s="30"/>
      <c r="Y37" s="28">
        <v>20.377800000000001</v>
      </c>
      <c r="Z37" s="28">
        <v>19.994499999999999</v>
      </c>
      <c r="AA37" s="31"/>
      <c r="AB37" s="28">
        <v>19.836500000000001</v>
      </c>
      <c r="AC37" s="31"/>
      <c r="AD37" s="28">
        <v>19.361499999999999</v>
      </c>
      <c r="AE37" s="22">
        <v>31</v>
      </c>
      <c r="AH37" s="22">
        <v>31</v>
      </c>
      <c r="AI37" s="28">
        <v>20.2697</v>
      </c>
      <c r="AJ37" s="30"/>
      <c r="AK37" s="28">
        <v>20.604700000000001</v>
      </c>
      <c r="AL37" s="30"/>
      <c r="AM37" s="28">
        <v>19.948699999999999</v>
      </c>
      <c r="AN37" s="30"/>
      <c r="AO37" s="28">
        <v>19.844799999999999</v>
      </c>
      <c r="AP37" s="28">
        <v>20.229299999999999</v>
      </c>
      <c r="AQ37" s="31"/>
      <c r="AR37" s="28">
        <v>20.325500000000002</v>
      </c>
      <c r="AS37" s="31"/>
      <c r="AT37" s="28">
        <v>20.583500000000001</v>
      </c>
      <c r="AU37" s="22">
        <v>31</v>
      </c>
      <c r="AV37" s="8"/>
      <c r="AW37" s="8"/>
      <c r="AX37" s="22">
        <v>31</v>
      </c>
      <c r="AY37" s="28">
        <v>18.706700000000001</v>
      </c>
      <c r="AZ37" s="30"/>
      <c r="BA37" s="28">
        <v>23.5122</v>
      </c>
      <c r="BB37" s="30"/>
      <c r="BC37" s="28">
        <v>22.204000000000001</v>
      </c>
      <c r="BD37" s="30"/>
      <c r="BE37" s="28">
        <v>21.9907</v>
      </c>
      <c r="BF37" s="28">
        <v>22.116800000000001</v>
      </c>
      <c r="BG37" s="31"/>
      <c r="BH37" s="28">
        <v>21.376999999999999</v>
      </c>
      <c r="BI37" s="31"/>
      <c r="BJ37" s="28">
        <v>19.948699999999999</v>
      </c>
      <c r="BK37" s="22">
        <v>31</v>
      </c>
      <c r="BN37" s="22">
        <v>31</v>
      </c>
      <c r="BO37" s="28">
        <v>18.997199999999999</v>
      </c>
      <c r="BP37" s="30"/>
      <c r="BQ37" s="28">
        <v>19.379300000000001</v>
      </c>
      <c r="BR37" s="30"/>
      <c r="BS37" s="28">
        <v>19.2395</v>
      </c>
      <c r="BT37" s="30"/>
      <c r="BU37" s="28">
        <v>19.09</v>
      </c>
      <c r="BV37" s="28">
        <v>20.098800000000001</v>
      </c>
      <c r="BW37" s="31"/>
      <c r="BX37" s="28">
        <v>19.116700000000002</v>
      </c>
      <c r="BY37" s="31"/>
      <c r="BZ37" s="28">
        <v>18.845199999999998</v>
      </c>
      <c r="CA37" s="22">
        <v>31</v>
      </c>
      <c r="CD37" s="22">
        <v>31</v>
      </c>
      <c r="CE37" s="28">
        <v>18.619599999999998</v>
      </c>
      <c r="CF37" s="30"/>
      <c r="CG37" s="28">
        <v>18.3445</v>
      </c>
      <c r="CH37" s="30"/>
      <c r="CI37" s="28">
        <v>19.7499</v>
      </c>
      <c r="CJ37" s="30"/>
      <c r="CK37" s="28">
        <v>18.551500000000001</v>
      </c>
      <c r="CL37" s="28">
        <v>19.065899999999999</v>
      </c>
      <c r="CM37" s="31"/>
      <c r="CN37" s="28">
        <v>19.802199999999999</v>
      </c>
      <c r="CO37" s="31"/>
      <c r="CP37" s="28">
        <v>19.6829</v>
      </c>
      <c r="CQ37" s="22">
        <v>31</v>
      </c>
      <c r="CT37" s="22">
        <v>31</v>
      </c>
      <c r="CU37" s="28">
        <v>21.0212</v>
      </c>
      <c r="CV37" s="30"/>
      <c r="CW37" s="28">
        <v>18.809200000000001</v>
      </c>
      <c r="CX37" s="30"/>
      <c r="CY37" s="28">
        <v>18.5121</v>
      </c>
      <c r="CZ37" s="30"/>
      <c r="DA37" s="28">
        <v>17.688600000000001</v>
      </c>
      <c r="DB37" s="28">
        <v>17.876000000000001</v>
      </c>
      <c r="DC37" s="31"/>
      <c r="DD37" s="22">
        <v>19.147400000000001</v>
      </c>
      <c r="DE37" s="31"/>
      <c r="DF37" s="28">
        <v>19.735399999999998</v>
      </c>
      <c r="DG37" s="22">
        <v>31</v>
      </c>
      <c r="DJ37" s="22">
        <v>31</v>
      </c>
      <c r="DK37" s="28">
        <v>18.290600000000001</v>
      </c>
      <c r="DL37" s="30"/>
      <c r="DM37" s="28">
        <v>17.401499999999999</v>
      </c>
      <c r="DN37" s="30"/>
      <c r="DO37" s="28">
        <v>18.4527</v>
      </c>
      <c r="DP37" s="30"/>
      <c r="DQ37" s="28">
        <v>18.8979</v>
      </c>
      <c r="DR37" s="28">
        <v>18.577300000000001</v>
      </c>
      <c r="DS37" s="31"/>
      <c r="DT37" s="22">
        <v>18.8443</v>
      </c>
      <c r="DU37" s="31"/>
      <c r="DV37" s="28">
        <v>20.664000000000001</v>
      </c>
      <c r="DW37" s="22">
        <v>31</v>
      </c>
      <c r="DZ37" s="22">
        <v>31</v>
      </c>
      <c r="EA37" s="28">
        <v>14.8414</v>
      </c>
      <c r="EB37" s="30"/>
      <c r="EC37" s="28">
        <v>15.154199999999999</v>
      </c>
      <c r="ED37" s="30"/>
      <c r="EE37" s="28">
        <v>15.373699999999999</v>
      </c>
      <c r="EF37" s="30"/>
      <c r="EG37" s="28">
        <v>16.213999999999999</v>
      </c>
      <c r="EH37" s="28">
        <v>16.886299999999999</v>
      </c>
      <c r="EI37" s="31"/>
      <c r="EJ37" s="22">
        <v>16.6219</v>
      </c>
      <c r="EK37" s="31"/>
      <c r="EL37" s="28">
        <v>17.206499999999998</v>
      </c>
      <c r="EM37" s="22">
        <v>31</v>
      </c>
      <c r="EP37" s="22">
        <v>31</v>
      </c>
      <c r="EQ37" s="28">
        <v>13.367100000000001</v>
      </c>
      <c r="ER37" s="30"/>
      <c r="ES37" s="28">
        <v>13.0837</v>
      </c>
      <c r="ET37" s="30"/>
      <c r="EU37" s="28">
        <v>12.8462</v>
      </c>
      <c r="EV37" s="30"/>
      <c r="EW37" s="28">
        <v>13.0578</v>
      </c>
      <c r="EX37" s="28">
        <v>13.110900000000001</v>
      </c>
      <c r="EY37" s="31"/>
      <c r="EZ37" s="22">
        <v>13.4239</v>
      </c>
      <c r="FA37" s="31"/>
      <c r="FB37" s="28">
        <v>14.718</v>
      </c>
      <c r="FC37" s="22">
        <v>31</v>
      </c>
      <c r="FF37" s="22">
        <v>31</v>
      </c>
      <c r="FG37" s="28">
        <v>12.7134</v>
      </c>
      <c r="FH37" s="30"/>
      <c r="FI37" s="28">
        <v>12.3546</v>
      </c>
      <c r="FJ37" s="30"/>
      <c r="FK37" s="28">
        <v>12.6328</v>
      </c>
      <c r="FL37" s="30"/>
      <c r="FM37" s="28">
        <v>12.732100000000001</v>
      </c>
      <c r="FN37" s="28">
        <v>13.3104</v>
      </c>
      <c r="FO37" s="31"/>
      <c r="FP37" s="22">
        <v>12.8903</v>
      </c>
      <c r="FQ37" s="31"/>
      <c r="FR37" s="28">
        <v>13.076499999999999</v>
      </c>
      <c r="FS37" s="22">
        <v>31</v>
      </c>
      <c r="FV37" s="22">
        <v>31</v>
      </c>
      <c r="FW37" s="28">
        <v>12.9504</v>
      </c>
      <c r="FX37" s="30"/>
      <c r="FY37" s="28">
        <v>12.8489</v>
      </c>
      <c r="FZ37" s="30"/>
      <c r="GA37" s="28">
        <v>13.9169</v>
      </c>
      <c r="GB37" s="30"/>
      <c r="GC37" s="28">
        <v>13.2837</v>
      </c>
      <c r="GD37" s="28">
        <v>13.2746</v>
      </c>
      <c r="GE37" s="31"/>
      <c r="GF37" s="22">
        <v>13.09</v>
      </c>
      <c r="GG37" s="31"/>
      <c r="GH37" s="28">
        <v>13.0101</v>
      </c>
      <c r="GI37" s="22">
        <v>31</v>
      </c>
      <c r="GL37" s="22">
        <v>31</v>
      </c>
      <c r="GM37" s="28">
        <v>12.023899999999999</v>
      </c>
      <c r="GN37" s="30"/>
      <c r="GO37" s="28">
        <v>11.9678</v>
      </c>
      <c r="GP37" s="30"/>
      <c r="GQ37" s="28">
        <v>11.6256</v>
      </c>
      <c r="GR37" s="30"/>
      <c r="GS37" s="28">
        <v>11.6821</v>
      </c>
      <c r="GT37" s="28">
        <v>12.4148</v>
      </c>
      <c r="GU37" s="31"/>
      <c r="GV37" s="22">
        <v>13.1973</v>
      </c>
      <c r="GW37" s="31"/>
      <c r="GX37" s="28">
        <v>13.9787</v>
      </c>
      <c r="GY37" s="22">
        <v>31</v>
      </c>
      <c r="HB37" s="22">
        <v>31</v>
      </c>
      <c r="HC37" s="28">
        <v>12.9975</v>
      </c>
      <c r="HD37" s="30">
        <v>12.850300000000001</v>
      </c>
      <c r="HE37" s="28">
        <v>12.464</v>
      </c>
      <c r="HF37" s="30">
        <v>12.3698</v>
      </c>
      <c r="HG37" s="28">
        <v>12.884600000000001</v>
      </c>
      <c r="HH37" s="30">
        <v>12.656700000000001</v>
      </c>
      <c r="HI37" s="28">
        <v>12.703799999999999</v>
      </c>
      <c r="HJ37" s="28">
        <v>13.014799999999999</v>
      </c>
      <c r="HK37" s="31">
        <v>12.501099999999999</v>
      </c>
      <c r="HL37" s="22">
        <v>12.4023</v>
      </c>
      <c r="HM37" s="31">
        <v>12.489000000000001</v>
      </c>
      <c r="HN37" s="28">
        <v>12.357100000000001</v>
      </c>
      <c r="HO37" s="22">
        <v>31</v>
      </c>
      <c r="HR37" s="22">
        <v>31</v>
      </c>
      <c r="HS37" s="28">
        <v>14.1975</v>
      </c>
      <c r="HT37" s="30">
        <v>12.850300000000001</v>
      </c>
      <c r="HU37" s="28">
        <v>14.3317</v>
      </c>
      <c r="HV37" s="30">
        <v>12.3698</v>
      </c>
      <c r="HW37" s="28">
        <v>13.233700000000001</v>
      </c>
      <c r="HX37" s="30">
        <v>12.656700000000001</v>
      </c>
      <c r="HY37" s="28">
        <v>13.2643</v>
      </c>
      <c r="HZ37" s="28">
        <v>13.2462</v>
      </c>
      <c r="IA37" s="31">
        <v>12.501099999999999</v>
      </c>
      <c r="IB37" s="22">
        <v>13.0825</v>
      </c>
      <c r="IC37" s="31">
        <v>12.489000000000001</v>
      </c>
      <c r="ID37" s="28">
        <v>13.0587</v>
      </c>
      <c r="IE37" s="22">
        <v>31</v>
      </c>
      <c r="IH37" s="22">
        <v>31</v>
      </c>
      <c r="II37" s="28">
        <v>10.8444</v>
      </c>
      <c r="IJ37" s="30"/>
      <c r="IK37" s="28">
        <v>10.696199999999999</v>
      </c>
      <c r="IL37" s="30"/>
      <c r="IM37" s="28">
        <v>10.3066</v>
      </c>
      <c r="IN37" s="30"/>
      <c r="IO37" s="28">
        <v>10.061</v>
      </c>
      <c r="IP37" s="28">
        <v>10.1822</v>
      </c>
      <c r="IQ37" s="31"/>
      <c r="IR37" s="22">
        <v>12.914199999999999</v>
      </c>
      <c r="IS37" s="31"/>
      <c r="IT37" s="28">
        <v>13.5383</v>
      </c>
      <c r="IU37" s="22">
        <v>31</v>
      </c>
      <c r="IX37" s="22">
        <v>31</v>
      </c>
      <c r="IY37" s="28">
        <v>11.0855</v>
      </c>
      <c r="IZ37" s="30"/>
      <c r="JA37" s="28">
        <v>11.050700000000001</v>
      </c>
      <c r="JB37" s="30"/>
      <c r="JC37" s="28">
        <v>10.7873</v>
      </c>
      <c r="JD37" s="30"/>
      <c r="JE37" s="28">
        <v>10.997299999999999</v>
      </c>
      <c r="JF37" s="28">
        <v>11.106199999999999</v>
      </c>
      <c r="JG37" s="31"/>
      <c r="JH37" s="22">
        <v>10.7112</v>
      </c>
      <c r="JI37" s="31"/>
      <c r="JJ37" s="28">
        <v>10.866199999999999</v>
      </c>
      <c r="JK37" s="22">
        <v>31</v>
      </c>
      <c r="JN37" s="22">
        <v>31</v>
      </c>
      <c r="JO37" s="28">
        <v>10.4598</v>
      </c>
      <c r="JP37" s="30"/>
      <c r="JQ37" s="28">
        <v>10.951000000000001</v>
      </c>
      <c r="JR37" s="30"/>
      <c r="JS37" s="28">
        <v>11.1303</v>
      </c>
      <c r="JT37" s="30"/>
      <c r="JU37" s="28">
        <v>10.896800000000001</v>
      </c>
      <c r="JV37" s="28">
        <v>10.9047</v>
      </c>
      <c r="JW37" s="31"/>
      <c r="JX37" s="22">
        <v>10.709300000000001</v>
      </c>
      <c r="JY37" s="31"/>
      <c r="JZ37" s="28">
        <v>10.875500000000001</v>
      </c>
      <c r="KA37" s="22">
        <v>31</v>
      </c>
      <c r="KD37" s="22">
        <v>31</v>
      </c>
      <c r="KE37" s="28">
        <v>11.299099999999999</v>
      </c>
      <c r="KF37" s="30"/>
      <c r="KG37" s="28">
        <v>11.2942</v>
      </c>
      <c r="KH37" s="30"/>
      <c r="KI37" s="28">
        <v>10.903</v>
      </c>
      <c r="KJ37" s="30"/>
      <c r="KK37" s="28">
        <v>10.620100000000001</v>
      </c>
      <c r="KL37" s="28">
        <v>10.893599999999999</v>
      </c>
      <c r="KM37" s="31"/>
      <c r="KN37" s="22">
        <v>10.9092</v>
      </c>
      <c r="KO37" s="31"/>
      <c r="KP37" s="28">
        <v>10.710900000000001</v>
      </c>
      <c r="KQ37" s="22">
        <v>31</v>
      </c>
      <c r="KT37" s="22">
        <v>31</v>
      </c>
      <c r="KU37" s="28">
        <v>11.084300000000001</v>
      </c>
      <c r="KV37" s="30"/>
      <c r="KW37" s="28">
        <v>11.154</v>
      </c>
      <c r="KX37" s="30"/>
      <c r="KY37" s="28">
        <v>11.451499999999999</v>
      </c>
      <c r="KZ37" s="30"/>
      <c r="LA37" s="28">
        <v>11.430199999999999</v>
      </c>
      <c r="LB37" s="28">
        <v>11.373900000000001</v>
      </c>
      <c r="LC37" s="31"/>
      <c r="LD37" s="22">
        <v>11.529299999999999</v>
      </c>
      <c r="LE37" s="31"/>
      <c r="LF37" s="28">
        <v>11.264799999999999</v>
      </c>
      <c r="LG37" s="22">
        <v>31</v>
      </c>
      <c r="LJ37" s="22">
        <v>31</v>
      </c>
      <c r="LK37" s="28">
        <v>10.9863</v>
      </c>
      <c r="LL37" s="30"/>
      <c r="LM37" s="28">
        <v>10.767099999999999</v>
      </c>
      <c r="LN37" s="30"/>
      <c r="LO37" s="28">
        <v>10.320499999999999</v>
      </c>
      <c r="LP37" s="30"/>
      <c r="LQ37" s="28">
        <v>10.4878</v>
      </c>
      <c r="LR37" s="28">
        <v>10.980600000000001</v>
      </c>
      <c r="LS37" s="31"/>
      <c r="LT37" s="22">
        <v>11.107799999999999</v>
      </c>
      <c r="LU37" s="31"/>
      <c r="LV37" s="28">
        <v>11.236000000000001</v>
      </c>
      <c r="LW37" s="22">
        <v>31</v>
      </c>
      <c r="LZ37" s="22">
        <v>31</v>
      </c>
      <c r="MA37" s="28">
        <v>9.1714000000000002</v>
      </c>
      <c r="MB37" s="30"/>
      <c r="MC37" s="28">
        <v>9.0243000000000002</v>
      </c>
      <c r="MD37" s="30"/>
      <c r="ME37" s="28">
        <v>9.6134000000000004</v>
      </c>
      <c r="MF37" s="30"/>
      <c r="MG37" s="28">
        <v>9.6943999999999999</v>
      </c>
      <c r="MH37" s="28">
        <v>9.9192999999999998</v>
      </c>
      <c r="MI37" s="31"/>
      <c r="MJ37" s="22">
        <v>10.1593</v>
      </c>
      <c r="MK37" s="31"/>
      <c r="ML37" s="28">
        <v>10.3125</v>
      </c>
      <c r="MM37" s="22">
        <v>31</v>
      </c>
      <c r="MP37" s="22">
        <v>31</v>
      </c>
      <c r="MQ37" s="28">
        <v>9.6686999999999994</v>
      </c>
      <c r="MR37" s="30"/>
      <c r="MS37" s="28">
        <v>9.5203000000000007</v>
      </c>
      <c r="MT37" s="30"/>
      <c r="MU37" s="28">
        <v>9.0851000000000006</v>
      </c>
      <c r="MV37" s="30"/>
      <c r="MW37" s="28">
        <v>9.1920000000000002</v>
      </c>
      <c r="MX37" s="28">
        <v>9.1438000000000006</v>
      </c>
      <c r="MY37" s="31"/>
      <c r="MZ37" s="22">
        <v>9.2421000000000006</v>
      </c>
      <c r="NA37" s="31"/>
      <c r="NB37" s="28">
        <v>9.1423000000000005</v>
      </c>
      <c r="NC37" s="22">
        <v>31</v>
      </c>
      <c r="NF37" s="22">
        <v>31</v>
      </c>
      <c r="NG37" s="28">
        <v>9.5122999999999998</v>
      </c>
      <c r="NH37" s="30"/>
      <c r="NI37" s="28">
        <v>9.2331000000000003</v>
      </c>
      <c r="NJ37" s="30"/>
      <c r="NK37" s="28">
        <v>9.5326000000000004</v>
      </c>
      <c r="NL37" s="30"/>
      <c r="NM37" s="28">
        <v>9.3610000000000007</v>
      </c>
      <c r="NN37" s="28">
        <v>9.2317</v>
      </c>
      <c r="NO37" s="31"/>
      <c r="NP37" s="22">
        <v>9.6442999999999994</v>
      </c>
      <c r="NQ37" s="31"/>
      <c r="NR37" s="28">
        <v>9.5997000000000003</v>
      </c>
      <c r="NS37" s="22">
        <v>31</v>
      </c>
      <c r="NV37" s="22">
        <v>31</v>
      </c>
      <c r="NW37" s="28">
        <v>10.1752</v>
      </c>
      <c r="NX37" s="30"/>
      <c r="NY37" s="28">
        <v>9.5158000000000005</v>
      </c>
      <c r="NZ37" s="30"/>
      <c r="OA37" s="28">
        <v>9.7498000000000005</v>
      </c>
      <c r="OB37" s="30"/>
      <c r="OC37" s="28">
        <v>9.4260000000000002</v>
      </c>
      <c r="OD37" s="28">
        <v>9.3818999999999999</v>
      </c>
      <c r="OE37" s="31"/>
      <c r="OF37" s="22">
        <v>9.6356999999999999</v>
      </c>
      <c r="OG37" s="31"/>
      <c r="OH37" s="28">
        <v>9.5221999999999998</v>
      </c>
      <c r="OI37" s="22">
        <v>31</v>
      </c>
      <c r="OL37" s="22">
        <v>31</v>
      </c>
      <c r="OM37" s="28">
        <v>8.4640000000000004</v>
      </c>
      <c r="ON37" s="30"/>
      <c r="OO37" s="28">
        <v>8.5165000000000006</v>
      </c>
      <c r="OP37" s="30"/>
      <c r="OQ37" s="28">
        <v>8.7873000000000001</v>
      </c>
      <c r="OR37" s="30"/>
      <c r="OS37" s="28">
        <v>8.9177999999999997</v>
      </c>
      <c r="OT37" s="28">
        <v>9.9600000000000009</v>
      </c>
      <c r="OU37" s="31"/>
      <c r="OV37" s="22">
        <v>10.219799999999999</v>
      </c>
      <c r="OW37" s="31"/>
      <c r="OX37" s="28">
        <v>9.8650000000000002</v>
      </c>
      <c r="OY37" s="22">
        <v>31</v>
      </c>
      <c r="PB37" s="22">
        <v>31</v>
      </c>
      <c r="PC37" s="28">
        <v>7.8392999999999997</v>
      </c>
      <c r="PD37" s="30"/>
      <c r="PE37" s="28">
        <v>7.8905000000000003</v>
      </c>
      <c r="PF37" s="30"/>
      <c r="PG37" s="28">
        <v>7.9081999999999999</v>
      </c>
      <c r="PH37" s="30"/>
      <c r="PI37" s="28">
        <v>7.8087999999999997</v>
      </c>
      <c r="PJ37" s="28">
        <v>7.7746000000000004</v>
      </c>
      <c r="PK37" s="31"/>
      <c r="PL37" s="22">
        <v>8.1033000000000008</v>
      </c>
      <c r="PM37" s="31"/>
      <c r="PN37" s="28">
        <v>8.0832999999999995</v>
      </c>
      <c r="PO37" s="22">
        <v>31</v>
      </c>
      <c r="PR37" s="22">
        <v>31</v>
      </c>
      <c r="PS37" s="28">
        <v>7.3907999999999996</v>
      </c>
      <c r="PT37" s="30"/>
      <c r="PU37" s="28">
        <v>7.5526</v>
      </c>
      <c r="PV37" s="30"/>
      <c r="PW37" s="28">
        <v>7.4095000000000004</v>
      </c>
      <c r="PX37" s="30"/>
      <c r="PY37" s="28">
        <v>7.6135000000000002</v>
      </c>
      <c r="PZ37" s="28">
        <v>7.5205000000000002</v>
      </c>
      <c r="QA37" s="31"/>
      <c r="QB37" s="22">
        <v>7.9172000000000002</v>
      </c>
      <c r="QC37" s="31"/>
      <c r="QD37" s="28">
        <v>7.8509000000000002</v>
      </c>
      <c r="QE37" s="22">
        <v>31</v>
      </c>
      <c r="QH37" s="22">
        <v>31</v>
      </c>
      <c r="QI37" s="28">
        <v>5.6950000000000003</v>
      </c>
      <c r="QJ37" s="30"/>
      <c r="QK37" s="28">
        <v>6.8174999999999999</v>
      </c>
      <c r="QL37" s="30"/>
      <c r="QM37" s="28">
        <v>6.1775000000000002</v>
      </c>
      <c r="QN37" s="30"/>
      <c r="QO37" s="28">
        <v>6.0881999999999996</v>
      </c>
      <c r="QP37" s="28">
        <v>6.3113999999999999</v>
      </c>
      <c r="QQ37" s="31"/>
      <c r="QR37" s="22">
        <v>7.1717000000000004</v>
      </c>
      <c r="QS37" s="31"/>
      <c r="QT37" s="28">
        <v>7.6841999999999997</v>
      </c>
      <c r="QU37" s="22">
        <v>31</v>
      </c>
      <c r="QX37" s="22">
        <v>31</v>
      </c>
      <c r="QY37" s="28">
        <v>3.1063000000000001</v>
      </c>
      <c r="QZ37" s="30"/>
      <c r="RA37" s="28">
        <v>3.35</v>
      </c>
      <c r="RB37" s="30"/>
      <c r="RC37" s="28">
        <v>3.3144999999999998</v>
      </c>
      <c r="RD37" s="30"/>
      <c r="RE37" s="28">
        <v>3.4005999999999998</v>
      </c>
      <c r="RF37" s="28">
        <v>3.3794</v>
      </c>
      <c r="RG37" s="31"/>
      <c r="RH37" s="22">
        <v>3.43</v>
      </c>
      <c r="RI37" s="31"/>
      <c r="RJ37" s="28">
        <v>4.9400000000000004</v>
      </c>
      <c r="RK37" s="22">
        <v>31</v>
      </c>
      <c r="RN37" s="22">
        <v>31</v>
      </c>
      <c r="RO37" s="28">
        <v>3.1030000000000002</v>
      </c>
      <c r="RP37" s="30"/>
      <c r="RQ37" s="28">
        <v>3.0975999999999999</v>
      </c>
      <c r="RR37" s="30"/>
      <c r="RS37" s="28">
        <v>3.1227</v>
      </c>
      <c r="RT37" s="30"/>
      <c r="RU37" s="28">
        <v>3.1204000000000001</v>
      </c>
      <c r="RV37" s="28">
        <v>3.1145</v>
      </c>
      <c r="RW37" s="31"/>
      <c r="RX37" s="22">
        <v>3.1293000000000002</v>
      </c>
      <c r="RY37" s="31"/>
      <c r="RZ37" s="28">
        <v>3.1099000000000001</v>
      </c>
      <c r="SA37" s="22">
        <v>31</v>
      </c>
      <c r="SD37" s="22">
        <v>31</v>
      </c>
      <c r="SE37" s="28">
        <v>3.0659999999999998</v>
      </c>
      <c r="SF37" s="30"/>
      <c r="SG37" s="28">
        <v>3.0834999999999999</v>
      </c>
      <c r="SH37" s="30"/>
      <c r="SI37" s="28">
        <v>3.1168</v>
      </c>
      <c r="SJ37" s="30"/>
      <c r="SK37" s="28">
        <v>3.1141000000000001</v>
      </c>
      <c r="SL37" s="28">
        <v>3.081</v>
      </c>
      <c r="SM37" s="31"/>
      <c r="SN37" s="22">
        <v>3.1309</v>
      </c>
      <c r="SO37" s="31"/>
      <c r="SP37" s="28">
        <v>3.1230000000000002</v>
      </c>
      <c r="SQ37" s="22">
        <v>31</v>
      </c>
      <c r="ST37" s="22">
        <v>31</v>
      </c>
      <c r="SU37" s="28">
        <v>2.9582000000000002</v>
      </c>
      <c r="SV37" s="30"/>
      <c r="SW37" s="28">
        <v>2.9813999999999998</v>
      </c>
      <c r="SX37" s="30"/>
      <c r="SY37" s="28">
        <v>3.0062000000000002</v>
      </c>
      <c r="SZ37" s="30"/>
      <c r="TA37" s="28">
        <v>3.0306000000000002</v>
      </c>
      <c r="TB37" s="28">
        <v>3.0430000000000001</v>
      </c>
      <c r="TC37" s="31"/>
      <c r="TD37" s="22">
        <v>3.0682</v>
      </c>
      <c r="TE37" s="31"/>
      <c r="TF37" s="28">
        <v>3.0738799999999999</v>
      </c>
      <c r="TG37" s="22">
        <v>31</v>
      </c>
      <c r="TJ37" s="22">
        <v>31</v>
      </c>
      <c r="TK37" s="28">
        <v>2.673</v>
      </c>
      <c r="TL37" s="30"/>
      <c r="TM37" s="28">
        <v>2.7320000000000002</v>
      </c>
      <c r="TN37" s="30"/>
      <c r="TO37" s="28">
        <v>2.7930000000000001</v>
      </c>
      <c r="TP37" s="30"/>
      <c r="TQ37" s="28">
        <v>2.8401999999999998</v>
      </c>
      <c r="TR37" s="28">
        <v>2.8666</v>
      </c>
      <c r="TS37" s="31"/>
      <c r="TT37" s="22">
        <v>2.9154</v>
      </c>
      <c r="TU37" s="31"/>
      <c r="TV37" s="28">
        <v>2.9449999999999998</v>
      </c>
      <c r="TW37" s="22">
        <v>31</v>
      </c>
      <c r="TZ37" s="22">
        <v>31</v>
      </c>
      <c r="UA37" s="28">
        <v>2.306</v>
      </c>
      <c r="UB37" s="30"/>
      <c r="UC37" s="28">
        <v>2.367</v>
      </c>
      <c r="UD37" s="30"/>
      <c r="UE37" s="28">
        <v>2.4279999999999999</v>
      </c>
      <c r="UF37" s="30"/>
      <c r="UG37" s="28">
        <v>2.4870000000000001</v>
      </c>
      <c r="UH37" s="28">
        <v>2.52</v>
      </c>
      <c r="UI37" s="31"/>
      <c r="UJ37" s="22">
        <v>2.5790000000000002</v>
      </c>
      <c r="UK37" s="31"/>
      <c r="UL37" s="28">
        <v>2.641</v>
      </c>
      <c r="UM37" s="22">
        <v>31</v>
      </c>
    </row>
    <row r="39" spans="2:559">
      <c r="DB39" s="3"/>
    </row>
  </sheetData>
  <mergeCells count="70">
    <mergeCell ref="B2:O2"/>
    <mergeCell ref="B3:O3"/>
    <mergeCell ref="OL3:OY3"/>
    <mergeCell ref="PB3:PO3"/>
    <mergeCell ref="ST3:TG3"/>
    <mergeCell ref="SD2:SQ2"/>
    <mergeCell ref="ST2:TG2"/>
    <mergeCell ref="QH2:QU2"/>
    <mergeCell ref="QX2:RK2"/>
    <mergeCell ref="RN2:SA2"/>
    <mergeCell ref="LZ2:MM2"/>
    <mergeCell ref="MP2:NC2"/>
    <mergeCell ref="NF2:NS2"/>
    <mergeCell ref="NV2:OI2"/>
    <mergeCell ref="OL2:OY2"/>
    <mergeCell ref="IX2:JK2"/>
    <mergeCell ref="TJ3:TW3"/>
    <mergeCell ref="TZ3:UM3"/>
    <mergeCell ref="PR3:QE3"/>
    <mergeCell ref="QH3:QU3"/>
    <mergeCell ref="QX3:RK3"/>
    <mergeCell ref="RN3:SA3"/>
    <mergeCell ref="SD3:SQ3"/>
    <mergeCell ref="TJ2:TW2"/>
    <mergeCell ref="TZ2:UM2"/>
    <mergeCell ref="HB3:HO3"/>
    <mergeCell ref="HR3:IE3"/>
    <mergeCell ref="IH3:IU3"/>
    <mergeCell ref="IX3:JK3"/>
    <mergeCell ref="JN3:KA3"/>
    <mergeCell ref="KD3:KQ3"/>
    <mergeCell ref="KT3:LG3"/>
    <mergeCell ref="LJ3:LW3"/>
    <mergeCell ref="LZ3:MM3"/>
    <mergeCell ref="MP3:NC3"/>
    <mergeCell ref="NF3:NS3"/>
    <mergeCell ref="NV3:OI3"/>
    <mergeCell ref="PB2:PO2"/>
    <mergeCell ref="PR2:QE2"/>
    <mergeCell ref="JN2:KA2"/>
    <mergeCell ref="KD2:KQ2"/>
    <mergeCell ref="KT2:LG2"/>
    <mergeCell ref="LJ2:LW2"/>
    <mergeCell ref="DZ2:EM2"/>
    <mergeCell ref="DZ3:EM3"/>
    <mergeCell ref="HB2:HO2"/>
    <mergeCell ref="HR2:IE2"/>
    <mergeCell ref="IH2:IU2"/>
    <mergeCell ref="BN2:CA2"/>
    <mergeCell ref="BN3:CA3"/>
    <mergeCell ref="CD2:CQ2"/>
    <mergeCell ref="CD3:CQ3"/>
    <mergeCell ref="GL2:GY2"/>
    <mergeCell ref="GL3:GY3"/>
    <mergeCell ref="EP2:FC2"/>
    <mergeCell ref="EP3:FC3"/>
    <mergeCell ref="FF2:FS2"/>
    <mergeCell ref="FF3:FS3"/>
    <mergeCell ref="FV2:GI2"/>
    <mergeCell ref="FV3:GI3"/>
    <mergeCell ref="CT2:DG2"/>
    <mergeCell ref="CT3:DG3"/>
    <mergeCell ref="DJ2:DW2"/>
    <mergeCell ref="DJ3:DW3"/>
    <mergeCell ref="R2:AE2"/>
    <mergeCell ref="R3:AE3"/>
    <mergeCell ref="AH2:AU2"/>
    <mergeCell ref="AX2:BK2"/>
    <mergeCell ref="AH3:AU3"/>
    <mergeCell ref="AX3:BK3"/>
  </mergeCells>
  <hyperlinks>
    <hyperlink ref="EQ22" r:id="rId1" display="https://dof.terra.com.mx/servicios/serie.asp?Folio=607&amp;An=2014" xr:uid="{06AB639B-2A43-F545-B345-2F6B24CE3E22}"/>
    <hyperlink ref="EQ35" r:id="rId2" display="http://dof.terra.com.mx/servicios/serie.asp?Folio=607&amp;An=2014" xr:uid="{BC3ADF81-D540-9C46-8B05-914D19BB9BBB}"/>
    <hyperlink ref="EQ36" r:id="rId3" display="http://dof.terra.com.mx/servicios/serie.asp?Folio=607&amp;An=2014" xr:uid="{ED865B4A-458F-7046-BAA5-F11153CD9A95}"/>
    <hyperlink ref="EQ37" r:id="rId4" display="http://dof.terra.com.mx/servicios/serie.asp?Folio=607&amp;An=2014" xr:uid="{F6D03E4E-B70D-E94D-A1F8-2EA2189BF9FA}"/>
  </hyperlinks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O54"/>
  <sheetViews>
    <sheetView showGridLines="0" zoomScaleNormal="100" workbookViewId="0">
      <selection activeCell="I53" sqref="I53"/>
    </sheetView>
  </sheetViews>
  <sheetFormatPr defaultColWidth="10.796875" defaultRowHeight="15.6"/>
  <cols>
    <col min="1" max="1" width="10.796875" style="1"/>
    <col min="2" max="2" width="12.796875" style="1" bestFit="1" customWidth="1"/>
    <col min="3" max="3" width="13.796875" style="1" bestFit="1" customWidth="1"/>
    <col min="4" max="4" width="13" style="1" bestFit="1" customWidth="1"/>
    <col min="5" max="5" width="13.796875" style="1" bestFit="1" customWidth="1"/>
    <col min="6" max="7" width="13" style="1" bestFit="1" customWidth="1"/>
    <col min="8" max="8" width="14.5" style="1" bestFit="1" customWidth="1"/>
    <col min="9" max="14" width="13" style="1" bestFit="1" customWidth="1"/>
    <col min="15" max="16384" width="10.796875" style="1"/>
  </cols>
  <sheetData>
    <row r="3" spans="2:15" ht="18" customHeight="1">
      <c r="B3" s="677" t="s">
        <v>770</v>
      </c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</row>
    <row r="4" spans="2:15" ht="18" customHeight="1">
      <c r="B4" s="677" t="s">
        <v>771</v>
      </c>
      <c r="C4" s="677"/>
      <c r="D4" s="677"/>
      <c r="E4" s="677"/>
      <c r="F4" s="677"/>
      <c r="G4" s="677"/>
      <c r="H4" s="677"/>
      <c r="I4" s="677"/>
      <c r="J4" s="677"/>
      <c r="K4" s="677"/>
      <c r="L4" s="677"/>
      <c r="M4" s="677"/>
      <c r="N4" s="677"/>
      <c r="O4" s="677"/>
    </row>
    <row r="5" spans="2:15" ht="18" customHeight="1">
      <c r="B5" s="21" t="s">
        <v>772</v>
      </c>
      <c r="C5" s="21" t="s">
        <v>773</v>
      </c>
      <c r="D5" s="21" t="s">
        <v>774</v>
      </c>
      <c r="E5" s="21" t="s">
        <v>775</v>
      </c>
      <c r="F5" s="21" t="s">
        <v>776</v>
      </c>
      <c r="G5" s="21" t="s">
        <v>777</v>
      </c>
      <c r="H5" s="21" t="s">
        <v>778</v>
      </c>
      <c r="I5" s="21" t="s">
        <v>779</v>
      </c>
      <c r="J5" s="21" t="s">
        <v>780</v>
      </c>
      <c r="K5" s="21" t="s">
        <v>781</v>
      </c>
      <c r="L5" s="21" t="s">
        <v>782</v>
      </c>
      <c r="M5" s="21" t="s">
        <v>783</v>
      </c>
      <c r="N5" s="21" t="s">
        <v>784</v>
      </c>
      <c r="O5" s="21" t="s">
        <v>772</v>
      </c>
    </row>
    <row r="6" spans="2:15" ht="18" customHeight="1">
      <c r="B6" s="22">
        <v>2000</v>
      </c>
      <c r="C6" s="23">
        <v>44.930830116377997</v>
      </c>
      <c r="D6" s="23">
        <v>45.329380314521998</v>
      </c>
      <c r="E6" s="23">
        <v>45.580680782035003</v>
      </c>
      <c r="F6" s="23">
        <v>45.840018271642002</v>
      </c>
      <c r="G6" s="23">
        <v>46.011379073729003</v>
      </c>
      <c r="H6" s="23">
        <v>46.283920241006001</v>
      </c>
      <c r="I6" s="23">
        <v>46.464466209717997</v>
      </c>
      <c r="J6" s="23">
        <v>46.719785188278003</v>
      </c>
      <c r="K6" s="23">
        <v>47.061071604014998</v>
      </c>
      <c r="L6" s="23">
        <v>47.385135825852998</v>
      </c>
      <c r="M6" s="23">
        <v>47.790287862832997</v>
      </c>
      <c r="N6" s="23">
        <v>48.307671180741004</v>
      </c>
      <c r="O6" s="22">
        <v>2000</v>
      </c>
    </row>
    <row r="7" spans="2:15" ht="18" customHeight="1">
      <c r="B7" s="22">
        <v>2001</v>
      </c>
      <c r="C7" s="23">
        <v>48.575476247933999</v>
      </c>
      <c r="D7" s="23">
        <v>48.543328159565</v>
      </c>
      <c r="E7" s="23">
        <v>48.850887781723998</v>
      </c>
      <c r="F7" s="23">
        <v>49.097308632382997</v>
      </c>
      <c r="G7" s="23">
        <v>49.209970463624998</v>
      </c>
      <c r="H7" s="23">
        <v>49.326363767191999</v>
      </c>
      <c r="I7" s="23">
        <v>49.198201964029998</v>
      </c>
      <c r="J7" s="23">
        <v>49.489687547186001</v>
      </c>
      <c r="K7" s="23">
        <v>49.950381149771999</v>
      </c>
      <c r="L7" s="23">
        <v>50.176135367754</v>
      </c>
      <c r="M7" s="23">
        <v>50.365148908872001</v>
      </c>
      <c r="N7" s="23">
        <v>50.434898785092997</v>
      </c>
      <c r="O7" s="22">
        <v>2001</v>
      </c>
    </row>
    <row r="8" spans="2:15" ht="18" customHeight="1">
      <c r="B8" s="22">
        <v>2002</v>
      </c>
      <c r="C8" s="23">
        <v>50.900472009715998</v>
      </c>
      <c r="D8" s="23">
        <v>50.867749849081001</v>
      </c>
      <c r="E8" s="23">
        <v>51.127948444495999</v>
      </c>
      <c r="F8" s="23">
        <v>51.407234972562001</v>
      </c>
      <c r="G8" s="23">
        <v>51.511429231397997</v>
      </c>
      <c r="H8" s="23">
        <v>51.762586176958997</v>
      </c>
      <c r="I8" s="23">
        <v>51.911181353361997</v>
      </c>
      <c r="J8" s="23">
        <v>52.108560301263999</v>
      </c>
      <c r="K8" s="23">
        <v>52.421983564994001</v>
      </c>
      <c r="L8" s="23">
        <v>52.653036086686001</v>
      </c>
      <c r="M8" s="23">
        <v>53.078877281373998</v>
      </c>
      <c r="N8" s="23">
        <v>53.309929803065003</v>
      </c>
      <c r="O8" s="22">
        <v>2002</v>
      </c>
    </row>
    <row r="9" spans="2:15" ht="18" customHeight="1">
      <c r="B9" s="22">
        <v>2003</v>
      </c>
      <c r="C9" s="23">
        <v>53.525440675315998</v>
      </c>
      <c r="D9" s="23">
        <v>53.674122454969996</v>
      </c>
      <c r="E9" s="23">
        <v>54.012930412785998</v>
      </c>
      <c r="F9" s="23">
        <v>54.105144199469997</v>
      </c>
      <c r="G9" s="23">
        <v>53.930559670748998</v>
      </c>
      <c r="H9" s="23">
        <v>53.975112399147001</v>
      </c>
      <c r="I9" s="23">
        <v>54.053338701333999</v>
      </c>
      <c r="J9" s="23">
        <v>54.215489910502001</v>
      </c>
      <c r="K9" s="23">
        <v>54.538238163896999</v>
      </c>
      <c r="L9" s="23">
        <v>54.738207386707003</v>
      </c>
      <c r="M9" s="23">
        <v>55.192541605370003</v>
      </c>
      <c r="N9" s="23">
        <v>55.429810786837997</v>
      </c>
      <c r="O9" s="22">
        <v>2003</v>
      </c>
    </row>
    <row r="10" spans="2:15" ht="18" customHeight="1">
      <c r="B10" s="22">
        <v>2004</v>
      </c>
      <c r="C10" s="23">
        <v>55.774317349450001</v>
      </c>
      <c r="D10" s="23">
        <v>56.107944757452998</v>
      </c>
      <c r="E10" s="23">
        <v>56.298070935616998</v>
      </c>
      <c r="F10" s="23">
        <v>56.383031952562</v>
      </c>
      <c r="G10" s="23">
        <v>56.241602942646999</v>
      </c>
      <c r="H10" s="23">
        <v>56.331744509406001</v>
      </c>
      <c r="I10" s="23">
        <v>56.479390179097003</v>
      </c>
      <c r="J10" s="23">
        <v>56.828041181560003</v>
      </c>
      <c r="K10" s="23">
        <v>57.297917049664001</v>
      </c>
      <c r="L10" s="23">
        <v>57.694747165395</v>
      </c>
      <c r="M10" s="23">
        <v>58.186899397696997</v>
      </c>
      <c r="N10" s="23">
        <v>58.307088153376</v>
      </c>
      <c r="O10" s="22">
        <v>2004</v>
      </c>
    </row>
    <row r="11" spans="2:15" ht="18" customHeight="1">
      <c r="B11" s="22">
        <v>2005</v>
      </c>
      <c r="C11" s="23">
        <v>58.309160373300998</v>
      </c>
      <c r="D11" s="23">
        <v>58.503430991316002</v>
      </c>
      <c r="E11" s="23">
        <v>58.767120976834001</v>
      </c>
      <c r="F11" s="23">
        <v>58.976415189308</v>
      </c>
      <c r="G11" s="23">
        <v>58.828251464635997</v>
      </c>
      <c r="H11" s="23">
        <v>58.771783471665998</v>
      </c>
      <c r="I11" s="23">
        <v>59.001799883395002</v>
      </c>
      <c r="J11" s="23">
        <v>59.072255360862002</v>
      </c>
      <c r="K11" s="23">
        <v>59.309006487348</v>
      </c>
      <c r="L11" s="23">
        <v>59.454579937113998</v>
      </c>
      <c r="M11" s="23">
        <v>59.882493351727</v>
      </c>
      <c r="N11" s="23">
        <v>60.250312388501001</v>
      </c>
      <c r="O11" s="22">
        <v>2005</v>
      </c>
    </row>
    <row r="12" spans="2:15" ht="18" customHeight="1">
      <c r="B12" s="22">
        <v>2006</v>
      </c>
      <c r="C12" s="23">
        <v>60.603625885795999</v>
      </c>
      <c r="D12" s="23">
        <v>60.696357727462001</v>
      </c>
      <c r="E12" s="23">
        <v>60.772511809722999</v>
      </c>
      <c r="F12" s="23">
        <v>60.861617266518998</v>
      </c>
      <c r="G12" s="23">
        <v>60.590674511262002</v>
      </c>
      <c r="H12" s="23">
        <v>60.642998064380002</v>
      </c>
      <c r="I12" s="23">
        <v>60.809293713400997</v>
      </c>
      <c r="J12" s="23">
        <v>61.119608647242003</v>
      </c>
      <c r="K12" s="23">
        <v>61.736612130056002</v>
      </c>
      <c r="L12" s="23">
        <v>62.006518775350997</v>
      </c>
      <c r="M12" s="23">
        <v>62.331857303652001</v>
      </c>
      <c r="N12" s="23">
        <v>62.692423570686003</v>
      </c>
      <c r="O12" s="22">
        <v>2006</v>
      </c>
    </row>
    <row r="13" spans="2:15" ht="18" customHeight="1">
      <c r="B13" s="22">
        <v>2007</v>
      </c>
      <c r="C13" s="23">
        <v>63.016207934043997</v>
      </c>
      <c r="D13" s="23">
        <v>63.192346627710997</v>
      </c>
      <c r="E13" s="23">
        <v>63.329113142792998</v>
      </c>
      <c r="F13" s="23">
        <v>63.291295129151997</v>
      </c>
      <c r="G13" s="23">
        <v>62.982534360255002</v>
      </c>
      <c r="H13" s="23">
        <v>63.058170387535</v>
      </c>
      <c r="I13" s="23">
        <v>63.326004812904003</v>
      </c>
      <c r="J13" s="23">
        <v>63.583996193627002</v>
      </c>
      <c r="K13" s="23">
        <v>64.077702590875006</v>
      </c>
      <c r="L13" s="23">
        <v>64.327405091895997</v>
      </c>
      <c r="M13" s="23">
        <v>64.781221255576995</v>
      </c>
      <c r="N13" s="23">
        <v>65.049055680945997</v>
      </c>
      <c r="O13" s="22">
        <v>2007</v>
      </c>
    </row>
    <row r="14" spans="2:15" ht="18" customHeight="1">
      <c r="B14" s="22">
        <v>2008</v>
      </c>
      <c r="C14" s="23">
        <v>65.350563680104003</v>
      </c>
      <c r="D14" s="23">
        <v>65.544834298119</v>
      </c>
      <c r="E14" s="23">
        <v>66.019890716036002</v>
      </c>
      <c r="F14" s="23">
        <v>66.170126660633997</v>
      </c>
      <c r="G14" s="23">
        <v>66.098635073205003</v>
      </c>
      <c r="H14" s="23">
        <v>66.372168103369006</v>
      </c>
      <c r="I14" s="23">
        <v>66.742059360067998</v>
      </c>
      <c r="J14" s="23">
        <v>67.127492266209003</v>
      </c>
      <c r="K14" s="23">
        <v>67.584934814760004</v>
      </c>
      <c r="L14" s="23">
        <v>68.045485693200007</v>
      </c>
      <c r="M14" s="23">
        <v>68.818941780386993</v>
      </c>
      <c r="N14" s="23">
        <v>69.295552363249001</v>
      </c>
      <c r="O14" s="22">
        <v>2008</v>
      </c>
    </row>
    <row r="15" spans="2:15" ht="18" customHeight="1">
      <c r="B15" s="22">
        <v>2009</v>
      </c>
      <c r="C15" s="23">
        <v>69.456149407474001</v>
      </c>
      <c r="D15" s="23">
        <v>69.609493681960004</v>
      </c>
      <c r="E15" s="23">
        <v>70.009950182560999</v>
      </c>
      <c r="F15" s="23">
        <v>70.254990188749005</v>
      </c>
      <c r="G15" s="23">
        <v>70.050358471107998</v>
      </c>
      <c r="H15" s="23">
        <v>70.179354161469007</v>
      </c>
      <c r="I15" s="23">
        <v>70.370516449595002</v>
      </c>
      <c r="J15" s="23">
        <v>70.538884318540994</v>
      </c>
      <c r="K15" s="23">
        <v>70.892715870817995</v>
      </c>
      <c r="L15" s="23">
        <v>71.107190633106001</v>
      </c>
      <c r="M15" s="23">
        <v>71.476045779843005</v>
      </c>
      <c r="N15" s="23">
        <v>71.771855174205001</v>
      </c>
      <c r="O15" s="22">
        <v>2009</v>
      </c>
    </row>
    <row r="16" spans="2:15" ht="18" customHeight="1">
      <c r="B16" s="22">
        <v>2010</v>
      </c>
      <c r="C16" s="23">
        <v>72.552045976151007</v>
      </c>
      <c r="D16" s="23">
        <v>72.971670511062001</v>
      </c>
      <c r="E16" s="23">
        <v>73.489725492434005</v>
      </c>
      <c r="F16" s="23">
        <v>73.255564640854004</v>
      </c>
      <c r="G16" s="23">
        <v>72.793977652452</v>
      </c>
      <c r="H16" s="23">
        <v>72.771183233271003</v>
      </c>
      <c r="I16" s="23">
        <v>72.929190002590005</v>
      </c>
      <c r="J16" s="23">
        <v>73.131749500306</v>
      </c>
      <c r="K16" s="23">
        <v>73.515110186520999</v>
      </c>
      <c r="L16" s="23">
        <v>73.968926350203006</v>
      </c>
      <c r="M16" s="23">
        <v>74.561581248891997</v>
      </c>
      <c r="N16" s="23">
        <v>74.930954450610002</v>
      </c>
      <c r="O16" s="22">
        <v>2010</v>
      </c>
    </row>
    <row r="17" spans="2:15" ht="18" customHeight="1">
      <c r="B17" s="22">
        <v>2011</v>
      </c>
      <c r="C17" s="23">
        <v>75.295991345633993</v>
      </c>
      <c r="D17" s="23">
        <v>75.578460244005001</v>
      </c>
      <c r="E17" s="23">
        <v>75.723450928540998</v>
      </c>
      <c r="F17" s="23">
        <v>75.717440951979995</v>
      </c>
      <c r="G17" s="23">
        <v>75.159264378868997</v>
      </c>
      <c r="H17" s="23">
        <v>75.155508143518006</v>
      </c>
      <c r="I17" s="23">
        <v>75.516106737184003</v>
      </c>
      <c r="J17" s="23">
        <v>75.635555021334994</v>
      </c>
      <c r="K17" s="23">
        <v>75.821113047658997</v>
      </c>
      <c r="L17" s="23">
        <v>76.332712302421996</v>
      </c>
      <c r="M17" s="23">
        <v>77.158332832501998</v>
      </c>
      <c r="N17" s="23">
        <v>77.792385359696993</v>
      </c>
      <c r="O17" s="22">
        <v>2011</v>
      </c>
    </row>
    <row r="18" spans="2:15" ht="18" customHeight="1">
      <c r="B18" s="22">
        <v>2012</v>
      </c>
      <c r="C18" s="23">
        <v>78.343049462107004</v>
      </c>
      <c r="D18" s="23">
        <v>78.502313840976001</v>
      </c>
      <c r="E18" s="23">
        <v>78.547388665184002</v>
      </c>
      <c r="F18" s="23">
        <v>78.300979626179995</v>
      </c>
      <c r="G18" s="23">
        <v>78.053819340104994</v>
      </c>
      <c r="H18" s="23">
        <v>78.413666686699997</v>
      </c>
      <c r="I18" s="23">
        <v>78.853897469800003</v>
      </c>
      <c r="J18" s="23">
        <v>79.090540296892996</v>
      </c>
      <c r="K18" s="23">
        <v>79.439118937436007</v>
      </c>
      <c r="L18" s="23">
        <v>79.841036119959</v>
      </c>
      <c r="M18" s="23">
        <v>80.383436504597995</v>
      </c>
      <c r="N18" s="23">
        <v>80.568243283851004</v>
      </c>
      <c r="O18" s="22">
        <v>2012</v>
      </c>
    </row>
    <row r="19" spans="2:15" ht="18" customHeight="1">
      <c r="B19" s="22">
        <v>2013</v>
      </c>
      <c r="C19" s="23">
        <v>80.892782018150001</v>
      </c>
      <c r="D19" s="23">
        <v>81.290942965322003</v>
      </c>
      <c r="E19" s="23">
        <v>81.887433139010994</v>
      </c>
      <c r="F19" s="23">
        <v>81.941522928061005</v>
      </c>
      <c r="G19" s="23">
        <v>81.668820241600997</v>
      </c>
      <c r="H19" s="23">
        <v>81.619237934972006</v>
      </c>
      <c r="I19" s="23">
        <v>81.592193040447</v>
      </c>
      <c r="J19" s="23">
        <v>81.824328385119003</v>
      </c>
      <c r="K19" s="23">
        <v>82.132339683875003</v>
      </c>
      <c r="L19" s="23">
        <v>82.522988160346003</v>
      </c>
      <c r="M19" s="23">
        <v>83.292265160165996</v>
      </c>
      <c r="N19" s="23">
        <v>83.770058296773001</v>
      </c>
      <c r="O19" s="22">
        <v>2013</v>
      </c>
    </row>
    <row r="20" spans="2:15" ht="18" customHeight="1">
      <c r="B20" s="22">
        <v>2014</v>
      </c>
      <c r="C20" s="23">
        <v>84.519051625699007</v>
      </c>
      <c r="D20" s="23">
        <v>84.733157040687999</v>
      </c>
      <c r="E20" s="23">
        <v>84.965292385360002</v>
      </c>
      <c r="F20" s="23">
        <v>84.806779253561004</v>
      </c>
      <c r="G20" s="23">
        <v>84.535579061242004</v>
      </c>
      <c r="H20" s="23">
        <v>84.682072239918</v>
      </c>
      <c r="I20" s="23">
        <v>84.914958831660996</v>
      </c>
      <c r="J20" s="23">
        <v>85.219965142136004</v>
      </c>
      <c r="K20" s="23">
        <v>85.596339924274005</v>
      </c>
      <c r="L20" s="23">
        <v>86.069625578460005</v>
      </c>
      <c r="M20" s="23">
        <v>86.763777871266001</v>
      </c>
      <c r="N20" s="23">
        <v>87.188983712964003</v>
      </c>
      <c r="O20" s="22">
        <v>2014</v>
      </c>
    </row>
    <row r="21" spans="2:15" ht="18" customHeight="1">
      <c r="B21" s="22">
        <v>2015</v>
      </c>
      <c r="C21" s="23">
        <v>87.110102770598999</v>
      </c>
      <c r="D21" s="23">
        <v>87.275377126028999</v>
      </c>
      <c r="E21" s="23">
        <v>87.630716990203993</v>
      </c>
      <c r="F21" s="23">
        <v>87.403840375022995</v>
      </c>
      <c r="G21" s="23">
        <v>86.967365827272999</v>
      </c>
      <c r="H21" s="23">
        <v>87.113107758880005</v>
      </c>
      <c r="I21" s="23">
        <v>87.240819760803006</v>
      </c>
      <c r="J21" s="23">
        <v>87.424875292986002</v>
      </c>
      <c r="K21" s="23">
        <v>87.752419015566005</v>
      </c>
      <c r="L21" s="23">
        <v>88.203918504718004</v>
      </c>
      <c r="M21" s="23">
        <v>88.685467876675006</v>
      </c>
      <c r="N21" s="23">
        <v>89.046817717411002</v>
      </c>
      <c r="O21" s="22">
        <v>2015</v>
      </c>
    </row>
    <row r="22" spans="2:15" ht="18" customHeight="1">
      <c r="B22" s="22">
        <v>2016</v>
      </c>
      <c r="C22" s="23">
        <v>89.386381393112998</v>
      </c>
      <c r="D22" s="23">
        <v>89.777781116653998</v>
      </c>
      <c r="E22" s="23">
        <v>89.910000600998004</v>
      </c>
      <c r="F22" s="23">
        <v>89.625277961416003</v>
      </c>
      <c r="G22" s="23">
        <v>89.225614520102994</v>
      </c>
      <c r="H22" s="23">
        <v>89.324027886291006</v>
      </c>
      <c r="I22" s="23">
        <v>89.556914478034003</v>
      </c>
      <c r="J22" s="23">
        <v>89.809333493598999</v>
      </c>
      <c r="K22" s="23">
        <v>90.357743854798997</v>
      </c>
      <c r="L22" s="23">
        <v>90.906154215998995</v>
      </c>
      <c r="M22" s="23">
        <v>91.616833944348002</v>
      </c>
      <c r="N22" s="23">
        <v>92.039034797764003</v>
      </c>
      <c r="O22" s="22">
        <v>2016</v>
      </c>
    </row>
    <row r="23" spans="2:15" ht="18" customHeight="1">
      <c r="B23" s="22">
        <v>2017</v>
      </c>
      <c r="C23" s="23">
        <v>93.603882444858996</v>
      </c>
      <c r="D23" s="23">
        <v>94.144780335356998</v>
      </c>
      <c r="E23" s="23">
        <v>94.722489332292</v>
      </c>
      <c r="F23" s="23">
        <v>94.838932628162993</v>
      </c>
      <c r="G23" s="23">
        <v>94.725494320571997</v>
      </c>
      <c r="H23" s="23">
        <v>94.963639641805003</v>
      </c>
      <c r="I23" s="23">
        <v>95.322735741331002</v>
      </c>
      <c r="J23" s="23">
        <v>95.793767654305995</v>
      </c>
      <c r="K23" s="23">
        <v>96.093515235290994</v>
      </c>
      <c r="L23" s="23">
        <v>96.698269126750006</v>
      </c>
      <c r="M23" s="23">
        <v>97.695173988822006</v>
      </c>
      <c r="N23" s="23">
        <v>98.272882985755999</v>
      </c>
      <c r="O23" s="22">
        <v>2017</v>
      </c>
    </row>
    <row r="24" spans="2:15" ht="18" customHeight="1">
      <c r="B24" s="22">
        <v>2018</v>
      </c>
      <c r="C24" s="23">
        <v>98.794999699501005</v>
      </c>
      <c r="D24" s="23">
        <v>99.171374481640001</v>
      </c>
      <c r="E24" s="23">
        <v>99.492156980588007</v>
      </c>
      <c r="F24" s="23">
        <v>99.154847046097004</v>
      </c>
      <c r="G24" s="23">
        <v>98.994080173086999</v>
      </c>
      <c r="H24" s="23">
        <v>99.376464931786998</v>
      </c>
      <c r="I24" s="23">
        <v>99.909099104513999</v>
      </c>
      <c r="J24" s="23">
        <v>100.492</v>
      </c>
      <c r="K24" s="23">
        <v>100.917</v>
      </c>
      <c r="L24" s="23">
        <v>101.44</v>
      </c>
      <c r="M24" s="23">
        <v>102.303</v>
      </c>
      <c r="N24" s="23">
        <v>103.02</v>
      </c>
      <c r="O24" s="22">
        <v>2018</v>
      </c>
    </row>
    <row r="25" spans="2:15" ht="18" customHeight="1">
      <c r="B25" s="212">
        <v>2019</v>
      </c>
      <c r="C25" s="213">
        <v>103.108</v>
      </c>
      <c r="D25" s="213">
        <v>103.07899999999999</v>
      </c>
      <c r="E25" s="213">
        <v>103.476</v>
      </c>
      <c r="F25" s="213">
        <v>103.53100000000001</v>
      </c>
      <c r="G25" s="213">
        <v>103.233</v>
      </c>
      <c r="H25" s="213">
        <v>103.29900000000001</v>
      </c>
      <c r="I25" s="213">
        <v>103.687</v>
      </c>
      <c r="J25" s="213">
        <v>103.67</v>
      </c>
      <c r="K25" s="213">
        <v>103.94199999999999</v>
      </c>
      <c r="L25" s="213">
        <v>104.503</v>
      </c>
      <c r="M25" s="213">
        <v>105.346</v>
      </c>
      <c r="N25" s="213">
        <v>105.934</v>
      </c>
      <c r="O25" s="212">
        <v>2019</v>
      </c>
    </row>
    <row r="26" spans="2:15" ht="18" customHeight="1">
      <c r="B26" s="212">
        <v>2020</v>
      </c>
      <c r="C26" s="213">
        <v>106.447</v>
      </c>
      <c r="D26" s="213">
        <v>106.889</v>
      </c>
      <c r="E26" s="213">
        <v>106.83799999999999</v>
      </c>
      <c r="F26" s="213">
        <v>105.755</v>
      </c>
      <c r="G26" s="213">
        <v>106.16200000000001</v>
      </c>
      <c r="H26" s="213">
        <v>106.74299999999999</v>
      </c>
      <c r="I26" s="213">
        <v>107.444</v>
      </c>
      <c r="J26" s="213">
        <v>107.867</v>
      </c>
      <c r="K26" s="213">
        <v>108.114</v>
      </c>
      <c r="L26" s="213">
        <v>108.774</v>
      </c>
      <c r="M26" s="213">
        <v>108.85599999999999</v>
      </c>
      <c r="N26" s="213">
        <v>109.271</v>
      </c>
      <c r="O26" s="212">
        <v>2020</v>
      </c>
    </row>
    <row r="27" spans="2:15" ht="18" customHeight="1">
      <c r="B27" s="212">
        <v>2021</v>
      </c>
      <c r="C27" s="213">
        <v>110.21</v>
      </c>
      <c r="D27" s="213">
        <v>110.907</v>
      </c>
      <c r="E27" s="213">
        <v>111.824</v>
      </c>
      <c r="F27" s="213">
        <v>112.19</v>
      </c>
      <c r="G27" s="213">
        <v>112.419</v>
      </c>
      <c r="H27" s="213">
        <v>113.018</v>
      </c>
      <c r="I27" s="213">
        <v>113.682</v>
      </c>
      <c r="J27" s="213">
        <v>113.899</v>
      </c>
      <c r="K27" s="213">
        <v>114.601</v>
      </c>
      <c r="L27" s="213">
        <v>115.56100000000001</v>
      </c>
      <c r="M27" s="213">
        <v>116.884</v>
      </c>
      <c r="N27" s="213">
        <v>117.30800000000001</v>
      </c>
      <c r="O27" s="212">
        <v>2021</v>
      </c>
    </row>
    <row r="28" spans="2:15" ht="18" customHeight="1">
      <c r="B28" s="212">
        <v>2022</v>
      </c>
      <c r="C28" s="621">
        <v>118.002</v>
      </c>
      <c r="D28" s="213">
        <v>118.98099999999999</v>
      </c>
      <c r="E28" s="213">
        <v>120.15900000000001</v>
      </c>
      <c r="F28" s="213">
        <v>120.809</v>
      </c>
      <c r="G28" s="213">
        <v>121.02200000000001</v>
      </c>
      <c r="H28" s="213">
        <v>122.044</v>
      </c>
      <c r="I28" s="213">
        <v>122.94799999999999</v>
      </c>
      <c r="J28" s="213">
        <v>123.803</v>
      </c>
      <c r="K28" s="213">
        <v>124.571</v>
      </c>
      <c r="L28" s="213">
        <v>125.276</v>
      </c>
      <c r="M28" s="213">
        <v>125.997</v>
      </c>
      <c r="N28" s="213">
        <v>126.47799999999999</v>
      </c>
      <c r="O28" s="212">
        <v>2022</v>
      </c>
    </row>
    <row r="29" spans="2:15" ht="18" customHeight="1">
      <c r="B29" s="212">
        <v>2023</v>
      </c>
      <c r="C29" s="256">
        <f t="shared" ref="C29:C30" si="0">+N28</f>
        <v>126.47799999999999</v>
      </c>
      <c r="D29" s="256">
        <f t="shared" ref="D29:D30" si="1">+C29</f>
        <v>126.47799999999999</v>
      </c>
      <c r="E29" s="256">
        <f t="shared" ref="E29:E30" si="2">+D29</f>
        <v>126.47799999999999</v>
      </c>
      <c r="F29" s="256">
        <f t="shared" ref="F29:F30" si="3">+E29</f>
        <v>126.47799999999999</v>
      </c>
      <c r="G29" s="256">
        <f t="shared" ref="G29:G30" si="4">+F29</f>
        <v>126.47799999999999</v>
      </c>
      <c r="H29" s="256">
        <f t="shared" ref="H29:H30" si="5">+G29</f>
        <v>126.47799999999999</v>
      </c>
      <c r="I29" s="256">
        <f t="shared" ref="I29:I30" si="6">+H29</f>
        <v>126.47799999999999</v>
      </c>
      <c r="J29" s="256">
        <f t="shared" ref="J29:J30" si="7">+I29</f>
        <v>126.47799999999999</v>
      </c>
      <c r="K29" s="256">
        <f t="shared" ref="K29:K30" si="8">+J29</f>
        <v>126.47799999999999</v>
      </c>
      <c r="L29" s="256">
        <f t="shared" ref="L29:L30" si="9">+K29</f>
        <v>126.47799999999999</v>
      </c>
      <c r="M29" s="256">
        <f t="shared" ref="M29:M30" si="10">+L29</f>
        <v>126.47799999999999</v>
      </c>
      <c r="N29" s="256">
        <f>+M29</f>
        <v>126.47799999999999</v>
      </c>
      <c r="O29" s="212">
        <v>2023</v>
      </c>
    </row>
    <row r="30" spans="2:15" ht="18" customHeight="1">
      <c r="B30" s="212">
        <v>2024</v>
      </c>
      <c r="C30" s="256">
        <f t="shared" si="0"/>
        <v>126.47799999999999</v>
      </c>
      <c r="D30" s="256">
        <f t="shared" si="1"/>
        <v>126.47799999999999</v>
      </c>
      <c r="E30" s="256">
        <f t="shared" si="2"/>
        <v>126.47799999999999</v>
      </c>
      <c r="F30" s="256">
        <f t="shared" si="3"/>
        <v>126.47799999999999</v>
      </c>
      <c r="G30" s="256">
        <f t="shared" si="4"/>
        <v>126.47799999999999</v>
      </c>
      <c r="H30" s="256">
        <f t="shared" si="5"/>
        <v>126.47799999999999</v>
      </c>
      <c r="I30" s="256">
        <f t="shared" si="6"/>
        <v>126.47799999999999</v>
      </c>
      <c r="J30" s="256">
        <f t="shared" si="7"/>
        <v>126.47799999999999</v>
      </c>
      <c r="K30" s="256">
        <f t="shared" si="8"/>
        <v>126.47799999999999</v>
      </c>
      <c r="L30" s="256">
        <f t="shared" si="9"/>
        <v>126.47799999999999</v>
      </c>
      <c r="M30" s="256">
        <f t="shared" si="10"/>
        <v>126.47799999999999</v>
      </c>
      <c r="N30" s="256">
        <f t="shared" ref="N30" si="11">+M30</f>
        <v>126.47799999999999</v>
      </c>
      <c r="O30" s="212">
        <v>2024</v>
      </c>
    </row>
    <row r="31" spans="2:15" ht="19.2">
      <c r="B31" s="21" t="s">
        <v>772</v>
      </c>
      <c r="C31" s="21" t="s">
        <v>773</v>
      </c>
      <c r="D31" s="21" t="s">
        <v>774</v>
      </c>
      <c r="E31" s="21" t="s">
        <v>775</v>
      </c>
      <c r="F31" s="21" t="s">
        <v>776</v>
      </c>
      <c r="G31" s="21" t="s">
        <v>777</v>
      </c>
      <c r="H31" s="21" t="s">
        <v>778</v>
      </c>
      <c r="I31" s="21" t="s">
        <v>779</v>
      </c>
      <c r="J31" s="21" t="s">
        <v>780</v>
      </c>
      <c r="K31" s="21" t="s">
        <v>781</v>
      </c>
      <c r="L31" s="21" t="s">
        <v>782</v>
      </c>
      <c r="M31" s="21" t="s">
        <v>783</v>
      </c>
      <c r="N31" s="21" t="s">
        <v>784</v>
      </c>
      <c r="O31" s="21" t="s">
        <v>772</v>
      </c>
    </row>
    <row r="32" spans="2:15">
      <c r="H32" s="4"/>
    </row>
    <row r="34" spans="3:5">
      <c r="C34" s="5"/>
      <c r="D34" s="5"/>
    </row>
    <row r="35" spans="3:5">
      <c r="C35" s="5"/>
      <c r="D35" s="5"/>
    </row>
    <row r="36" spans="3:5">
      <c r="C36" s="5"/>
      <c r="D36" s="5"/>
    </row>
    <row r="37" spans="3:5">
      <c r="C37" s="5"/>
      <c r="D37" s="5"/>
    </row>
    <row r="38" spans="3:5">
      <c r="C38" s="5"/>
      <c r="D38" s="5"/>
    </row>
    <row r="39" spans="3:5">
      <c r="C39" s="5"/>
      <c r="D39" s="5"/>
    </row>
    <row r="40" spans="3:5">
      <c r="C40" s="5"/>
      <c r="D40" s="5"/>
      <c r="E40" s="6"/>
    </row>
    <row r="41" spans="3:5">
      <c r="C41" s="5"/>
      <c r="D41" s="5"/>
      <c r="E41" s="5"/>
    </row>
    <row r="42" spans="3:5">
      <c r="C42" s="5"/>
      <c r="D42" s="5"/>
    </row>
    <row r="43" spans="3:5">
      <c r="C43" s="5"/>
      <c r="D43" s="5"/>
      <c r="E43" s="6"/>
    </row>
    <row r="44" spans="3:5">
      <c r="C44" s="5"/>
      <c r="D44" s="5"/>
      <c r="E44" s="6"/>
    </row>
    <row r="45" spans="3:5">
      <c r="C45" s="5"/>
      <c r="D45" s="5"/>
      <c r="E45" s="5"/>
    </row>
    <row r="46" spans="3:5">
      <c r="C46" s="5"/>
      <c r="D46" s="5"/>
    </row>
    <row r="47" spans="3:5">
      <c r="C47" s="5"/>
      <c r="D47" s="5"/>
    </row>
    <row r="48" spans="3:5">
      <c r="C48" s="5"/>
      <c r="D48" s="5"/>
    </row>
    <row r="49" spans="2:4">
      <c r="B49" s="5"/>
      <c r="C49" s="5"/>
      <c r="D49" s="5"/>
    </row>
    <row r="50" spans="2:4">
      <c r="C50" s="5"/>
      <c r="D50" s="5"/>
    </row>
    <row r="51" spans="2:4">
      <c r="C51" s="5"/>
      <c r="D51" s="5"/>
    </row>
    <row r="52" spans="2:4">
      <c r="C52" s="5"/>
      <c r="D52" s="5"/>
    </row>
    <row r="53" spans="2:4">
      <c r="C53" s="5"/>
      <c r="D53" s="5"/>
    </row>
    <row r="54" spans="2:4">
      <c r="C54" s="5"/>
      <c r="D54" s="5"/>
    </row>
  </sheetData>
  <mergeCells count="2">
    <mergeCell ref="B3:O3"/>
    <mergeCell ref="B4:O4"/>
  </mergeCells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5CA7-095C-A342-94ED-DEE8DE008720}">
  <sheetPr>
    <tabColor rgb="FFC00000"/>
  </sheetPr>
  <dimension ref="B2:AA27"/>
  <sheetViews>
    <sheetView zoomScale="120" zoomScaleNormal="120" zoomScalePageLayoutView="140" workbookViewId="0">
      <selection activeCell="R26" sqref="R26"/>
    </sheetView>
  </sheetViews>
  <sheetFormatPr defaultColWidth="10.796875" defaultRowHeight="19.2"/>
  <cols>
    <col min="1" max="2" width="10.796875" style="8"/>
    <col min="3" max="3" width="11.296875" style="8" customWidth="1"/>
    <col min="4" max="15" width="10.796875" style="8"/>
    <col min="16" max="16" width="3" style="8" customWidth="1"/>
    <col min="17" max="17" width="13.69921875" style="48" customWidth="1"/>
    <col min="18" max="18" width="3" style="8" customWidth="1"/>
    <col min="19" max="19" width="13.69921875" style="48" customWidth="1"/>
    <col min="20" max="20" width="3" style="8" customWidth="1"/>
    <col min="21" max="21" width="13.69921875" style="48" customWidth="1"/>
    <col min="22" max="22" width="3" style="8" customWidth="1"/>
    <col min="23" max="23" width="13.69921875" style="48" customWidth="1"/>
    <col min="24" max="24" width="3" style="8" customWidth="1"/>
    <col min="25" max="25" width="13.69921875" style="48" customWidth="1"/>
    <col min="26" max="26" width="3.796875" style="8" customWidth="1"/>
    <col min="27" max="27" width="13.69921875" style="8" customWidth="1"/>
    <col min="28" max="16384" width="10.796875" style="8"/>
  </cols>
  <sheetData>
    <row r="2" spans="2:27">
      <c r="B2" s="76" t="s">
        <v>785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2:27">
      <c r="B3" s="76" t="s">
        <v>786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5" spans="2:27">
      <c r="B5" s="75" t="s">
        <v>772</v>
      </c>
      <c r="C5" s="75" t="s">
        <v>773</v>
      </c>
      <c r="D5" s="75" t="s">
        <v>774</v>
      </c>
      <c r="E5" s="75" t="s">
        <v>775</v>
      </c>
      <c r="F5" s="75" t="s">
        <v>776</v>
      </c>
      <c r="G5" s="75" t="s">
        <v>777</v>
      </c>
      <c r="H5" s="75" t="s">
        <v>778</v>
      </c>
      <c r="I5" s="75" t="s">
        <v>779</v>
      </c>
      <c r="J5" s="75" t="s">
        <v>780</v>
      </c>
      <c r="K5" s="75" t="s">
        <v>781</v>
      </c>
      <c r="L5" s="75" t="s">
        <v>782</v>
      </c>
      <c r="M5" s="75" t="s">
        <v>783</v>
      </c>
      <c r="N5" s="75" t="s">
        <v>784</v>
      </c>
      <c r="O5" s="75" t="s">
        <v>772</v>
      </c>
      <c r="P5" s="183"/>
      <c r="Q5" s="75">
        <v>2017</v>
      </c>
      <c r="R5" s="183"/>
      <c r="S5" s="75">
        <v>2018</v>
      </c>
      <c r="T5" s="183"/>
      <c r="U5" s="75">
        <v>2019</v>
      </c>
      <c r="V5" s="183"/>
      <c r="W5" s="75">
        <v>2020</v>
      </c>
      <c r="X5" s="183"/>
      <c r="Y5" s="75">
        <v>2021</v>
      </c>
      <c r="AA5" s="75">
        <v>2022</v>
      </c>
    </row>
    <row r="6" spans="2:27">
      <c r="B6" s="538">
        <v>2006</v>
      </c>
      <c r="C6" s="77">
        <v>1.1299999999999999E-2</v>
      </c>
      <c r="D6" s="77">
        <v>1.1299999999999999E-2</v>
      </c>
      <c r="E6" s="77">
        <v>1.1299999999999999E-2</v>
      </c>
      <c r="F6" s="77">
        <v>1.1299999999999999E-2</v>
      </c>
      <c r="G6" s="77">
        <v>1.1299999999999999E-2</v>
      </c>
      <c r="H6" s="77">
        <v>1.1299999999999999E-2</v>
      </c>
      <c r="I6" s="77">
        <v>1.1299999999999999E-2</v>
      </c>
      <c r="J6" s="77">
        <v>1.1299999999999999E-2</v>
      </c>
      <c r="K6" s="77">
        <v>1.1299999999999999E-2</v>
      </c>
      <c r="L6" s="77">
        <v>1.1299999999999999E-2</v>
      </c>
      <c r="M6" s="77">
        <v>1.1299999999999999E-2</v>
      </c>
      <c r="N6" s="77">
        <v>1.1299999999999999E-2</v>
      </c>
      <c r="O6" s="538">
        <v>2006</v>
      </c>
    </row>
    <row r="7" spans="2:27">
      <c r="B7" s="538">
        <v>2007</v>
      </c>
      <c r="C7" s="77">
        <v>1.1299999999999999E-2</v>
      </c>
      <c r="D7" s="77">
        <v>1.1299999999999999E-2</v>
      </c>
      <c r="E7" s="77">
        <v>1.1299999999999999E-2</v>
      </c>
      <c r="F7" s="77">
        <v>1.1299999999999999E-2</v>
      </c>
      <c r="G7" s="77">
        <v>1.1299999999999999E-2</v>
      </c>
      <c r="H7" s="77">
        <v>1.1299999999999999E-2</v>
      </c>
      <c r="I7" s="77">
        <v>1.1299999999999999E-2</v>
      </c>
      <c r="J7" s="77">
        <v>1.1299999999999999E-2</v>
      </c>
      <c r="K7" s="77">
        <v>1.1299999999999999E-2</v>
      </c>
      <c r="L7" s="77">
        <v>1.1299999999999999E-2</v>
      </c>
      <c r="M7" s="77">
        <v>1.1299999999999999E-2</v>
      </c>
      <c r="N7" s="77">
        <v>1.1299999999999999E-2</v>
      </c>
      <c r="O7" s="538">
        <v>2007</v>
      </c>
    </row>
    <row r="8" spans="2:27">
      <c r="B8" s="538">
        <v>2008</v>
      </c>
      <c r="C8" s="77">
        <v>1.1299999999999999E-2</v>
      </c>
      <c r="D8" s="77">
        <v>1.1299999999999999E-2</v>
      </c>
      <c r="E8" s="77">
        <v>1.1299999999999999E-2</v>
      </c>
      <c r="F8" s="77">
        <v>1.1299999999999999E-2</v>
      </c>
      <c r="G8" s="77">
        <v>1.1299999999999999E-2</v>
      </c>
      <c r="H8" s="77">
        <v>1.1299999999999999E-2</v>
      </c>
      <c r="I8" s="77">
        <v>1.1299999999999999E-2</v>
      </c>
      <c r="J8" s="77">
        <v>1.1299999999999999E-2</v>
      </c>
      <c r="K8" s="77">
        <v>1.1299999999999999E-2</v>
      </c>
      <c r="L8" s="77">
        <v>1.1299999999999999E-2</v>
      </c>
      <c r="M8" s="77">
        <v>1.1299999999999999E-2</v>
      </c>
      <c r="N8" s="77">
        <v>1.1299999999999999E-2</v>
      </c>
      <c r="O8" s="538">
        <v>2008</v>
      </c>
    </row>
    <row r="9" spans="2:27">
      <c r="B9" s="538">
        <v>2009</v>
      </c>
      <c r="C9" s="78">
        <v>1.1299999999999999E-2</v>
      </c>
      <c r="D9" s="78">
        <v>1.1299999999999999E-2</v>
      </c>
      <c r="E9" s="78">
        <v>1.1299999999999999E-2</v>
      </c>
      <c r="F9" s="78">
        <v>1.1299999999999999E-2</v>
      </c>
      <c r="G9" s="78">
        <v>1.1299999999999999E-2</v>
      </c>
      <c r="H9" s="78">
        <v>1.1299999999999999E-2</v>
      </c>
      <c r="I9" s="78">
        <v>1.1299999999999999E-2</v>
      </c>
      <c r="J9" s="78">
        <v>1.1299999999999999E-2</v>
      </c>
      <c r="K9" s="78">
        <v>1.1299999999999999E-2</v>
      </c>
      <c r="L9" s="78">
        <v>1.1299999999999999E-2</v>
      </c>
      <c r="M9" s="78">
        <v>1.1299999999999999E-2</v>
      </c>
      <c r="N9" s="78">
        <v>1.1299999999999999E-2</v>
      </c>
      <c r="O9" s="538">
        <v>2009</v>
      </c>
    </row>
    <row r="10" spans="2:27">
      <c r="B10" s="538">
        <v>2010</v>
      </c>
      <c r="C10" s="78">
        <v>1.1299999999999999E-2</v>
      </c>
      <c r="D10" s="78">
        <v>1.1299999999999999E-2</v>
      </c>
      <c r="E10" s="78">
        <v>1.1299999999999999E-2</v>
      </c>
      <c r="F10" s="78">
        <v>1.1299999999999999E-2</v>
      </c>
      <c r="G10" s="78">
        <v>1.1299999999999999E-2</v>
      </c>
      <c r="H10" s="78">
        <v>1.1299999999999999E-2</v>
      </c>
      <c r="I10" s="78">
        <v>1.1299999999999999E-2</v>
      </c>
      <c r="J10" s="78">
        <v>1.1299999999999999E-2</v>
      </c>
      <c r="K10" s="78">
        <v>1.1299999999999999E-2</v>
      </c>
      <c r="L10" s="78">
        <v>1.1299999999999999E-2</v>
      </c>
      <c r="M10" s="78">
        <v>1.1299999999999999E-2</v>
      </c>
      <c r="N10" s="78">
        <v>1.1299999999999999E-2</v>
      </c>
      <c r="O10" s="538">
        <v>2010</v>
      </c>
    </row>
    <row r="11" spans="2:27">
      <c r="B11" s="538">
        <v>2011</v>
      </c>
      <c r="C11" s="78">
        <v>1.1299999999999999E-2</v>
      </c>
      <c r="D11" s="78">
        <v>1.1299999999999999E-2</v>
      </c>
      <c r="E11" s="78">
        <v>1.1299999999999999E-2</v>
      </c>
      <c r="F11" s="78">
        <v>1.1299999999999999E-2</v>
      </c>
      <c r="G11" s="78">
        <v>1.1299999999999999E-2</v>
      </c>
      <c r="H11" s="78">
        <v>1.1299999999999999E-2</v>
      </c>
      <c r="I11" s="78">
        <v>1.1299999999999999E-2</v>
      </c>
      <c r="J11" s="78">
        <v>1.1299999999999999E-2</v>
      </c>
      <c r="K11" s="78">
        <v>1.1299999999999999E-2</v>
      </c>
      <c r="L11" s="78">
        <v>1.1299999999999999E-2</v>
      </c>
      <c r="M11" s="78">
        <v>1.1299999999999999E-2</v>
      </c>
      <c r="N11" s="78">
        <v>1.1299999999999999E-2</v>
      </c>
      <c r="O11" s="538">
        <v>2011</v>
      </c>
    </row>
    <row r="12" spans="2:27">
      <c r="B12" s="538">
        <v>2012</v>
      </c>
      <c r="C12" s="78">
        <v>1.1299999999999999E-2</v>
      </c>
      <c r="D12" s="78">
        <v>1.1299999999999999E-2</v>
      </c>
      <c r="E12" s="78">
        <v>1.1299999999999999E-2</v>
      </c>
      <c r="F12" s="78">
        <v>1.1299999999999999E-2</v>
      </c>
      <c r="G12" s="78">
        <v>1.1299999999999999E-2</v>
      </c>
      <c r="H12" s="78">
        <v>1.1299999999999999E-2</v>
      </c>
      <c r="I12" s="78">
        <v>1.1299999999999999E-2</v>
      </c>
      <c r="J12" s="78">
        <v>1.1299999999999999E-2</v>
      </c>
      <c r="K12" s="78">
        <v>1.1299999999999999E-2</v>
      </c>
      <c r="L12" s="78">
        <v>1.1299999999999999E-2</v>
      </c>
      <c r="M12" s="78">
        <v>1.1299999999999999E-2</v>
      </c>
      <c r="N12" s="78">
        <v>1.1299999999999999E-2</v>
      </c>
      <c r="O12" s="538">
        <v>2012</v>
      </c>
    </row>
    <row r="13" spans="2:27">
      <c r="B13" s="538">
        <v>2013</v>
      </c>
      <c r="C13" s="78">
        <v>1.1299999999999999E-2</v>
      </c>
      <c r="D13" s="78">
        <v>1.1299999999999999E-2</v>
      </c>
      <c r="E13" s="78">
        <v>1.1299999999999999E-2</v>
      </c>
      <c r="F13" s="78">
        <v>1.1299999999999999E-2</v>
      </c>
      <c r="G13" s="78">
        <v>1.1299999999999999E-2</v>
      </c>
      <c r="H13" s="78">
        <v>1.1299999999999999E-2</v>
      </c>
      <c r="I13" s="78">
        <v>1.1299999999999999E-2</v>
      </c>
      <c r="J13" s="78">
        <v>1.1299999999999999E-2</v>
      </c>
      <c r="K13" s="78">
        <v>1.1299999999999999E-2</v>
      </c>
      <c r="L13" s="78">
        <v>1.1299999999999999E-2</v>
      </c>
      <c r="M13" s="78">
        <v>1.1299999999999999E-2</v>
      </c>
      <c r="N13" s="78">
        <v>1.1299999999999999E-2</v>
      </c>
      <c r="O13" s="538">
        <v>2013</v>
      </c>
    </row>
    <row r="14" spans="2:27">
      <c r="B14" s="538">
        <v>2014</v>
      </c>
      <c r="C14" s="78">
        <v>1.1299999999999999E-2</v>
      </c>
      <c r="D14" s="78">
        <v>1.1299999999999999E-2</v>
      </c>
      <c r="E14" s="78">
        <v>1.1299999999999999E-2</v>
      </c>
      <c r="F14" s="78">
        <v>1.1299999999999999E-2</v>
      </c>
      <c r="G14" s="78">
        <v>1.1299999999999999E-2</v>
      </c>
      <c r="H14" s="78">
        <v>1.1299999999999999E-2</v>
      </c>
      <c r="I14" s="78">
        <v>1.1299999999999999E-2</v>
      </c>
      <c r="J14" s="78">
        <v>1.1299999999999999E-2</v>
      </c>
      <c r="K14" s="78">
        <v>1.1299999999999999E-2</v>
      </c>
      <c r="L14" s="78">
        <v>1.1299999999999999E-2</v>
      </c>
      <c r="M14" s="78">
        <v>1.1299999999999999E-2</v>
      </c>
      <c r="N14" s="78">
        <v>1.1299999999999999E-2</v>
      </c>
      <c r="O14" s="538">
        <v>2014</v>
      </c>
    </row>
    <row r="15" spans="2:27">
      <c r="B15" s="538">
        <v>2015</v>
      </c>
      <c r="C15" s="78">
        <v>1.1299999999999999E-2</v>
      </c>
      <c r="D15" s="78">
        <v>1.1299999999999999E-2</v>
      </c>
      <c r="E15" s="78">
        <v>1.1299999999999999E-2</v>
      </c>
      <c r="F15" s="78">
        <v>1.1299999999999999E-2</v>
      </c>
      <c r="G15" s="78">
        <v>1.1299999999999999E-2</v>
      </c>
      <c r="H15" s="78">
        <v>1.1299999999999999E-2</v>
      </c>
      <c r="I15" s="78">
        <v>1.1299999999999999E-2</v>
      </c>
      <c r="J15" s="78">
        <v>1.1299999999999999E-2</v>
      </c>
      <c r="K15" s="78">
        <v>1.1299999999999999E-2</v>
      </c>
      <c r="L15" s="78">
        <v>1.1299999999999999E-2</v>
      </c>
      <c r="M15" s="78">
        <v>1.1299999999999999E-2</v>
      </c>
      <c r="N15" s="78">
        <v>1.1299999999999999E-2</v>
      </c>
      <c r="O15" s="538">
        <v>2015</v>
      </c>
      <c r="P15" s="79"/>
      <c r="Q15" s="210"/>
    </row>
    <row r="16" spans="2:27">
      <c r="B16" s="538">
        <v>2016</v>
      </c>
      <c r="C16" s="78">
        <v>1.1299999999999999E-2</v>
      </c>
      <c r="D16" s="78">
        <v>1.1299999999999999E-2</v>
      </c>
      <c r="E16" s="78">
        <v>1.1299999999999999E-2</v>
      </c>
      <c r="F16" s="78">
        <v>1.1299999999999999E-2</v>
      </c>
      <c r="G16" s="78">
        <v>1.1299999999999999E-2</v>
      </c>
      <c r="H16" s="78">
        <v>1.1299999999999999E-2</v>
      </c>
      <c r="I16" s="78">
        <v>1.1299999999999999E-2</v>
      </c>
      <c r="J16" s="78">
        <v>1.1299999999999999E-2</v>
      </c>
      <c r="K16" s="78">
        <v>1.1299999999999999E-2</v>
      </c>
      <c r="L16" s="78">
        <v>1.1299999999999999E-2</v>
      </c>
      <c r="M16" s="78">
        <v>1.1299999999999999E-2</v>
      </c>
      <c r="N16" s="78">
        <v>1.1299999999999999E-2</v>
      </c>
      <c r="O16" s="538">
        <v>2016</v>
      </c>
      <c r="P16" s="79"/>
    </row>
    <row r="17" spans="2:27">
      <c r="B17" s="538">
        <v>2017</v>
      </c>
      <c r="C17" s="78">
        <v>1.1299999999999999E-2</v>
      </c>
      <c r="D17" s="78">
        <v>1.1299999999999999E-2</v>
      </c>
      <c r="E17" s="78">
        <v>1.1299999999999999E-2</v>
      </c>
      <c r="F17" s="78">
        <v>1.1299999999999999E-2</v>
      </c>
      <c r="G17" s="78">
        <v>1.1299999999999999E-2</v>
      </c>
      <c r="H17" s="78">
        <v>1.1299999999999999E-2</v>
      </c>
      <c r="I17" s="78">
        <v>1.1299999999999999E-2</v>
      </c>
      <c r="J17" s="78">
        <v>1.1299999999999999E-2</v>
      </c>
      <c r="K17" s="78">
        <v>1.1299999999999999E-2</v>
      </c>
      <c r="L17" s="78">
        <v>1.1299999999999999E-2</v>
      </c>
      <c r="M17" s="78">
        <v>1.1299999999999999E-2</v>
      </c>
      <c r="N17" s="78">
        <v>1.1299999999999999E-2</v>
      </c>
      <c r="O17" s="538">
        <v>2017</v>
      </c>
      <c r="P17" s="79"/>
    </row>
    <row r="18" spans="2:27">
      <c r="B18" s="538">
        <v>2018</v>
      </c>
      <c r="C18" s="78">
        <v>1.47E-2</v>
      </c>
      <c r="D18" s="78">
        <v>1.47E-2</v>
      </c>
      <c r="E18" s="78">
        <v>1.47E-2</v>
      </c>
      <c r="F18" s="78">
        <v>1.47E-2</v>
      </c>
      <c r="G18" s="78">
        <v>1.47E-2</v>
      </c>
      <c r="H18" s="78">
        <v>1.47E-2</v>
      </c>
      <c r="I18" s="78">
        <v>1.47E-2</v>
      </c>
      <c r="J18" s="78">
        <v>1.47E-2</v>
      </c>
      <c r="K18" s="78">
        <v>1.47E-2</v>
      </c>
      <c r="L18" s="78">
        <v>1.47E-2</v>
      </c>
      <c r="M18" s="78">
        <v>1.47E-2</v>
      </c>
      <c r="N18" s="78">
        <v>1.47E-2</v>
      </c>
      <c r="O18" s="538">
        <v>2018</v>
      </c>
      <c r="P18" s="79"/>
      <c r="Q18" s="210">
        <f>SUM($G18:$N18)</f>
        <v>0.11760000000000001</v>
      </c>
      <c r="R18" s="79"/>
      <c r="S18" s="210"/>
    </row>
    <row r="19" spans="2:27">
      <c r="B19" s="538">
        <v>2019</v>
      </c>
      <c r="C19" s="78">
        <v>1.47E-2</v>
      </c>
      <c r="D19" s="78">
        <f>C19</f>
        <v>1.47E-2</v>
      </c>
      <c r="E19" s="78">
        <f>D19</f>
        <v>1.47E-2</v>
      </c>
      <c r="F19" s="78">
        <f>E19</f>
        <v>1.47E-2</v>
      </c>
      <c r="G19" s="78">
        <f t="shared" ref="G19:N19" si="0">F19</f>
        <v>1.47E-2</v>
      </c>
      <c r="H19" s="78">
        <f t="shared" si="0"/>
        <v>1.47E-2</v>
      </c>
      <c r="I19" s="78">
        <f t="shared" si="0"/>
        <v>1.47E-2</v>
      </c>
      <c r="J19" s="78">
        <f t="shared" si="0"/>
        <v>1.47E-2</v>
      </c>
      <c r="K19" s="78">
        <f>J19</f>
        <v>1.47E-2</v>
      </c>
      <c r="L19" s="78">
        <f t="shared" si="0"/>
        <v>1.47E-2</v>
      </c>
      <c r="M19" s="78">
        <f t="shared" si="0"/>
        <v>1.47E-2</v>
      </c>
      <c r="N19" s="78">
        <f t="shared" si="0"/>
        <v>1.47E-2</v>
      </c>
      <c r="O19" s="538">
        <v>2019</v>
      </c>
      <c r="P19" s="79"/>
      <c r="Q19" s="210">
        <f>SUM($C19:$N19)</f>
        <v>0.17639999999999997</v>
      </c>
      <c r="R19" s="79"/>
      <c r="S19" s="210">
        <f>SUM($G19:$N19)</f>
        <v>0.11760000000000001</v>
      </c>
      <c r="T19" s="79"/>
      <c r="U19" s="210"/>
    </row>
    <row r="20" spans="2:27">
      <c r="B20" s="538">
        <v>2020</v>
      </c>
      <c r="C20" s="192">
        <v>1.47E-2</v>
      </c>
      <c r="D20" s="192">
        <v>1.47E-2</v>
      </c>
      <c r="E20" s="192">
        <v>1.47E-2</v>
      </c>
      <c r="F20" s="192">
        <v>1.47E-2</v>
      </c>
      <c r="G20" s="192">
        <v>1.47E-2</v>
      </c>
      <c r="H20" s="192">
        <v>1.47E-2</v>
      </c>
      <c r="I20" s="192">
        <v>1.47E-2</v>
      </c>
      <c r="J20" s="192">
        <v>1.47E-2</v>
      </c>
      <c r="K20" s="192">
        <v>1.47E-2</v>
      </c>
      <c r="L20" s="192">
        <v>1.47E-2</v>
      </c>
      <c r="M20" s="192">
        <v>1.47E-2</v>
      </c>
      <c r="N20" s="192">
        <v>1.47E-2</v>
      </c>
      <c r="O20" s="538">
        <v>2020</v>
      </c>
      <c r="P20" s="79"/>
      <c r="Q20" s="210">
        <f>SUM($C20:$N20)</f>
        <v>0.17639999999999997</v>
      </c>
      <c r="R20" s="79"/>
      <c r="S20" s="210">
        <f>SUM($C20:$N20)</f>
        <v>0.17639999999999997</v>
      </c>
      <c r="T20" s="79"/>
      <c r="U20" s="210">
        <f>SUM($G20:$N20)</f>
        <v>0.11760000000000001</v>
      </c>
      <c r="V20" s="79"/>
      <c r="W20" s="210"/>
      <c r="Y20" s="210"/>
    </row>
    <row r="21" spans="2:27">
      <c r="B21" s="538">
        <v>2021</v>
      </c>
      <c r="C21" s="192">
        <v>1.47E-2</v>
      </c>
      <c r="D21" s="192">
        <v>1.47E-2</v>
      </c>
      <c r="E21" s="192">
        <v>1.47E-2</v>
      </c>
      <c r="F21" s="192">
        <v>1.47E-2</v>
      </c>
      <c r="G21" s="192">
        <v>1.47E-2</v>
      </c>
      <c r="H21" s="192">
        <v>1.47E-2</v>
      </c>
      <c r="I21" s="192">
        <v>1.47E-2</v>
      </c>
      <c r="J21" s="192">
        <v>1.47E-2</v>
      </c>
      <c r="K21" s="192">
        <v>1.47E-2</v>
      </c>
      <c r="L21" s="192">
        <v>1.47E-2</v>
      </c>
      <c r="M21" s="192">
        <v>1.47E-2</v>
      </c>
      <c r="N21" s="192">
        <v>1.47E-2</v>
      </c>
      <c r="O21" s="538">
        <v>2021</v>
      </c>
      <c r="P21" s="79"/>
      <c r="Q21" s="210">
        <f>SUM($C21:$N21)</f>
        <v>0.17639999999999997</v>
      </c>
      <c r="R21" s="79"/>
      <c r="S21" s="210">
        <f>SUM($C21:$N21)</f>
        <v>0.17639999999999997</v>
      </c>
      <c r="T21" s="79"/>
      <c r="U21" s="210">
        <f>SUM($C21:$N21)</f>
        <v>0.17639999999999997</v>
      </c>
      <c r="V21" s="79"/>
      <c r="W21" s="210">
        <f>SUM($G21:$N21)</f>
        <v>0.11760000000000001</v>
      </c>
      <c r="Y21" s="210"/>
    </row>
    <row r="22" spans="2:27">
      <c r="B22" s="538">
        <v>2022</v>
      </c>
      <c r="C22" s="192">
        <v>1.47E-2</v>
      </c>
      <c r="D22" s="192">
        <v>1.47E-2</v>
      </c>
      <c r="E22" s="192">
        <v>1.47E-2</v>
      </c>
      <c r="F22" s="192">
        <v>1.47E-2</v>
      </c>
      <c r="G22" s="192">
        <v>1.47E-2</v>
      </c>
      <c r="H22" s="192">
        <v>1.47E-2</v>
      </c>
      <c r="I22" s="192">
        <v>1.47E-2</v>
      </c>
      <c r="J22" s="192">
        <v>1.47E-2</v>
      </c>
      <c r="K22" s="192">
        <v>1.47E-2</v>
      </c>
      <c r="L22" s="192">
        <v>1.47E-2</v>
      </c>
      <c r="M22" s="192">
        <v>1.47E-2</v>
      </c>
      <c r="N22" s="192">
        <v>1.47E-2</v>
      </c>
      <c r="O22" s="538">
        <v>2022</v>
      </c>
      <c r="P22" s="79"/>
      <c r="Q22" s="210">
        <f>SUM($C22:$N22)</f>
        <v>0.17639999999999997</v>
      </c>
      <c r="R22" s="79"/>
      <c r="S22" s="210">
        <f>SUM($C22:$N22)</f>
        <v>0.17639999999999997</v>
      </c>
      <c r="T22" s="79"/>
      <c r="U22" s="210">
        <f>SUM($C22:$N22)</f>
        <v>0.17639999999999997</v>
      </c>
      <c r="V22" s="79"/>
      <c r="W22" s="210">
        <f>SUM($C22:$N22)</f>
        <v>0.17639999999999997</v>
      </c>
      <c r="Y22" s="210">
        <f>SUM($G22:$N22)</f>
        <v>0.11760000000000001</v>
      </c>
    </row>
    <row r="23" spans="2:27">
      <c r="B23" s="538">
        <v>2023</v>
      </c>
      <c r="C23" s="192">
        <v>1.47E-2</v>
      </c>
      <c r="D23" s="192">
        <v>1.47E-2</v>
      </c>
      <c r="E23" s="192">
        <v>1.47E-2</v>
      </c>
      <c r="F23" s="192">
        <v>1.47E-2</v>
      </c>
      <c r="G23" s="192"/>
      <c r="H23" s="192"/>
      <c r="I23" s="192"/>
      <c r="J23" s="192"/>
      <c r="K23" s="192"/>
      <c r="L23" s="192"/>
      <c r="M23" s="192"/>
      <c r="N23" s="192"/>
      <c r="O23" s="538">
        <v>2023</v>
      </c>
      <c r="P23" s="79"/>
      <c r="Q23" s="210">
        <f>SUM($C23:$F23)</f>
        <v>5.8799999999999998E-2</v>
      </c>
      <c r="R23" s="79"/>
      <c r="S23" s="210">
        <f>SUM($C23:$N23)</f>
        <v>5.8799999999999998E-2</v>
      </c>
      <c r="T23" s="79"/>
      <c r="U23" s="210">
        <f>SUM($C23:$N23)</f>
        <v>5.8799999999999998E-2</v>
      </c>
      <c r="V23" s="79"/>
      <c r="W23" s="210">
        <f>SUM($C23:$N23)</f>
        <v>5.8799999999999998E-2</v>
      </c>
      <c r="Y23" s="210">
        <f>SUM($C23:$N23)</f>
        <v>5.8799999999999998E-2</v>
      </c>
      <c r="AA23" s="210">
        <f>SUM(G23:N23)</f>
        <v>0</v>
      </c>
    </row>
    <row r="24" spans="2:27">
      <c r="B24" s="75" t="s">
        <v>772</v>
      </c>
      <c r="C24" s="75" t="s">
        <v>773</v>
      </c>
      <c r="D24" s="75" t="s">
        <v>774</v>
      </c>
      <c r="E24" s="75" t="s">
        <v>775</v>
      </c>
      <c r="F24" s="75" t="s">
        <v>776</v>
      </c>
      <c r="G24" s="75" t="s">
        <v>777</v>
      </c>
      <c r="H24" s="75" t="s">
        <v>778</v>
      </c>
      <c r="I24" s="75" t="s">
        <v>779</v>
      </c>
      <c r="J24" s="75" t="s">
        <v>780</v>
      </c>
      <c r="K24" s="75" t="s">
        <v>781</v>
      </c>
      <c r="L24" s="75" t="s">
        <v>782</v>
      </c>
      <c r="M24" s="75" t="s">
        <v>783</v>
      </c>
      <c r="N24" s="75" t="s">
        <v>784</v>
      </c>
      <c r="O24" s="75" t="s">
        <v>772</v>
      </c>
      <c r="P24" s="182"/>
      <c r="Q24" s="211">
        <f>SUM(Q15:Q22)</f>
        <v>0.82319999999999993</v>
      </c>
      <c r="R24" s="182"/>
      <c r="S24" s="211">
        <f>SUM(S15:S22)</f>
        <v>0.64679999999999993</v>
      </c>
      <c r="T24" s="182"/>
      <c r="U24" s="211">
        <f>SUM(U15:U22)</f>
        <v>0.47039999999999993</v>
      </c>
      <c r="V24" s="182"/>
      <c r="W24" s="211">
        <f>SUM(W15:W22)</f>
        <v>0.29399999999999998</v>
      </c>
      <c r="X24" s="182"/>
      <c r="Y24" s="211">
        <f>SUM(Y15:Y22)</f>
        <v>0.11760000000000001</v>
      </c>
      <c r="AA24" s="211">
        <f>SUM(AA15:AA22)</f>
        <v>0</v>
      </c>
    </row>
    <row r="27" spans="2:27">
      <c r="H27" s="74"/>
      <c r="I27" s="74"/>
      <c r="J27" s="74"/>
      <c r="K27" s="74"/>
      <c r="L27" s="74"/>
      <c r="M27" s="74"/>
      <c r="N27" s="74"/>
      <c r="O27" s="178" t="s">
        <v>814</v>
      </c>
      <c r="Q27" s="210">
        <f>SUM(D22:N22)+SUM(C23:F23)</f>
        <v>0.22049999999999997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F9E2-501F-F44A-9023-A74708F86D14}">
  <dimension ref="A2:M15"/>
  <sheetViews>
    <sheetView zoomScale="130" zoomScaleNormal="130" workbookViewId="0">
      <selection activeCell="A3" sqref="A3"/>
    </sheetView>
  </sheetViews>
  <sheetFormatPr defaultColWidth="11" defaultRowHeight="15.6"/>
  <sheetData>
    <row r="2" spans="1:13">
      <c r="A2" t="s">
        <v>787</v>
      </c>
    </row>
    <row r="3" spans="1:13">
      <c r="B3" s="176" t="s">
        <v>788</v>
      </c>
    </row>
    <row r="4" spans="1:13">
      <c r="B4" t="s">
        <v>789</v>
      </c>
    </row>
    <row r="5" spans="1:13" ht="16.05" customHeight="1">
      <c r="B5" s="678" t="s">
        <v>790</v>
      </c>
      <c r="C5" s="678"/>
      <c r="D5" s="678"/>
      <c r="E5" s="678"/>
      <c r="F5" s="678"/>
      <c r="G5" s="678"/>
      <c r="H5" s="678"/>
      <c r="I5" s="678"/>
      <c r="J5" s="678"/>
      <c r="K5" s="678"/>
      <c r="L5" s="175"/>
      <c r="M5" s="175"/>
    </row>
    <row r="6" spans="1:13">
      <c r="B6" s="678"/>
      <c r="C6" s="678"/>
      <c r="D6" s="678"/>
      <c r="E6" s="678"/>
      <c r="F6" s="678"/>
      <c r="G6" s="678"/>
      <c r="H6" s="678"/>
      <c r="I6" s="678"/>
      <c r="J6" s="678"/>
      <c r="K6" s="678"/>
      <c r="L6" s="175"/>
      <c r="M6" s="175"/>
    </row>
    <row r="7" spans="1:13">
      <c r="B7" s="678"/>
      <c r="C7" s="678"/>
      <c r="D7" s="678"/>
      <c r="E7" s="678"/>
      <c r="F7" s="678"/>
      <c r="G7" s="678"/>
      <c r="H7" s="678"/>
      <c r="I7" s="678"/>
      <c r="J7" s="678"/>
      <c r="K7" s="678"/>
      <c r="L7" s="175"/>
      <c r="M7" s="175"/>
    </row>
    <row r="8" spans="1:13">
      <c r="B8" s="678"/>
      <c r="C8" s="678"/>
      <c r="D8" s="678"/>
      <c r="E8" s="678"/>
      <c r="F8" s="678"/>
      <c r="G8" s="678"/>
      <c r="H8" s="678"/>
      <c r="I8" s="678"/>
      <c r="J8" s="678"/>
      <c r="K8" s="678"/>
    </row>
    <row r="9" spans="1:13">
      <c r="B9" s="678"/>
      <c r="C9" s="678"/>
      <c r="D9" s="678"/>
      <c r="E9" s="678"/>
      <c r="F9" s="678"/>
      <c r="G9" s="678"/>
      <c r="H9" s="678"/>
      <c r="I9" s="678"/>
      <c r="J9" s="678"/>
      <c r="K9" s="678"/>
    </row>
    <row r="10" spans="1:13">
      <c r="B10" s="678"/>
      <c r="C10" s="678"/>
      <c r="D10" s="678"/>
      <c r="E10" s="678"/>
      <c r="F10" s="678"/>
      <c r="G10" s="678"/>
      <c r="H10" s="678"/>
      <c r="I10" s="678"/>
      <c r="J10" s="678"/>
      <c r="K10" s="678"/>
    </row>
    <row r="12" spans="1:13">
      <c r="B12" s="176" t="s">
        <v>791</v>
      </c>
    </row>
    <row r="13" spans="1:13">
      <c r="B13" t="s">
        <v>792</v>
      </c>
    </row>
    <row r="14" spans="1:13" ht="69" customHeight="1">
      <c r="B14" s="678" t="s">
        <v>793</v>
      </c>
      <c r="C14" s="678"/>
      <c r="D14" s="678"/>
      <c r="E14" s="678"/>
      <c r="F14" s="678"/>
      <c r="G14" s="678"/>
      <c r="H14" s="678"/>
      <c r="I14" s="678"/>
      <c r="J14" s="678"/>
      <c r="K14" s="678"/>
    </row>
    <row r="15" spans="1:13" ht="88.05" customHeight="1">
      <c r="B15" s="678" t="s">
        <v>794</v>
      </c>
      <c r="C15" s="678"/>
      <c r="D15" s="678"/>
      <c r="E15" s="678"/>
      <c r="F15" s="678"/>
      <c r="G15" s="678"/>
      <c r="H15" s="678"/>
      <c r="I15" s="678"/>
      <c r="J15" s="678"/>
      <c r="K15" s="678"/>
    </row>
  </sheetData>
  <mergeCells count="3">
    <mergeCell ref="B5:K10"/>
    <mergeCell ref="B14:K14"/>
    <mergeCell ref="B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E471-F779-F44F-ABDD-66A98AE45212}">
  <sheetPr>
    <pageSetUpPr fitToPage="1"/>
  </sheetPr>
  <dimension ref="B2:I56"/>
  <sheetViews>
    <sheetView tabSelected="1" view="pageBreakPreview" zoomScale="110" zoomScaleNormal="110" zoomScaleSheetLayoutView="110" workbookViewId="0">
      <selection activeCell="B4" sqref="B4:G4"/>
    </sheetView>
  </sheetViews>
  <sheetFormatPr defaultColWidth="10.796875" defaultRowHeight="19.2"/>
  <cols>
    <col min="1" max="1" width="10.796875" style="198"/>
    <col min="2" max="4" width="5.296875" style="198" customWidth="1"/>
    <col min="5" max="5" width="60.69921875" style="198" customWidth="1"/>
    <col min="6" max="6" width="6.296875" style="198" customWidth="1"/>
    <col min="7" max="7" width="23.796875" style="198" customWidth="1"/>
    <col min="8" max="16384" width="10.796875" style="198"/>
  </cols>
  <sheetData>
    <row r="2" spans="2:9" ht="22.95" customHeight="1">
      <c r="B2" s="647" t="str">
        <f>Datos!C6</f>
        <v>NOMBRE EN MAYUSCULAS</v>
      </c>
      <c r="C2" s="647"/>
      <c r="D2" s="647"/>
      <c r="E2" s="647"/>
      <c r="F2" s="647"/>
      <c r="G2" s="647"/>
      <c r="H2" s="197"/>
      <c r="I2" s="197"/>
    </row>
    <row r="3" spans="2:9" ht="20.399999999999999">
      <c r="B3" s="648" t="s">
        <v>796</v>
      </c>
      <c r="C3" s="648"/>
      <c r="D3" s="648"/>
      <c r="E3" s="648"/>
      <c r="F3" s="648"/>
      <c r="G3" s="648"/>
      <c r="H3" s="197"/>
      <c r="I3" s="197"/>
    </row>
    <row r="4" spans="2:9" ht="20.399999999999999">
      <c r="B4" s="649" t="s">
        <v>30</v>
      </c>
      <c r="C4" s="649"/>
      <c r="D4" s="649"/>
      <c r="E4" s="649"/>
      <c r="F4" s="649"/>
      <c r="G4" s="649"/>
      <c r="H4" s="197"/>
      <c r="I4" s="197"/>
    </row>
    <row r="5" spans="2:9" ht="20.399999999999999">
      <c r="B5" s="199"/>
      <c r="C5" s="199"/>
      <c r="D5" s="199"/>
      <c r="E5" s="199"/>
      <c r="F5" s="199"/>
      <c r="G5" s="199"/>
      <c r="H5" s="197"/>
      <c r="I5" s="197"/>
    </row>
    <row r="6" spans="2:9">
      <c r="B6" s="200"/>
      <c r="C6" s="200"/>
      <c r="D6" s="201"/>
      <c r="E6" s="202"/>
      <c r="F6" s="201"/>
      <c r="G6" s="203" t="s">
        <v>31</v>
      </c>
      <c r="H6" s="197"/>
      <c r="I6" s="197"/>
    </row>
    <row r="7" spans="2:9">
      <c r="B7" s="200"/>
      <c r="C7" s="200"/>
      <c r="D7" s="200"/>
      <c r="E7" s="197"/>
      <c r="F7" s="201"/>
      <c r="G7" s="201"/>
      <c r="H7" s="197"/>
      <c r="I7" s="197"/>
    </row>
    <row r="8" spans="2:9" ht="21" customHeight="1">
      <c r="B8" s="436" t="s">
        <v>32</v>
      </c>
      <c r="C8" s="437" t="s">
        <v>33</v>
      </c>
      <c r="D8" s="438"/>
      <c r="E8" s="437"/>
      <c r="F8" s="438" t="s">
        <v>34</v>
      </c>
      <c r="G8" s="549">
        <f>'Cálculo ISR - Por Capítulo'!S11</f>
        <v>0</v>
      </c>
      <c r="H8" s="197"/>
      <c r="I8" s="197"/>
    </row>
    <row r="9" spans="2:9" ht="21" customHeight="1">
      <c r="B9" s="432"/>
      <c r="C9" s="433"/>
      <c r="D9" s="432"/>
      <c r="E9" s="433"/>
      <c r="F9" s="432"/>
      <c r="G9" s="550"/>
      <c r="H9" s="197"/>
      <c r="I9" s="197"/>
    </row>
    <row r="10" spans="2:9" ht="21" customHeight="1">
      <c r="B10" s="436" t="s">
        <v>35</v>
      </c>
      <c r="C10" s="437" t="s">
        <v>36</v>
      </c>
      <c r="D10" s="436"/>
      <c r="E10" s="439"/>
      <c r="F10" s="438" t="s">
        <v>37</v>
      </c>
      <c r="G10" s="549">
        <f>'Cálculo ISR - Por Capítulo'!S16</f>
        <v>0</v>
      </c>
      <c r="H10" s="197"/>
      <c r="I10" s="197"/>
    </row>
    <row r="11" spans="2:9" ht="21" customHeight="1">
      <c r="B11" s="432"/>
      <c r="C11" s="433"/>
      <c r="D11" s="432"/>
      <c r="E11" s="433"/>
      <c r="F11" s="432"/>
      <c r="G11" s="550"/>
      <c r="H11" s="197"/>
      <c r="I11" s="197"/>
    </row>
    <row r="12" spans="2:9" ht="21" customHeight="1">
      <c r="B12" s="436" t="s">
        <v>38</v>
      </c>
      <c r="C12" s="437" t="s">
        <v>39</v>
      </c>
      <c r="D12" s="436"/>
      <c r="E12" s="439"/>
      <c r="F12" s="438"/>
      <c r="G12" s="549">
        <f>'Cálculo ISR - Por Capítulo'!S21</f>
        <v>0</v>
      </c>
      <c r="H12" s="197"/>
      <c r="I12" s="197"/>
    </row>
    <row r="13" spans="2:9" ht="21" customHeight="1">
      <c r="B13" s="432"/>
      <c r="C13" s="433"/>
      <c r="D13" s="432"/>
      <c r="E13" s="433"/>
      <c r="F13" s="432"/>
      <c r="G13" s="550"/>
      <c r="H13" s="197"/>
      <c r="I13" s="197"/>
    </row>
    <row r="14" spans="2:9" ht="21" customHeight="1">
      <c r="B14" s="440" t="s">
        <v>40</v>
      </c>
      <c r="C14" s="433" t="s">
        <v>41</v>
      </c>
      <c r="D14" s="440"/>
      <c r="E14" s="441"/>
      <c r="F14" s="432"/>
      <c r="G14" s="551"/>
      <c r="H14" s="197"/>
      <c r="I14" s="197"/>
    </row>
    <row r="15" spans="2:9" ht="21" customHeight="1">
      <c r="B15" s="432"/>
      <c r="C15" s="432"/>
      <c r="D15" s="432"/>
      <c r="E15" s="433"/>
      <c r="F15" s="432"/>
      <c r="G15" s="550"/>
      <c r="H15" s="197"/>
      <c r="I15" s="197"/>
    </row>
    <row r="16" spans="2:9" ht="21" customHeight="1">
      <c r="B16" s="432"/>
      <c r="C16" s="436" t="s">
        <v>42</v>
      </c>
      <c r="D16" s="437" t="s">
        <v>43</v>
      </c>
      <c r="E16" s="439"/>
      <c r="F16" s="438"/>
      <c r="G16" s="552">
        <f>'Cálculo ISR - Por Capítulo'!S32</f>
        <v>0</v>
      </c>
      <c r="H16" s="197"/>
      <c r="I16" s="197"/>
    </row>
    <row r="17" spans="2:9" ht="21" customHeight="1">
      <c r="B17" s="432"/>
      <c r="C17" s="432"/>
      <c r="D17" s="432"/>
      <c r="E17" s="433"/>
      <c r="F17" s="432"/>
      <c r="G17" s="550"/>
      <c r="H17" s="197"/>
      <c r="I17" s="197"/>
    </row>
    <row r="18" spans="2:9" ht="21" customHeight="1">
      <c r="B18" s="436" t="s">
        <v>44</v>
      </c>
      <c r="C18" s="437" t="s">
        <v>45</v>
      </c>
      <c r="D18" s="438"/>
      <c r="E18" s="437"/>
      <c r="F18" s="438"/>
      <c r="G18" s="553"/>
      <c r="H18" s="197"/>
      <c r="I18" s="197"/>
    </row>
    <row r="19" spans="2:9" ht="21" customHeight="1">
      <c r="B19" s="432"/>
      <c r="C19" s="432"/>
      <c r="D19" s="432"/>
      <c r="E19" s="433"/>
      <c r="F19" s="432"/>
      <c r="G19" s="550"/>
      <c r="H19" s="197"/>
      <c r="I19" s="197"/>
    </row>
    <row r="20" spans="2:9" ht="21" customHeight="1">
      <c r="B20" s="436" t="s">
        <v>46</v>
      </c>
      <c r="C20" s="437" t="s">
        <v>47</v>
      </c>
      <c r="D20" s="436"/>
      <c r="E20" s="439"/>
      <c r="F20" s="438"/>
      <c r="G20" s="552">
        <f>'Cálculo ISR - Por Capítulo'!S37</f>
        <v>0</v>
      </c>
      <c r="H20" s="197"/>
      <c r="I20" s="197"/>
    </row>
    <row r="21" spans="2:9" ht="21" customHeight="1">
      <c r="B21" s="432"/>
      <c r="C21" s="432"/>
      <c r="D21" s="432"/>
      <c r="E21" s="433"/>
      <c r="F21" s="432"/>
      <c r="G21" s="550"/>
      <c r="H21" s="197"/>
      <c r="I21" s="197"/>
    </row>
    <row r="22" spans="2:9" ht="21" customHeight="1">
      <c r="B22" s="436" t="s">
        <v>48</v>
      </c>
      <c r="C22" s="437" t="s">
        <v>49</v>
      </c>
      <c r="D22" s="436"/>
      <c r="E22" s="439"/>
      <c r="F22" s="438"/>
      <c r="G22" s="552">
        <f>'Cálculo ISR - Por Capítulo'!S42</f>
        <v>0</v>
      </c>
      <c r="H22" s="197"/>
      <c r="I22" s="197"/>
    </row>
    <row r="23" spans="2:9" ht="21" customHeight="1">
      <c r="B23" s="432"/>
      <c r="C23" s="432"/>
      <c r="D23" s="432"/>
      <c r="E23" s="433"/>
      <c r="F23" s="433"/>
      <c r="G23" s="550"/>
      <c r="H23" s="197"/>
      <c r="I23" s="197"/>
    </row>
    <row r="24" spans="2:9" ht="21" customHeight="1">
      <c r="B24" s="436" t="s">
        <v>50</v>
      </c>
      <c r="C24" s="437" t="s">
        <v>51</v>
      </c>
      <c r="D24" s="436"/>
      <c r="E24" s="439"/>
      <c r="F24" s="438"/>
      <c r="G24" s="552">
        <f>'Cálculo ISR - Por Capítulo'!S52</f>
        <v>0</v>
      </c>
      <c r="H24" s="197"/>
      <c r="I24" s="197"/>
    </row>
    <row r="25" spans="2:9" ht="21" customHeight="1">
      <c r="B25" s="432"/>
      <c r="C25" s="432"/>
      <c r="D25" s="432"/>
      <c r="E25" s="433"/>
      <c r="F25" s="432"/>
      <c r="G25" s="554"/>
      <c r="H25" s="197"/>
      <c r="I25" s="197"/>
    </row>
    <row r="26" spans="2:9" ht="21" customHeight="1">
      <c r="B26" s="442" t="s">
        <v>52</v>
      </c>
      <c r="C26" s="443" t="s">
        <v>53</v>
      </c>
      <c r="D26" s="442"/>
      <c r="E26" s="443"/>
      <c r="F26" s="442"/>
      <c r="G26" s="444">
        <f>G12+G16+G18+G20+G22+G24</f>
        <v>0</v>
      </c>
      <c r="H26" s="197"/>
      <c r="I26" s="197"/>
    </row>
    <row r="27" spans="2:9" ht="39" customHeight="1">
      <c r="B27" s="200"/>
      <c r="C27" s="200" t="s">
        <v>54</v>
      </c>
      <c r="D27" s="650" t="s">
        <v>55</v>
      </c>
      <c r="E27" s="650"/>
      <c r="F27" s="200"/>
      <c r="G27" s="204">
        <f>'Cálculo ISR - Por Capítulo'!S55</f>
        <v>0</v>
      </c>
      <c r="H27" s="197"/>
      <c r="I27" s="197"/>
    </row>
    <row r="28" spans="2:9" ht="39" customHeight="1">
      <c r="B28" s="200"/>
      <c r="C28" s="200" t="s">
        <v>54</v>
      </c>
      <c r="D28" s="650" t="s">
        <v>56</v>
      </c>
      <c r="E28" s="650"/>
      <c r="F28" s="200"/>
      <c r="G28" s="204">
        <f>'Cálculo ISR - Por Capítulo'!S56</f>
        <v>0</v>
      </c>
      <c r="H28" s="197"/>
      <c r="I28" s="197"/>
    </row>
    <row r="29" spans="2:9" ht="21" customHeight="1">
      <c r="B29" s="442" t="s">
        <v>52</v>
      </c>
      <c r="C29" s="443" t="s">
        <v>57</v>
      </c>
      <c r="D29" s="442"/>
      <c r="E29" s="443"/>
      <c r="F29" s="442" t="s">
        <v>58</v>
      </c>
      <c r="G29" s="445">
        <f>IF(G26-G28-G27&lt;0,0,G26-G28-G27)</f>
        <v>0</v>
      </c>
      <c r="H29" s="197"/>
      <c r="I29" s="197"/>
    </row>
    <row r="30" spans="2:9" ht="21" customHeight="1">
      <c r="B30" s="200"/>
      <c r="C30" s="200"/>
      <c r="D30" s="200"/>
      <c r="E30" s="197"/>
      <c r="F30" s="200"/>
      <c r="G30" s="205"/>
      <c r="H30" s="197"/>
      <c r="I30" s="197"/>
    </row>
    <row r="31" spans="2:9" ht="21" customHeight="1">
      <c r="B31" s="200"/>
      <c r="C31" s="438" t="s">
        <v>52</v>
      </c>
      <c r="D31" s="437" t="s">
        <v>59</v>
      </c>
      <c r="E31" s="437"/>
      <c r="F31" s="438"/>
      <c r="G31" s="446">
        <f>G8+G10+G29</f>
        <v>0</v>
      </c>
      <c r="H31" s="197"/>
      <c r="I31" s="197"/>
    </row>
    <row r="32" spans="2:9" ht="21" customHeight="1">
      <c r="B32" s="200"/>
      <c r="C32" s="432" t="s">
        <v>54</v>
      </c>
      <c r="D32" s="433" t="s">
        <v>60</v>
      </c>
      <c r="E32" s="433"/>
      <c r="F32" s="432"/>
      <c r="G32" s="447">
        <f>+'Cálculo ISR - Por Capítulo'!S60</f>
        <v>0</v>
      </c>
      <c r="H32" s="197"/>
      <c r="I32" s="197"/>
    </row>
    <row r="33" spans="2:9" ht="21" customHeight="1">
      <c r="B33" s="200"/>
      <c r="C33" s="438" t="s">
        <v>52</v>
      </c>
      <c r="D33" s="437" t="s">
        <v>61</v>
      </c>
      <c r="E33" s="437"/>
      <c r="F33" s="438"/>
      <c r="G33" s="446">
        <f>+G31-G32</f>
        <v>0</v>
      </c>
      <c r="H33" s="197"/>
      <c r="I33" s="197"/>
    </row>
    <row r="34" spans="2:9" ht="21" hidden="1" customHeight="1">
      <c r="B34" s="200"/>
      <c r="C34" s="200" t="s">
        <v>62</v>
      </c>
      <c r="D34" s="197" t="s">
        <v>63</v>
      </c>
      <c r="E34" s="197"/>
      <c r="F34" s="200"/>
      <c r="G34" s="206">
        <f>+IF('Cálculo ISR - Por Capítulo'!S67&gt;0,'Cálculo ISR - Por Capítulo'!S67/'Cálculo ISR - Por Capítulo'!S61,0)</f>
        <v>0</v>
      </c>
      <c r="H34" s="197"/>
      <c r="I34" s="197"/>
    </row>
    <row r="35" spans="2:9" ht="21" customHeight="1">
      <c r="B35" s="200"/>
      <c r="C35" s="200"/>
      <c r="D35" s="197"/>
      <c r="E35" s="197"/>
      <c r="F35" s="200"/>
      <c r="G35" s="206"/>
      <c r="H35" s="197"/>
      <c r="I35" s="197"/>
    </row>
    <row r="36" spans="2:9" ht="21" customHeight="1">
      <c r="B36" s="448" t="s">
        <v>52</v>
      </c>
      <c r="C36" s="449" t="s">
        <v>64</v>
      </c>
      <c r="D36" s="450"/>
      <c r="E36" s="451"/>
      <c r="F36" s="452" t="s">
        <v>65</v>
      </c>
      <c r="G36" s="453">
        <f>+G33*G34</f>
        <v>0</v>
      </c>
      <c r="H36" s="207"/>
      <c r="I36" s="208" t="str">
        <f>IF(G36='Cálculo ISR - Por Capítulo'!S67,"OK", "REVISAR TASA")</f>
        <v>OK</v>
      </c>
    </row>
    <row r="37" spans="2:9" ht="21" customHeight="1">
      <c r="B37" s="200"/>
      <c r="C37" s="200"/>
      <c r="D37" s="200"/>
      <c r="E37" s="197"/>
      <c r="F37" s="200"/>
      <c r="G37" s="555"/>
      <c r="H37" s="197"/>
      <c r="I37" s="197"/>
    </row>
    <row r="38" spans="2:9" ht="21" customHeight="1">
      <c r="B38" s="436" t="s">
        <v>66</v>
      </c>
      <c r="C38" s="437" t="s">
        <v>67</v>
      </c>
      <c r="D38" s="438"/>
      <c r="E38" s="437"/>
      <c r="F38" s="438" t="s">
        <v>68</v>
      </c>
      <c r="G38" s="552">
        <f>'Cálculo ISR - Por Capítulo'!S75</f>
        <v>0</v>
      </c>
      <c r="H38" s="197"/>
      <c r="I38" s="197"/>
    </row>
    <row r="39" spans="2:9" ht="21" customHeight="1">
      <c r="B39" s="200"/>
      <c r="C39" s="200"/>
      <c r="D39" s="200"/>
      <c r="E39" s="197"/>
      <c r="F39" s="200"/>
      <c r="G39" s="556"/>
      <c r="H39" s="197"/>
      <c r="I39" s="197"/>
    </row>
    <row r="40" spans="2:9" ht="21" customHeight="1">
      <c r="B40" s="209" t="s">
        <v>69</v>
      </c>
      <c r="C40" s="197" t="s">
        <v>70</v>
      </c>
      <c r="D40" s="200"/>
      <c r="E40" s="197"/>
      <c r="F40" s="200"/>
      <c r="G40" s="556"/>
      <c r="H40" s="197"/>
      <c r="I40" s="197"/>
    </row>
    <row r="41" spans="2:9" ht="21" customHeight="1">
      <c r="B41" s="201"/>
      <c r="C41" s="201"/>
      <c r="D41" s="200"/>
      <c r="E41" s="197"/>
      <c r="F41" s="200"/>
      <c r="G41" s="556"/>
      <c r="H41" s="197"/>
      <c r="I41" s="197"/>
    </row>
    <row r="42" spans="2:9" ht="21" customHeight="1">
      <c r="B42" s="200"/>
      <c r="C42" s="454" t="s">
        <v>71</v>
      </c>
      <c r="D42" s="455" t="s">
        <v>72</v>
      </c>
      <c r="E42" s="456"/>
      <c r="F42" s="457" t="s">
        <v>73</v>
      </c>
      <c r="G42" s="557">
        <f>'Cálculo ISR - Por Capítulo'!S85</f>
        <v>0</v>
      </c>
      <c r="H42" s="197"/>
      <c r="I42" s="197"/>
    </row>
    <row r="43" spans="2:9" ht="21" customHeight="1">
      <c r="B43" s="200"/>
      <c r="C43" s="458" t="s">
        <v>71</v>
      </c>
      <c r="D43" s="459" t="s">
        <v>74</v>
      </c>
      <c r="E43" s="433"/>
      <c r="F43" s="432" t="s">
        <v>75</v>
      </c>
      <c r="G43" s="460">
        <f>'Cálculo ISR - Por Capítulo'!S102</f>
        <v>0</v>
      </c>
      <c r="H43" s="197"/>
      <c r="I43" s="197"/>
    </row>
    <row r="44" spans="2:9" ht="21" customHeight="1">
      <c r="B44" s="200"/>
      <c r="C44" s="458" t="s">
        <v>71</v>
      </c>
      <c r="D44" s="455" t="s">
        <v>76</v>
      </c>
      <c r="E44" s="433"/>
      <c r="F44" s="432" t="s">
        <v>77</v>
      </c>
      <c r="G44" s="447">
        <f>'Cálculo ISR - Por Capítulo'!S104</f>
        <v>0</v>
      </c>
      <c r="H44" s="197"/>
      <c r="I44" s="197"/>
    </row>
    <row r="45" spans="2:9" ht="21" customHeight="1">
      <c r="B45" s="200"/>
      <c r="C45" s="200"/>
      <c r="D45" s="200"/>
      <c r="E45" s="197"/>
      <c r="F45" s="200"/>
      <c r="G45" s="205"/>
      <c r="H45" s="197"/>
      <c r="I45" s="197"/>
    </row>
    <row r="46" spans="2:9" ht="34.950000000000003" customHeight="1">
      <c r="B46" s="448" t="s">
        <v>52</v>
      </c>
      <c r="C46" s="651" t="s">
        <v>78</v>
      </c>
      <c r="D46" s="651"/>
      <c r="E46" s="651"/>
      <c r="F46" s="452" t="s">
        <v>79</v>
      </c>
      <c r="G46" s="461">
        <f>+G38+G42+G43+G44</f>
        <v>0</v>
      </c>
      <c r="H46" s="197"/>
      <c r="I46" s="197"/>
    </row>
    <row r="47" spans="2:9" ht="21" customHeight="1">
      <c r="B47" s="432"/>
      <c r="C47" s="432"/>
      <c r="D47" s="432"/>
      <c r="E47" s="433"/>
      <c r="F47" s="440"/>
      <c r="G47" s="462"/>
      <c r="H47" s="197"/>
      <c r="I47" s="197"/>
    </row>
    <row r="48" spans="2:9" ht="21" customHeight="1">
      <c r="B48" s="463" t="s">
        <v>52</v>
      </c>
      <c r="C48" s="547" t="str">
        <f>'Cálculo ISR - Por Capítulo'!E108</f>
        <v>ISR del ejercicio sobre ingresos acumulables</v>
      </c>
      <c r="D48" s="465"/>
      <c r="E48" s="465"/>
      <c r="F48" s="463"/>
      <c r="G48" s="466">
        <f>G36-G46</f>
        <v>0</v>
      </c>
      <c r="H48" s="197"/>
      <c r="I48" s="197"/>
    </row>
    <row r="49" spans="2:9" ht="21" customHeight="1">
      <c r="B49" s="432"/>
      <c r="C49" s="432"/>
      <c r="D49" s="467"/>
      <c r="E49" s="468"/>
      <c r="F49" s="440"/>
      <c r="G49" s="554"/>
      <c r="H49" s="197"/>
      <c r="I49" s="197"/>
    </row>
    <row r="50" spans="2:9" ht="21" customHeight="1">
      <c r="B50" s="463" t="s">
        <v>80</v>
      </c>
      <c r="C50" s="464" t="s">
        <v>81</v>
      </c>
      <c r="D50" s="469"/>
      <c r="E50" s="469"/>
      <c r="F50" s="470"/>
      <c r="G50" s="471">
        <f>'Cálculo ISR - Por Capítulo'!S114</f>
        <v>0</v>
      </c>
      <c r="H50" s="197"/>
      <c r="I50" s="197"/>
    </row>
    <row r="51" spans="2:9" ht="21" customHeight="1">
      <c r="B51" s="432"/>
      <c r="C51" s="432"/>
      <c r="D51" s="432"/>
      <c r="E51" s="433"/>
      <c r="F51" s="440"/>
      <c r="G51" s="554"/>
      <c r="H51" s="197"/>
      <c r="I51" s="197"/>
    </row>
    <row r="52" spans="2:9" ht="21" customHeight="1">
      <c r="B52" s="546" t="s">
        <v>52</v>
      </c>
      <c r="C52" s="547" t="str">
        <f>+IF(G52&lt;0,"Saldo a favor del ejercicio","ISR sobre ingresos acumulables + No acumulables")</f>
        <v>ISR sobre ingresos acumulables + No acumulables</v>
      </c>
      <c r="D52" s="548"/>
      <c r="E52" s="548"/>
      <c r="F52" s="546"/>
      <c r="G52" s="466">
        <f>+G48+G50</f>
        <v>0</v>
      </c>
      <c r="H52" s="197"/>
      <c r="I52" s="197"/>
    </row>
    <row r="53" spans="2:9" ht="21" customHeight="1">
      <c r="B53" s="432"/>
      <c r="C53" s="432"/>
      <c r="D53" s="432"/>
      <c r="E53" s="433"/>
      <c r="F53" s="440"/>
      <c r="G53" s="554"/>
      <c r="H53" s="197"/>
      <c r="I53" s="197"/>
    </row>
    <row r="54" spans="2:9" ht="21" customHeight="1">
      <c r="B54" s="463" t="s">
        <v>82</v>
      </c>
      <c r="C54" s="464" t="s">
        <v>83</v>
      </c>
      <c r="D54" s="469"/>
      <c r="E54" s="469"/>
      <c r="F54" s="470"/>
      <c r="G54" s="471">
        <f>+'Cálculo ISR - Por Capítulo'!S116</f>
        <v>0</v>
      </c>
      <c r="H54" s="197"/>
      <c r="I54" s="197"/>
    </row>
    <row r="55" spans="2:9" ht="21" customHeight="1">
      <c r="B55" s="432"/>
      <c r="C55" s="432"/>
      <c r="D55" s="432"/>
      <c r="E55" s="433"/>
      <c r="F55" s="440"/>
      <c r="G55" s="554"/>
      <c r="H55" s="197"/>
      <c r="I55" s="197"/>
    </row>
    <row r="56" spans="2:9" ht="21" customHeight="1">
      <c r="B56" s="472"/>
      <c r="C56" s="646" t="str">
        <f>+IF(G48&lt;0,IF(Datos!C37=Datos!C39,IF(G48+G50&lt;0,"Remanente del Saldo a Favor (Por Compensar)","Impuesto a cargo sobre Ingresos No Acumulables"),"Saldo a favor (Devolución)"),"Impuesto a cargo del ejercicio por Ingresos Acumulables + No Acumulables")</f>
        <v>Impuesto a cargo del ejercicio por Ingresos Acumulables + No Acumulables</v>
      </c>
      <c r="D56" s="646"/>
      <c r="E56" s="646"/>
      <c r="F56" s="473"/>
      <c r="G56" s="474">
        <f>+IF(AND(G48&lt;0,Datos!C37=Datos!C38),G48+G50,IF(AND((G48+G50)&gt;0,G48+G50-G54&lt;0),0,G48+G50-G54))</f>
        <v>0</v>
      </c>
      <c r="H56" s="197"/>
      <c r="I56" s="197"/>
    </row>
  </sheetData>
  <sheetProtection algorithmName="SHA-512" hashValue="/g49jjJcffzj4aNBfxHW6k9//F6lH9WAoy+RGs/KvKMfubHCZTV5L1AbfD6/c+TYh+btGHrxzHDc/FvA1fdLAg==" saltValue="nRxCn/It0yhI2oDInUn8Ng==" spinCount="100000" sheet="1" formatCells="0" formatColumns="0" formatRows="0" insertColumns="0" insertRows="0" autoFilter="0"/>
  <mergeCells count="7">
    <mergeCell ref="C56:E56"/>
    <mergeCell ref="B2:G2"/>
    <mergeCell ref="B3:G3"/>
    <mergeCell ref="B4:G4"/>
    <mergeCell ref="D28:E28"/>
    <mergeCell ref="D27:E27"/>
    <mergeCell ref="C46:E46"/>
  </mergeCells>
  <pageMargins left="0.7" right="0.7" top="0.75" bottom="0.75" header="0.3" footer="0.3"/>
  <pageSetup scale="5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B263-517C-2C47-A48D-21F0A337D1EC}">
  <sheetPr>
    <pageSetUpPr fitToPage="1"/>
  </sheetPr>
  <dimension ref="B2:Y23"/>
  <sheetViews>
    <sheetView view="pageBreakPreview" topLeftCell="C1" zoomScale="120" zoomScaleNormal="90" zoomScaleSheetLayoutView="120" workbookViewId="0">
      <selection activeCell="B4" sqref="B4:Q4"/>
    </sheetView>
  </sheetViews>
  <sheetFormatPr defaultColWidth="10.796875" defaultRowHeight="21" customHeight="1"/>
  <cols>
    <col min="1" max="1" width="10.796875" style="8"/>
    <col min="2" max="2" width="4.69921875" style="8" customWidth="1"/>
    <col min="3" max="3" width="86.19921875" style="8" customWidth="1"/>
    <col min="4" max="4" width="3.19921875" style="8" customWidth="1"/>
    <col min="5" max="5" width="23.296875" style="8" customWidth="1"/>
    <col min="6" max="6" width="2.796875" style="8" customWidth="1"/>
    <col min="7" max="7" width="23.296875" style="8" customWidth="1"/>
    <col min="8" max="8" width="2.796875" style="8" customWidth="1"/>
    <col min="9" max="9" width="26.5" style="8" customWidth="1"/>
    <col min="10" max="10" width="2.796875" style="8" customWidth="1"/>
    <col min="11" max="11" width="27.296875" style="8" customWidth="1"/>
    <col min="12" max="12" width="2.796875" style="8" customWidth="1"/>
    <col min="13" max="13" width="23.296875" style="8" customWidth="1"/>
    <col min="14" max="14" width="2.796875" style="8" customWidth="1"/>
    <col min="15" max="15" width="23.296875" style="8" customWidth="1"/>
    <col min="16" max="16" width="2.796875" style="8" customWidth="1"/>
    <col min="17" max="17" width="23.296875" style="8" customWidth="1"/>
    <col min="18" max="16384" width="10.796875" style="8"/>
  </cols>
  <sheetData>
    <row r="2" spans="2:25" ht="21" customHeight="1">
      <c r="B2" s="640" t="str">
        <f>+'1 ISR Acum y No Acum'!B2</f>
        <v>NOMBRE EN MAYUSCULAS</v>
      </c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</row>
    <row r="3" spans="2:25" ht="21" customHeight="1">
      <c r="B3" s="652" t="s">
        <v>797</v>
      </c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</row>
    <row r="4" spans="2:25" ht="21" customHeight="1">
      <c r="B4" s="653" t="s">
        <v>84</v>
      </c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</row>
    <row r="5" spans="2:25" ht="21" customHeight="1">
      <c r="B5" s="169"/>
      <c r="C5" s="169"/>
      <c r="D5" s="170"/>
      <c r="E5" s="170"/>
      <c r="F5" s="171"/>
      <c r="G5" s="171"/>
      <c r="H5" s="161"/>
      <c r="I5" s="161"/>
      <c r="J5" s="161"/>
      <c r="K5" s="161"/>
      <c r="L5" s="161"/>
      <c r="M5" s="161"/>
      <c r="N5" s="161"/>
      <c r="O5" s="161"/>
      <c r="P5" s="161"/>
      <c r="Q5" s="161"/>
    </row>
    <row r="6" spans="2:25" ht="38.4">
      <c r="B6" s="50" t="s">
        <v>85</v>
      </c>
      <c r="C6" s="49"/>
      <c r="D6" s="32"/>
      <c r="E6" s="128" t="str">
        <f>+CONCATENATE(Datos!C23,Datos!D23)</f>
        <v>Ingresos Nacionales Constancias / CFDI</v>
      </c>
      <c r="F6" s="95"/>
      <c r="G6" s="128" t="str">
        <f>+CONCATENATE(Datos!C24,Datos!D24)</f>
        <v>Ingresos del Extranjero Cuentas Personales</v>
      </c>
      <c r="H6" s="95"/>
      <c r="I6" s="128" t="str">
        <f>+CONCATENATE(Datos!C25,Datos!D25)</f>
        <v>Ingresos del Extranjero Nombre de la LP 1</v>
      </c>
      <c r="J6" s="95"/>
      <c r="K6" s="128" t="str">
        <f>+CONCATENATE(Datos!C26,Datos!D26)</f>
        <v>Ingresos del Extranjero Nombre de la LP 2</v>
      </c>
      <c r="L6" s="95"/>
      <c r="M6" s="128" t="str">
        <f>+CONCATENATE(Datos!C27,Datos!D27)</f>
        <v>Ingresos del Extranjero Nombre de la LP 3</v>
      </c>
      <c r="N6" s="95"/>
      <c r="O6" s="128" t="str">
        <f>+CONCATENATE(Datos!C28,Datos!D28)</f>
        <v>Ingresos del Extranjero Nombre de la LP 4</v>
      </c>
      <c r="P6" s="33"/>
      <c r="Q6" s="51" t="s">
        <v>86</v>
      </c>
    </row>
    <row r="7" spans="2:25" ht="21" customHeight="1">
      <c r="B7" s="49"/>
      <c r="D7" s="33"/>
      <c r="E7" s="52"/>
      <c r="F7" s="33"/>
      <c r="G7" s="33"/>
      <c r="H7" s="33"/>
      <c r="I7" s="33"/>
      <c r="J7" s="33"/>
      <c r="K7" s="33"/>
      <c r="L7" s="33"/>
      <c r="M7" s="32"/>
      <c r="N7" s="32"/>
      <c r="P7" s="32"/>
      <c r="Q7" s="32"/>
    </row>
    <row r="8" spans="2:25" ht="25.95" customHeight="1">
      <c r="B8" s="313" t="s">
        <v>71</v>
      </c>
      <c r="C8" s="336" t="s">
        <v>87</v>
      </c>
      <c r="D8" s="336"/>
      <c r="E8" s="396">
        <f>+'Capítulo IV - Sección II BMV'!H26</f>
        <v>0</v>
      </c>
      <c r="F8" s="396"/>
      <c r="G8" s="424">
        <f>+'Capítulo IV - Sección II BMV'!H9</f>
        <v>0</v>
      </c>
      <c r="H8" s="424"/>
      <c r="I8" s="424">
        <f>+'Capítulo IV - Sección II BMV'!H10</f>
        <v>0</v>
      </c>
      <c r="J8" s="424"/>
      <c r="K8" s="424">
        <f>+'Capítulo IV - Sección II BMV'!H11</f>
        <v>0</v>
      </c>
      <c r="L8" s="424"/>
      <c r="M8" s="424">
        <f>+'Capítulo IV - Sección II BMV'!H12</f>
        <v>0</v>
      </c>
      <c r="N8" s="424"/>
      <c r="O8" s="424">
        <f>+'Capítulo IV - Sección II BMV'!H13</f>
        <v>0</v>
      </c>
      <c r="P8" s="424"/>
      <c r="Q8" s="396">
        <f>SUM(E8:O8)</f>
        <v>0</v>
      </c>
    </row>
    <row r="9" spans="2:25" ht="25.95" customHeight="1">
      <c r="B9" s="313" t="s">
        <v>71</v>
      </c>
      <c r="C9" s="425" t="s">
        <v>88</v>
      </c>
      <c r="D9" s="336"/>
      <c r="E9" s="396">
        <f>+'Capítulo IV - Sección II BMV'!H53</f>
        <v>0</v>
      </c>
      <c r="F9" s="396"/>
      <c r="G9" s="424">
        <f>+'Capítulo IV - Sección II BMV'!H36</f>
        <v>0</v>
      </c>
      <c r="H9" s="424"/>
      <c r="I9" s="424">
        <f>+'Capítulo IV - Sección II BMV'!H37</f>
        <v>0</v>
      </c>
      <c r="J9" s="424"/>
      <c r="K9" s="424">
        <f>+'Capítulo IV - Sección II BMV'!H38</f>
        <v>0</v>
      </c>
      <c r="L9" s="424"/>
      <c r="M9" s="424">
        <f>+'Capítulo IV - Sección II BMV'!H39</f>
        <v>0</v>
      </c>
      <c r="N9" s="424"/>
      <c r="O9" s="424">
        <f>+'Capítulo IV - Sección II BMV'!H40</f>
        <v>0</v>
      </c>
      <c r="P9" s="424"/>
      <c r="Q9" s="396">
        <f>SUM(E9:O9)</f>
        <v>0</v>
      </c>
    </row>
    <row r="10" spans="2:25" ht="25.95" customHeight="1">
      <c r="B10" s="415" t="s">
        <v>52</v>
      </c>
      <c r="C10" s="426" t="s">
        <v>89</v>
      </c>
      <c r="D10" s="427"/>
      <c r="E10" s="428">
        <f>SUM(E8:E9)</f>
        <v>0</v>
      </c>
      <c r="F10" s="429"/>
      <c r="G10" s="428">
        <f>SUM(G8:G9)</f>
        <v>0</v>
      </c>
      <c r="H10" s="429"/>
      <c r="I10" s="428">
        <f>SUM(I8:I9)</f>
        <v>0</v>
      </c>
      <c r="J10" s="429"/>
      <c r="K10" s="428">
        <f>SUM(K8:K9)</f>
        <v>0</v>
      </c>
      <c r="L10" s="429"/>
      <c r="M10" s="428">
        <f>SUM(M8:M9)</f>
        <v>0</v>
      </c>
      <c r="N10" s="429"/>
      <c r="O10" s="428">
        <f>SUM(O8:O9)</f>
        <v>0</v>
      </c>
      <c r="P10" s="429"/>
      <c r="Q10" s="428">
        <f>IF(SUM(Q8:Q9)&gt;0,SUM(Q8:Q9),0)</f>
        <v>0</v>
      </c>
    </row>
    <row r="11" spans="2:25" s="198" customFormat="1" ht="25.95" customHeight="1">
      <c r="B11" s="432" t="s">
        <v>54</v>
      </c>
      <c r="C11" s="433" t="s">
        <v>90</v>
      </c>
      <c r="D11" s="197"/>
      <c r="E11" s="423"/>
      <c r="F11" s="423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423">
        <f>IF(Q10&lt;=0,0,'SAF &amp; Perdidas &amp; Acred'!P205)</f>
        <v>0</v>
      </c>
    </row>
    <row r="12" spans="2:25" ht="25.95" customHeight="1">
      <c r="B12" s="434" t="s">
        <v>52</v>
      </c>
      <c r="C12" s="435" t="str">
        <f>IF(Q12&gt;=0,"Base para la determinación del ISR por enajenación de bienes - IV Sección II","Pérdida Capítulo IV, Sección II")</f>
        <v>Base para la determinación del ISR por enajenación de bienes - IV Sección II</v>
      </c>
      <c r="D12" s="152"/>
      <c r="E12" s="57"/>
      <c r="F12" s="257"/>
      <c r="G12" s="57"/>
      <c r="H12" s="257"/>
      <c r="I12" s="57"/>
      <c r="J12" s="257"/>
      <c r="K12" s="57"/>
      <c r="L12" s="257"/>
      <c r="M12" s="57"/>
      <c r="N12" s="257"/>
      <c r="O12" s="57"/>
      <c r="P12" s="257"/>
      <c r="Q12" s="430">
        <f>IF(Q10-Q11&lt;0,0,Q10-Q11)</f>
        <v>0</v>
      </c>
    </row>
    <row r="13" spans="2:25" s="33" customFormat="1" ht="25.95" customHeight="1">
      <c r="B13" s="354" t="s">
        <v>62</v>
      </c>
      <c r="C13" s="376" t="s">
        <v>91</v>
      </c>
      <c r="D13" s="59"/>
      <c r="E13" s="61"/>
      <c r="F13" s="59"/>
      <c r="G13" s="61"/>
      <c r="H13" s="59"/>
      <c r="I13" s="61"/>
      <c r="J13" s="59"/>
      <c r="K13" s="61"/>
      <c r="L13" s="59"/>
      <c r="M13" s="61"/>
      <c r="N13" s="59"/>
      <c r="O13" s="61"/>
      <c r="P13" s="59"/>
      <c r="Q13" s="61">
        <v>0.1</v>
      </c>
      <c r="R13" s="59"/>
      <c r="S13" s="62"/>
      <c r="T13" s="59"/>
      <c r="U13" s="63"/>
    </row>
    <row r="14" spans="2:25" s="33" customFormat="1" ht="25.95" customHeight="1">
      <c r="B14" s="404" t="s">
        <v>52</v>
      </c>
      <c r="C14" s="405" t="s">
        <v>92</v>
      </c>
      <c r="D14" s="258"/>
      <c r="E14" s="57"/>
      <c r="F14" s="258"/>
      <c r="G14" s="57"/>
      <c r="H14" s="258"/>
      <c r="I14" s="57"/>
      <c r="J14" s="258"/>
      <c r="K14" s="57"/>
      <c r="L14" s="258"/>
      <c r="M14" s="57"/>
      <c r="N14" s="258"/>
      <c r="O14" s="57"/>
      <c r="P14" s="258"/>
      <c r="Q14" s="431">
        <f>+Q12*Q13</f>
        <v>0</v>
      </c>
      <c r="R14" s="64"/>
      <c r="S14" s="65"/>
      <c r="T14" s="59"/>
      <c r="U14" s="65"/>
    </row>
    <row r="15" spans="2:25" s="33" customFormat="1" ht="22.95" customHeight="1">
      <c r="B15" s="340" t="s">
        <v>71</v>
      </c>
      <c r="C15" s="613" t="s">
        <v>93</v>
      </c>
      <c r="D15" s="258"/>
      <c r="E15" s="57"/>
      <c r="F15" s="258"/>
      <c r="G15" s="57"/>
      <c r="H15" s="258"/>
      <c r="I15" s="57"/>
      <c r="J15" s="258"/>
      <c r="K15" s="57"/>
      <c r="L15" s="258"/>
      <c r="M15" s="57"/>
      <c r="N15" s="258"/>
      <c r="O15" s="57"/>
      <c r="P15" s="258"/>
      <c r="Q15" s="57">
        <f>IF(Q14=0,0,IF(AND('Cálculo ISR - Por Capítulo'!S108&lt;0,'Cálculo ISR - Por Capítulo'!S108+'Cálculo ISR - Por Capítulo'!S114&lt;0,'Cálculo ISR - Por Capítulo'!S108+'Cálculo ISR - Por Capítulo'!S114-'Cálculo ISR - Por Capítulo'!S116&lt;0),'Cálculo ISR - Por Capítulo'!Z116,'Cálculo ISR - Por Capítulo'!Z116))</f>
        <v>0</v>
      </c>
      <c r="S15" s="259" t="s">
        <v>94</v>
      </c>
      <c r="T15" s="260"/>
      <c r="U15" s="260"/>
      <c r="V15" s="260"/>
      <c r="W15" s="179"/>
      <c r="X15" s="300">
        <f>IF('Cálculo ISR - Por Capítulo'!Z116-'2 ISR 10% BMV'!Q14&lt;0,0,'Cálculo ISR - Por Capítulo'!Z116-'2 ISR 10% BMV'!Q14)</f>
        <v>0</v>
      </c>
      <c r="Y15" s="33" t="s">
        <v>95</v>
      </c>
    </row>
    <row r="16" spans="2:25" s="33" customFormat="1" ht="22.95" customHeight="1">
      <c r="B16" s="391" t="s">
        <v>52</v>
      </c>
      <c r="C16" s="407" t="s">
        <v>96</v>
      </c>
      <c r="D16" s="258"/>
      <c r="E16" s="57"/>
      <c r="F16" s="258"/>
      <c r="G16" s="57"/>
      <c r="H16" s="258"/>
      <c r="I16" s="57"/>
      <c r="J16" s="258"/>
      <c r="K16" s="57"/>
      <c r="L16" s="258"/>
      <c r="M16" s="57"/>
      <c r="N16" s="258"/>
      <c r="O16" s="57"/>
      <c r="P16" s="258"/>
      <c r="Q16" s="422">
        <f>IF(Q14-Q15&lt;0,0,Q14-Q15)</f>
        <v>0</v>
      </c>
      <c r="X16" s="302">
        <f>+IF(Q15=0,0,Q15-X15)</f>
        <v>0</v>
      </c>
      <c r="Y16" s="33" t="s">
        <v>97</v>
      </c>
    </row>
    <row r="17" spans="2:17" s="33" customFormat="1" ht="22.95" customHeight="1">
      <c r="B17" s="66"/>
      <c r="C17" s="56"/>
      <c r="D17" s="32"/>
      <c r="E17" s="52"/>
      <c r="F17" s="32"/>
      <c r="G17" s="32"/>
      <c r="H17" s="32"/>
      <c r="I17" s="32"/>
      <c r="J17" s="32"/>
      <c r="K17" s="32"/>
      <c r="L17" s="32"/>
      <c r="M17" s="52"/>
      <c r="N17" s="32"/>
      <c r="O17" s="8"/>
      <c r="Q17" s="52"/>
    </row>
    <row r="23" spans="2:17" ht="48" customHeight="1"/>
  </sheetData>
  <sheetProtection algorithmName="SHA-512" hashValue="gXyDS++tpWlA20sBfrkKF0Gq+EVUtSGkukgb83Rq2YKbwjDWDF4P6ErHJjLskbxZByiQux0CG5b1SdWvRXRpiw==" saltValue="wsSbK3xe2vd/bsjey3unww==" spinCount="100000" sheet="1" formatCells="0" formatColumns="0" formatRows="0" insertColumns="0" deleteColumns="0" deleteRows="0" sort="0" autoFilter="0"/>
  <mergeCells count="3">
    <mergeCell ref="B3:Q3"/>
    <mergeCell ref="B4:Q4"/>
    <mergeCell ref="B2:Q2"/>
  </mergeCells>
  <printOptions horizontalCentered="1"/>
  <pageMargins left="0.7" right="0.7" top="0.75" bottom="0.75" header="0.3" footer="0.3"/>
  <pageSetup scale="4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A97C-4640-2844-A745-F7646E00DA20}">
  <sheetPr>
    <pageSetUpPr fitToPage="1"/>
  </sheetPr>
  <dimension ref="A3:W16"/>
  <sheetViews>
    <sheetView view="pageBreakPreview" zoomScale="120" zoomScaleNormal="100" zoomScaleSheetLayoutView="120" workbookViewId="0">
      <selection activeCell="E12" sqref="E12"/>
    </sheetView>
  </sheetViews>
  <sheetFormatPr defaultColWidth="10.796875" defaultRowHeight="19.2"/>
  <cols>
    <col min="1" max="1" width="10.796875" style="8"/>
    <col min="2" max="2" width="6.5" style="8" customWidth="1"/>
    <col min="3" max="3" width="50.296875" style="8" customWidth="1"/>
    <col min="4" max="4" width="4.796875" style="8" customWidth="1"/>
    <col min="5" max="5" width="23.796875" style="8" customWidth="1"/>
    <col min="6" max="6" width="4" style="8" customWidth="1"/>
    <col min="7" max="7" width="23.19921875" style="8" customWidth="1"/>
    <col min="8" max="8" width="2.796875" style="8" customWidth="1"/>
    <col min="9" max="9" width="23.19921875" style="8" customWidth="1"/>
    <col min="10" max="10" width="2.796875" style="8" customWidth="1"/>
    <col min="11" max="11" width="23.19921875" style="8" customWidth="1"/>
    <col min="12" max="12" width="2.796875" style="8" customWidth="1"/>
    <col min="13" max="13" width="21.19921875" style="8" customWidth="1"/>
    <col min="14" max="14" width="2.796875" style="8" customWidth="1"/>
    <col min="15" max="21" width="10.796875" style="8"/>
    <col min="22" max="22" width="15.19921875" style="8" customWidth="1"/>
    <col min="23" max="16384" width="10.796875" style="8"/>
  </cols>
  <sheetData>
    <row r="3" spans="1:23" s="33" customFormat="1" ht="22.95" customHeight="1">
      <c r="B3" s="640" t="str">
        <f>+Datos!C6</f>
        <v>NOMBRE EN MAYUSCULAS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</row>
    <row r="4" spans="1:23" s="33" customFormat="1" ht="22.95" customHeight="1">
      <c r="B4" s="615" t="s">
        <v>98</v>
      </c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  <c r="N4" s="615"/>
    </row>
    <row r="5" spans="1:23" s="33" customFormat="1" ht="22.95" customHeight="1">
      <c r="B5" s="653" t="s">
        <v>99</v>
      </c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</row>
    <row r="6" spans="1:23" s="33" customFormat="1" ht="22.95" customHeight="1"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67"/>
    </row>
    <row r="7" spans="1:23" s="33" customFormat="1" ht="57.6">
      <c r="B7" s="66"/>
      <c r="C7" s="60"/>
      <c r="D7" s="32"/>
      <c r="E7" s="128" t="str">
        <f>+CONCATENATE(Datos!C29,Datos!D29)</f>
        <v>ISR a cargo / (Pérdida) en  Nombre de la LTD 1</v>
      </c>
      <c r="F7" s="95"/>
      <c r="G7" s="128" t="str">
        <f>+CONCATENATE(Datos!C30,Datos!D30)</f>
        <v>ISR a cargo / (Pérdida) en  Nombre de la LTD 2</v>
      </c>
      <c r="H7" s="95"/>
      <c r="I7" s="128" t="str">
        <f>+CONCATENATE(Datos!C31,Datos!D31)</f>
        <v>ISR a cargo / (Pérdida) en  Nombre de la LTD 3</v>
      </c>
      <c r="J7" s="95"/>
      <c r="K7" s="128" t="str">
        <f>+CONCATENATE(Datos!C32,Datos!D32)</f>
        <v>ISR a cargo / (Pérdida) en  Nombre de la LTD 4</v>
      </c>
      <c r="L7" s="95"/>
      <c r="M7" s="128" t="s">
        <v>100</v>
      </c>
      <c r="N7" s="32"/>
    </row>
    <row r="8" spans="1:23" s="33" customFormat="1" ht="22.95" customHeight="1">
      <c r="B8" s="66"/>
      <c r="C8" s="64"/>
      <c r="D8" s="32"/>
      <c r="E8" s="52"/>
      <c r="F8" s="32"/>
      <c r="G8" s="32"/>
      <c r="H8" s="32"/>
      <c r="I8" s="32"/>
      <c r="J8" s="32"/>
      <c r="K8" s="32"/>
      <c r="L8" s="32"/>
      <c r="N8" s="32"/>
    </row>
    <row r="9" spans="1:23" s="33" customFormat="1" ht="22.95" customHeight="1">
      <c r="B9" s="410" t="s">
        <v>71</v>
      </c>
      <c r="C9" s="324" t="s">
        <v>798</v>
      </c>
      <c r="D9" s="340"/>
      <c r="E9" s="565"/>
      <c r="F9" s="412"/>
      <c r="G9" s="412"/>
      <c r="H9" s="412"/>
      <c r="I9" s="412"/>
      <c r="J9" s="412"/>
      <c r="K9" s="412"/>
      <c r="L9" s="340"/>
      <c r="M9" s="355">
        <f>SUM(E9:K9)</f>
        <v>0</v>
      </c>
      <c r="N9" s="32"/>
      <c r="P9" s="654" t="s">
        <v>101</v>
      </c>
      <c r="Q9" s="654"/>
      <c r="R9" s="654"/>
      <c r="S9" s="654"/>
      <c r="T9" s="654"/>
      <c r="U9" s="654"/>
      <c r="V9" s="654"/>
      <c r="W9" s="654"/>
    </row>
    <row r="10" spans="1:23" s="33" customFormat="1" ht="22.95" hidden="1" customHeight="1">
      <c r="B10" s="410" t="s">
        <v>54</v>
      </c>
      <c r="C10" s="324" t="s">
        <v>799</v>
      </c>
      <c r="D10" s="340"/>
      <c r="E10" s="565"/>
      <c r="F10" s="412"/>
      <c r="G10" s="412"/>
      <c r="H10" s="412"/>
      <c r="I10" s="412"/>
      <c r="J10" s="412"/>
      <c r="K10" s="412"/>
      <c r="L10" s="340"/>
      <c r="M10" s="355">
        <f>SUM(E10:K10)</f>
        <v>0</v>
      </c>
      <c r="N10" s="32"/>
      <c r="P10" s="654"/>
      <c r="Q10" s="654"/>
      <c r="R10" s="654"/>
      <c r="S10" s="654"/>
      <c r="T10" s="654"/>
      <c r="U10" s="654"/>
      <c r="V10" s="654"/>
      <c r="W10" s="654"/>
    </row>
    <row r="11" spans="1:23" s="33" customFormat="1" ht="22.95" hidden="1" customHeight="1">
      <c r="B11" s="410"/>
      <c r="C11" s="324"/>
      <c r="D11" s="340"/>
      <c r="E11" s="411"/>
      <c r="F11" s="412"/>
      <c r="G11" s="412"/>
      <c r="H11" s="412"/>
      <c r="I11" s="412"/>
      <c r="J11" s="412"/>
      <c r="K11" s="412"/>
      <c r="L11" s="340"/>
      <c r="M11" s="355"/>
      <c r="N11" s="32"/>
      <c r="P11" s="616"/>
      <c r="Q11" s="616"/>
      <c r="R11" s="616"/>
      <c r="S11" s="616"/>
      <c r="T11" s="616"/>
      <c r="U11" s="616"/>
      <c r="V11" s="616"/>
      <c r="W11" s="616"/>
    </row>
    <row r="12" spans="1:23" s="33" customFormat="1" ht="22.95" customHeight="1">
      <c r="B12" s="413" t="s">
        <v>54</v>
      </c>
      <c r="C12" s="414" t="s">
        <v>800</v>
      </c>
      <c r="D12" s="415"/>
      <c r="E12" s="416"/>
      <c r="F12" s="417"/>
      <c r="G12" s="417"/>
      <c r="H12" s="417"/>
      <c r="I12" s="417"/>
      <c r="J12" s="417"/>
      <c r="K12" s="417"/>
      <c r="L12" s="415"/>
      <c r="M12" s="418"/>
      <c r="N12" s="32"/>
      <c r="P12" s="616"/>
      <c r="Q12" s="616"/>
      <c r="R12" s="616"/>
      <c r="S12" s="616"/>
      <c r="T12" s="616"/>
      <c r="U12" s="616"/>
      <c r="V12" s="616"/>
      <c r="W12" s="616"/>
    </row>
    <row r="13" spans="1:23" s="33" customFormat="1" ht="22.95" customHeight="1">
      <c r="A13" s="8"/>
      <c r="B13" s="419"/>
      <c r="C13" s="420"/>
      <c r="D13" s="340"/>
      <c r="E13" s="307"/>
      <c r="F13" s="340"/>
      <c r="G13" s="340"/>
      <c r="H13" s="340"/>
      <c r="I13" s="340"/>
      <c r="J13" s="340"/>
      <c r="K13" s="340"/>
      <c r="L13" s="340"/>
      <c r="M13" s="336"/>
      <c r="N13" s="32"/>
      <c r="P13" s="69"/>
      <c r="Q13" s="69"/>
      <c r="R13" s="69"/>
      <c r="S13" s="69"/>
      <c r="T13" s="69"/>
      <c r="U13" s="69"/>
      <c r="V13" s="69"/>
      <c r="W13" s="69"/>
    </row>
    <row r="14" spans="1:23" ht="21" customHeight="1">
      <c r="B14" s="391" t="s">
        <v>52</v>
      </c>
      <c r="C14" s="421" t="s">
        <v>102</v>
      </c>
      <c r="D14" s="391"/>
      <c r="E14" s="422">
        <f>E9</f>
        <v>0</v>
      </c>
      <c r="F14" s="391"/>
      <c r="G14" s="422">
        <f>G9</f>
        <v>0</v>
      </c>
      <c r="H14" s="391"/>
      <c r="I14" s="422">
        <f>I9</f>
        <v>0</v>
      </c>
      <c r="J14" s="391"/>
      <c r="K14" s="422">
        <f>K9</f>
        <v>0</v>
      </c>
      <c r="L14" s="391"/>
      <c r="M14" s="422">
        <f>SUMIF(E14:K14,"&gt;0",E14:K14)</f>
        <v>0</v>
      </c>
      <c r="N14" s="32"/>
      <c r="P14" s="69"/>
      <c r="Q14" s="69"/>
      <c r="R14" s="69"/>
      <c r="S14" s="69"/>
      <c r="T14" s="69"/>
      <c r="U14" s="69"/>
      <c r="V14" s="69"/>
      <c r="W14" s="69"/>
    </row>
    <row r="15" spans="1:23">
      <c r="B15" s="33"/>
      <c r="C15" s="33"/>
      <c r="D15" s="32"/>
      <c r="E15" s="52"/>
      <c r="F15" s="32"/>
      <c r="G15" s="32"/>
      <c r="H15" s="32"/>
      <c r="I15" s="32"/>
      <c r="J15" s="32"/>
      <c r="K15" s="32"/>
      <c r="L15" s="32"/>
      <c r="M15" s="52"/>
      <c r="N15" s="32"/>
    </row>
    <row r="16" spans="1:23">
      <c r="B16" s="33"/>
      <c r="C16" s="33"/>
      <c r="D16" s="32"/>
      <c r="E16" s="52"/>
      <c r="F16" s="32"/>
      <c r="G16" s="32"/>
      <c r="H16" s="32"/>
      <c r="I16" s="32"/>
      <c r="J16" s="32"/>
      <c r="K16" s="32"/>
      <c r="L16" s="32"/>
      <c r="M16" s="52"/>
      <c r="N16" s="32"/>
    </row>
  </sheetData>
  <sheetProtection algorithmName="SHA-512" hashValue="aSHWIqXPQc15phBkOcBsQIPcSi5mZoyPYQAYAykECMl7u5DIAkdN94wnKWNMmVGmZWKRwZ2VBgls1GQ5V8iMqg==" saltValue="57X7JNMFXSwQ3NCtADWT6A==" spinCount="100000" sheet="1" formatCells="0" formatColumns="0" formatRows="0" insertColumns="0" deleteColumns="0" deleteRows="0"/>
  <mergeCells count="3">
    <mergeCell ref="B3:N3"/>
    <mergeCell ref="B5:N5"/>
    <mergeCell ref="P9:W10"/>
  </mergeCells>
  <printOptions horizontalCentered="1"/>
  <pageMargins left="0.7" right="0.7" top="0.75" bottom="0.75" header="0.3" footer="0.3"/>
  <pageSetup scale="6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1F62-E905-DE41-B052-1BEB2383AB08}">
  <sheetPr>
    <pageSetUpPr fitToPage="1"/>
  </sheetPr>
  <dimension ref="B3:AC22"/>
  <sheetViews>
    <sheetView showGridLines="0" view="pageBreakPreview" topLeftCell="E1" zoomScale="110" zoomScaleNormal="110" zoomScaleSheetLayoutView="110" workbookViewId="0">
      <selection activeCell="Q19" sqref="Q19"/>
    </sheetView>
  </sheetViews>
  <sheetFormatPr defaultColWidth="10.796875" defaultRowHeight="22.05" customHeight="1"/>
  <cols>
    <col min="1" max="1" width="10.796875" style="8"/>
    <col min="2" max="2" width="3.796875" style="8" customWidth="1"/>
    <col min="3" max="3" width="86.69921875" style="8" customWidth="1"/>
    <col min="4" max="4" width="3.296875" style="8" customWidth="1"/>
    <col min="5" max="5" width="23.796875" style="8" customWidth="1"/>
    <col min="6" max="6" width="3.296875" style="8" customWidth="1"/>
    <col min="7" max="7" width="23.796875" style="8" customWidth="1"/>
    <col min="8" max="8" width="3.296875" style="8" customWidth="1"/>
    <col min="9" max="9" width="28.19921875" style="8" customWidth="1"/>
    <col min="10" max="10" width="3.296875" style="8" customWidth="1"/>
    <col min="11" max="11" width="28.69921875" style="8" customWidth="1"/>
    <col min="12" max="12" width="3.296875" style="8" customWidth="1"/>
    <col min="13" max="13" width="23.796875" style="8" customWidth="1"/>
    <col min="14" max="14" width="3.296875" style="8" customWidth="1"/>
    <col min="15" max="15" width="23.796875" style="8" customWidth="1"/>
    <col min="16" max="16" width="3.296875" style="8" customWidth="1"/>
    <col min="17" max="17" width="23.796875" style="8" customWidth="1"/>
    <col min="18" max="16384" width="10.796875" style="8"/>
  </cols>
  <sheetData>
    <row r="3" spans="2:29" ht="22.05" customHeight="1">
      <c r="B3" s="640" t="str">
        <f>+'2 ISR 10% BMV'!B2</f>
        <v>NOMBRE EN MAYUSCULAS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</row>
    <row r="4" spans="2:29" ht="22.05" customHeight="1">
      <c r="B4" s="652" t="s">
        <v>797</v>
      </c>
      <c r="C4" s="652"/>
      <c r="D4" s="652"/>
      <c r="E4" s="652"/>
      <c r="F4" s="652"/>
      <c r="G4" s="652"/>
      <c r="H4" s="652"/>
      <c r="I4" s="652"/>
      <c r="J4" s="652"/>
      <c r="K4" s="652"/>
      <c r="L4" s="652"/>
      <c r="M4" s="652"/>
      <c r="N4" s="652"/>
      <c r="O4" s="652"/>
      <c r="P4" s="652"/>
      <c r="Q4" s="652"/>
    </row>
    <row r="5" spans="2:29" ht="22.05" customHeight="1">
      <c r="B5" s="653" t="s">
        <v>103</v>
      </c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</row>
    <row r="6" spans="2:29" ht="22.05" customHeight="1">
      <c r="B6" s="171"/>
      <c r="C6" s="171"/>
      <c r="D6" s="170"/>
      <c r="E6" s="159"/>
      <c r="F6" s="170"/>
      <c r="G6" s="170"/>
      <c r="H6" s="170"/>
      <c r="I6" s="170"/>
      <c r="J6" s="170"/>
      <c r="K6" s="170"/>
      <c r="L6" s="170"/>
      <c r="M6" s="159"/>
      <c r="N6" s="170"/>
      <c r="O6" s="161"/>
      <c r="P6" s="171"/>
      <c r="Q6" s="159"/>
    </row>
    <row r="7" spans="2:29" ht="38.4">
      <c r="B7" s="33"/>
      <c r="C7" s="33"/>
      <c r="D7" s="32"/>
      <c r="E7" s="51" t="str">
        <f>+'2 ISR 10% BMV'!E6</f>
        <v>Ingresos Nacionales Constancias / CFDI</v>
      </c>
      <c r="F7" s="32"/>
      <c r="G7" s="51" t="str">
        <f>+'2 ISR 10% BMV'!G6</f>
        <v>Ingresos del Extranjero Cuentas Personales</v>
      </c>
      <c r="H7" s="32"/>
      <c r="I7" s="51" t="str">
        <f>+'2 ISR 10% BMV'!I6</f>
        <v>Ingresos del Extranjero Nombre de la LP 1</v>
      </c>
      <c r="J7" s="32"/>
      <c r="K7" s="51" t="str">
        <f>+'2 ISR 10% BMV'!K6</f>
        <v>Ingresos del Extranjero Nombre de la LP 2</v>
      </c>
      <c r="L7" s="32"/>
      <c r="M7" s="51" t="str">
        <f>+'2 ISR 10% BMV'!M6</f>
        <v>Ingresos del Extranjero Nombre de la LP 3</v>
      </c>
      <c r="N7" s="32"/>
      <c r="O7" s="51" t="str">
        <f>+'2 ISR 10% BMV'!O6</f>
        <v>Ingresos del Extranjero Nombre de la LP 4</v>
      </c>
      <c r="P7" s="33"/>
      <c r="Q7" s="51" t="str">
        <f>+'2 ISR 10% BMV'!Q6</f>
        <v>Total de Ingresos</v>
      </c>
    </row>
    <row r="8" spans="2:29" ht="22.05" customHeight="1">
      <c r="B8" s="33"/>
      <c r="C8" s="33"/>
      <c r="D8" s="32"/>
      <c r="E8" s="52"/>
      <c r="F8" s="32"/>
      <c r="G8" s="32"/>
      <c r="H8" s="32"/>
      <c r="I8" s="32"/>
      <c r="J8" s="32"/>
      <c r="K8" s="32"/>
      <c r="L8" s="32"/>
      <c r="M8" s="52"/>
      <c r="N8" s="32"/>
      <c r="P8" s="33"/>
      <c r="Q8" s="52"/>
    </row>
    <row r="9" spans="2:29" ht="22.05" customHeight="1">
      <c r="B9" s="70" t="s">
        <v>32</v>
      </c>
      <c r="C9" s="71" t="s">
        <v>104</v>
      </c>
      <c r="D9" s="32"/>
      <c r="E9" s="52"/>
      <c r="F9" s="32"/>
      <c r="G9" s="32"/>
      <c r="H9" s="32"/>
      <c r="I9" s="32"/>
      <c r="J9" s="32"/>
      <c r="K9" s="32"/>
      <c r="L9" s="32"/>
      <c r="M9" s="52"/>
      <c r="N9" s="32"/>
      <c r="P9" s="33"/>
      <c r="Q9" s="52"/>
    </row>
    <row r="10" spans="2:29" ht="22.05" customHeight="1">
      <c r="B10" s="72"/>
      <c r="C10" s="73"/>
      <c r="D10" s="32"/>
      <c r="E10" s="52"/>
      <c r="F10" s="32"/>
      <c r="G10" s="32"/>
      <c r="H10" s="32"/>
      <c r="I10" s="32"/>
      <c r="J10" s="32"/>
      <c r="K10" s="32"/>
      <c r="L10" s="32"/>
      <c r="M10" s="52"/>
      <c r="N10" s="32"/>
      <c r="P10" s="33"/>
      <c r="Q10" s="52"/>
    </row>
    <row r="11" spans="2:29" s="41" customFormat="1" ht="22.95" customHeight="1">
      <c r="B11" s="354" t="s">
        <v>71</v>
      </c>
      <c r="C11" s="376" t="s">
        <v>105</v>
      </c>
      <c r="D11" s="340"/>
      <c r="E11" s="348" t="s">
        <v>27</v>
      </c>
      <c r="F11" s="340"/>
      <c r="G11" s="396">
        <f>'Capítulo IX - Dividendos '!E7</f>
        <v>0</v>
      </c>
      <c r="H11" s="340"/>
      <c r="I11" s="396">
        <f>'Capítulo IX - Dividendos '!E8</f>
        <v>0</v>
      </c>
      <c r="J11" s="340"/>
      <c r="K11" s="396">
        <f>'Capítulo IX - Dividendos '!E9</f>
        <v>0</v>
      </c>
      <c r="L11" s="340"/>
      <c r="M11" s="396">
        <f>'Capítulo IX - Dividendos '!E10</f>
        <v>0</v>
      </c>
      <c r="N11" s="340"/>
      <c r="O11" s="396">
        <f>'Capítulo IX - Dividendos '!E11</f>
        <v>0</v>
      </c>
      <c r="P11" s="336"/>
      <c r="Q11" s="396">
        <f>SUM(E11:O11)</f>
        <v>0</v>
      </c>
    </row>
    <row r="12" spans="2:29" s="41" customFormat="1" ht="22.95" customHeight="1">
      <c r="B12" s="354" t="s">
        <v>71</v>
      </c>
      <c r="C12" s="376" t="s">
        <v>106</v>
      </c>
      <c r="D12" s="340"/>
      <c r="E12" s="348" t="s">
        <v>27</v>
      </c>
      <c r="F12" s="340"/>
      <c r="G12" s="397">
        <f>'Capìtulo IX - PE - Otros'!$D$7-'Capìtulo IX - PE - Otros'!E7</f>
        <v>0</v>
      </c>
      <c r="H12" s="340"/>
      <c r="I12" s="397">
        <f>'Capìtulo IX - PE - Otros'!$D$8-'Capìtulo IX - PE - Otros'!E8</f>
        <v>0</v>
      </c>
      <c r="J12" s="340"/>
      <c r="K12" s="397">
        <f>'Capìtulo IX - PE - Otros'!$D$9-'Capìtulo IX - PE - Otros'!E9</f>
        <v>0</v>
      </c>
      <c r="L12" s="340"/>
      <c r="M12" s="397">
        <f>'Capìtulo IX - PE - Otros'!$D$10-'Capìtulo IX - PE - Otros'!E10</f>
        <v>0</v>
      </c>
      <c r="N12" s="340"/>
      <c r="O12" s="397">
        <f>'Capìtulo IX - PE - Otros'!$D$11-'Capìtulo IX - PE - Otros'!E11</f>
        <v>0</v>
      </c>
      <c r="P12" s="336"/>
      <c r="Q12" s="396">
        <f>SUM(E12:O12)</f>
        <v>0</v>
      </c>
    </row>
    <row r="13" spans="2:29" s="41" customFormat="1" ht="22.95" customHeight="1">
      <c r="B13" s="388" t="s">
        <v>52</v>
      </c>
      <c r="C13" s="389" t="s">
        <v>107</v>
      </c>
      <c r="D13" s="346"/>
      <c r="E13" s="398" t="s">
        <v>27</v>
      </c>
      <c r="F13" s="346"/>
      <c r="G13" s="399">
        <f>+G11+G12</f>
        <v>0</v>
      </c>
      <c r="H13" s="346"/>
      <c r="I13" s="399">
        <f>+I11+I12</f>
        <v>0</v>
      </c>
      <c r="J13" s="346"/>
      <c r="K13" s="399">
        <f>+K11+K12</f>
        <v>0</v>
      </c>
      <c r="L13" s="346"/>
      <c r="M13" s="399">
        <f>+M11+M12</f>
        <v>0</v>
      </c>
      <c r="N13" s="346"/>
      <c r="O13" s="399">
        <f>+O11+O12</f>
        <v>0</v>
      </c>
      <c r="P13" s="360"/>
      <c r="Q13" s="399">
        <f>+Q11+Q12</f>
        <v>0</v>
      </c>
    </row>
    <row r="14" spans="2:29" s="41" customFormat="1" ht="22.95" customHeight="1">
      <c r="B14" s="354" t="s">
        <v>62</v>
      </c>
      <c r="C14" s="376" t="s">
        <v>108</v>
      </c>
      <c r="D14" s="340"/>
      <c r="E14" s="348" t="s">
        <v>27</v>
      </c>
      <c r="F14" s="340"/>
      <c r="G14" s="366">
        <v>0.1</v>
      </c>
      <c r="H14" s="340"/>
      <c r="I14" s="366">
        <v>0.1</v>
      </c>
      <c r="J14" s="340"/>
      <c r="K14" s="366">
        <v>0.1</v>
      </c>
      <c r="L14" s="340"/>
      <c r="M14" s="366">
        <v>0.1</v>
      </c>
      <c r="N14" s="340"/>
      <c r="O14" s="366">
        <v>0.1</v>
      </c>
      <c r="P14" s="336"/>
      <c r="Q14" s="366">
        <v>0.1</v>
      </c>
    </row>
    <row r="15" spans="2:29" s="41" customFormat="1" ht="22.95" customHeight="1">
      <c r="B15" s="388" t="s">
        <v>52</v>
      </c>
      <c r="C15" s="389" t="s">
        <v>109</v>
      </c>
      <c r="D15" s="346"/>
      <c r="E15" s="398" t="s">
        <v>27</v>
      </c>
      <c r="F15" s="346"/>
      <c r="G15" s="390">
        <f>ROUND(G13*G14,2)</f>
        <v>0</v>
      </c>
      <c r="H15" s="346"/>
      <c r="I15" s="390">
        <f>ROUND(I13*I14,2)</f>
        <v>0</v>
      </c>
      <c r="J15" s="346"/>
      <c r="K15" s="390">
        <f>ROUND(K13*K14,2)</f>
        <v>0</v>
      </c>
      <c r="L15" s="346"/>
      <c r="M15" s="390">
        <f>ROUND(M13*M14,2)</f>
        <v>0</v>
      </c>
      <c r="N15" s="346"/>
      <c r="O15" s="390">
        <f>ROUND(O13*O14,2)</f>
        <v>0</v>
      </c>
      <c r="P15" s="344"/>
      <c r="Q15" s="390">
        <f>ROUND(Q13*Q14,2)</f>
        <v>0</v>
      </c>
    </row>
    <row r="16" spans="2:29" s="41" customFormat="1" ht="22.95" customHeight="1">
      <c r="B16" s="400" t="s">
        <v>54</v>
      </c>
      <c r="C16" s="401" t="s">
        <v>110</v>
      </c>
      <c r="D16" s="340"/>
      <c r="E16" s="378" t="s">
        <v>27</v>
      </c>
      <c r="F16" s="340"/>
      <c r="G16" s="402"/>
      <c r="H16" s="340"/>
      <c r="I16" s="402"/>
      <c r="J16" s="340"/>
      <c r="K16" s="402"/>
      <c r="L16" s="340"/>
      <c r="M16" s="402"/>
      <c r="N16" s="340"/>
      <c r="O16" s="402"/>
      <c r="P16" s="336"/>
      <c r="Q16" s="397">
        <f>SUM(E16:O16)</f>
        <v>0</v>
      </c>
      <c r="S16" s="633" t="s">
        <v>111</v>
      </c>
      <c r="T16" s="634"/>
      <c r="U16" s="634"/>
      <c r="V16" s="634"/>
      <c r="W16" s="634"/>
      <c r="X16" s="634"/>
      <c r="Y16" s="634"/>
      <c r="Z16" s="634"/>
      <c r="AA16" s="634"/>
      <c r="AB16" s="634"/>
      <c r="AC16" s="634"/>
    </row>
    <row r="17" spans="2:25" s="41" customFormat="1" ht="22.95" customHeight="1">
      <c r="B17" s="388" t="s">
        <v>52</v>
      </c>
      <c r="C17" s="389" t="s">
        <v>112</v>
      </c>
      <c r="D17" s="346"/>
      <c r="E17" s="398" t="s">
        <v>27</v>
      </c>
      <c r="F17" s="346"/>
      <c r="G17" s="390">
        <f>+G15-G16</f>
        <v>0</v>
      </c>
      <c r="H17" s="346"/>
      <c r="I17" s="390">
        <f>+I15-I16</f>
        <v>0</v>
      </c>
      <c r="J17" s="346"/>
      <c r="K17" s="390">
        <f>+K15-K16</f>
        <v>0</v>
      </c>
      <c r="L17" s="346"/>
      <c r="M17" s="390">
        <f>+M15-M16</f>
        <v>0</v>
      </c>
      <c r="N17" s="346"/>
      <c r="O17" s="390">
        <f>+O15-O16</f>
        <v>0</v>
      </c>
      <c r="P17" s="344"/>
      <c r="Q17" s="390">
        <f>+Q15-Q16</f>
        <v>0</v>
      </c>
    </row>
    <row r="18" spans="2:25" s="41" customFormat="1" ht="22.95" customHeight="1">
      <c r="B18" s="354" t="s">
        <v>71</v>
      </c>
      <c r="C18" s="319" t="s">
        <v>113</v>
      </c>
      <c r="D18" s="319"/>
      <c r="E18" s="348" t="s">
        <v>27</v>
      </c>
      <c r="F18" s="319"/>
      <c r="G18" s="325">
        <f>(TRUNC(INPC!$F$29/INPC!$C$28,4)-1)*G17</f>
        <v>0</v>
      </c>
      <c r="H18" s="319"/>
      <c r="I18" s="325">
        <f>(TRUNC(INPC!$F$29/INPC!$C$28,4)-1)*I17</f>
        <v>0</v>
      </c>
      <c r="J18" s="319"/>
      <c r="K18" s="325">
        <f>(TRUNC(INPC!$F$29/INPC!$C$28,4)-1)*K17</f>
        <v>0</v>
      </c>
      <c r="L18" s="319"/>
      <c r="M18" s="325">
        <f>(TRUNC(INPC!$F$29/INPC!$C$28,4)-1)*M17</f>
        <v>0</v>
      </c>
      <c r="N18" s="319"/>
      <c r="O18" s="325">
        <f>(TRUNC(INPC!$F$29/INPC!$C$28,4)-1)*O17</f>
        <v>0</v>
      </c>
      <c r="P18" s="319"/>
      <c r="Q18" s="325">
        <f>(TRUNC(INPC!$F$29/INPC!$C$28,4)-1)*Q17</f>
        <v>0</v>
      </c>
    </row>
    <row r="19" spans="2:25" s="41" customFormat="1" ht="22.95" customHeight="1">
      <c r="B19" s="354" t="s">
        <v>71</v>
      </c>
      <c r="C19" s="319" t="s">
        <v>114</v>
      </c>
      <c r="D19" s="319"/>
      <c r="E19" s="348" t="s">
        <v>27</v>
      </c>
      <c r="F19" s="319"/>
      <c r="G19" s="325">
        <f>Recargos!Q27*(G17+G18)</f>
        <v>0</v>
      </c>
      <c r="H19" s="319"/>
      <c r="I19" s="325">
        <f>Recargos!Q27*(I17+I18)</f>
        <v>0</v>
      </c>
      <c r="J19" s="319"/>
      <c r="K19" s="325">
        <f>Recargos!Q27*(K17+K18)</f>
        <v>0</v>
      </c>
      <c r="L19" s="319"/>
      <c r="M19" s="325">
        <f>Recargos!Q27*(M17+M18)</f>
        <v>0</v>
      </c>
      <c r="N19" s="319"/>
      <c r="O19" s="325">
        <f>Recargos!Q27*(O17+O18)</f>
        <v>0</v>
      </c>
      <c r="P19" s="319"/>
      <c r="Q19" s="325">
        <f>Recargos!Q27*(Q17+Q18)</f>
        <v>0</v>
      </c>
    </row>
    <row r="20" spans="2:25" s="41" customFormat="1" ht="22.95" customHeight="1">
      <c r="B20" s="404" t="s">
        <v>52</v>
      </c>
      <c r="C20" s="405" t="s">
        <v>115</v>
      </c>
      <c r="D20" s="635"/>
      <c r="E20" s="636" t="s">
        <v>27</v>
      </c>
      <c r="F20" s="635"/>
      <c r="G20" s="406">
        <f>+G17+G18+G19</f>
        <v>0</v>
      </c>
      <c r="H20" s="635"/>
      <c r="I20" s="406">
        <f>+I17+I18+I19</f>
        <v>0</v>
      </c>
      <c r="J20" s="635"/>
      <c r="K20" s="406">
        <f>+K17+K18+K19</f>
        <v>0</v>
      </c>
      <c r="L20" s="635"/>
      <c r="M20" s="406">
        <f>+M17+M18+M19</f>
        <v>0</v>
      </c>
      <c r="N20" s="635"/>
      <c r="O20" s="406">
        <f>+O17+O18+O19</f>
        <v>0</v>
      </c>
      <c r="P20" s="635"/>
      <c r="Q20" s="406">
        <f>+Q17+Q18+Q19</f>
        <v>0</v>
      </c>
    </row>
    <row r="21" spans="2:25" s="41" customFormat="1" ht="22.95" customHeight="1">
      <c r="B21" s="354" t="s">
        <v>71</v>
      </c>
      <c r="C21" s="336" t="s">
        <v>116</v>
      </c>
      <c r="D21" s="319"/>
      <c r="E21" s="348" t="s">
        <v>27</v>
      </c>
      <c r="F21" s="319"/>
      <c r="G21" s="325"/>
      <c r="H21" s="319"/>
      <c r="I21" s="325"/>
      <c r="J21" s="319"/>
      <c r="K21" s="325"/>
      <c r="L21" s="319"/>
      <c r="M21" s="325"/>
      <c r="N21" s="319"/>
      <c r="O21" s="325"/>
      <c r="P21" s="319"/>
      <c r="Q21" s="325">
        <f>+IF(Q20=0,0,'2 ISR 10% BMV'!X15)</f>
        <v>0</v>
      </c>
      <c r="S21" s="259" t="s">
        <v>94</v>
      </c>
      <c r="T21" s="637"/>
      <c r="U21" s="637"/>
      <c r="V21" s="637"/>
      <c r="W21" s="181"/>
      <c r="X21" s="81">
        <f>IF('2 ISR 10% BMV'!X15-'4 ISR 10% Adicional Div'!Q20&lt;0,0,'2 ISR 10% BMV'!X15-'4 ISR 10% Adicional Div'!Q20)</f>
        <v>0</v>
      </c>
      <c r="Y21" s="33" t="s">
        <v>95</v>
      </c>
    </row>
    <row r="22" spans="2:25" s="41" customFormat="1" ht="22.95" customHeight="1">
      <c r="B22" s="391" t="s">
        <v>52</v>
      </c>
      <c r="C22" s="407" t="s">
        <v>117</v>
      </c>
      <c r="D22" s="498"/>
      <c r="E22" s="638" t="s">
        <v>27</v>
      </c>
      <c r="F22" s="498"/>
      <c r="G22" s="409">
        <f>G20+G21</f>
        <v>0</v>
      </c>
      <c r="H22" s="498"/>
      <c r="I22" s="409">
        <f>I20+I21</f>
        <v>0</v>
      </c>
      <c r="J22" s="498"/>
      <c r="K22" s="409">
        <f>K20+K21</f>
        <v>0</v>
      </c>
      <c r="L22" s="498"/>
      <c r="M22" s="409">
        <f>M20+M21</f>
        <v>0</v>
      </c>
      <c r="N22" s="498"/>
      <c r="O22" s="409">
        <f>O20+O21</f>
        <v>0</v>
      </c>
      <c r="P22" s="498"/>
      <c r="Q22" s="409">
        <f>IF(Q20-Q21&lt;0,0,Q20-Q21)</f>
        <v>0</v>
      </c>
      <c r="X22" s="302">
        <f>+Q21-X21</f>
        <v>0</v>
      </c>
      <c r="Y22" s="33" t="s">
        <v>97</v>
      </c>
    </row>
  </sheetData>
  <sheetProtection algorithmName="SHA-512" hashValue="riDRyWWnDqgm1j1/rSvs+AdIi/snnZxrnDk3SYgOTCPUKahdPmp1AjJyca+zuMyYzbok+cE/OZAFxVTAmvF8SA==" saltValue="RPcelOFIayIbYZppNqQBWA==" spinCount="100000" sheet="1" formatColumns="0" insertColumns="0" insertRows="0" deleteColumns="0" deleteRows="0"/>
  <mergeCells count="3">
    <mergeCell ref="B5:Q5"/>
    <mergeCell ref="B3:Q3"/>
    <mergeCell ref="B4:Q4"/>
  </mergeCells>
  <printOptions horizontalCentered="1"/>
  <pageMargins left="0.7" right="0.7" top="0.75" bottom="0.75" header="0.3" footer="0.3"/>
  <pageSetup scale="39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A136"/>
  <sheetViews>
    <sheetView showGridLines="0" zoomScaleNormal="100" zoomScaleSheetLayoutView="100" zoomScalePageLayoutView="90" workbookViewId="0">
      <pane ySplit="6" topLeftCell="A7" activePane="bottomLeft" state="frozen"/>
      <selection pane="bottomLeft" activeCell="B20" sqref="B20"/>
    </sheetView>
  </sheetViews>
  <sheetFormatPr defaultColWidth="10.796875" defaultRowHeight="19.2"/>
  <cols>
    <col min="1" max="1" width="10.796875" style="33"/>
    <col min="2" max="2" width="4" style="33" customWidth="1"/>
    <col min="3" max="3" width="3.5" style="33" customWidth="1"/>
    <col min="4" max="4" width="3.5" style="49" customWidth="1"/>
    <col min="5" max="5" width="106.5" style="33" customWidth="1"/>
    <col min="6" max="6" width="4" style="32" customWidth="1"/>
    <col min="7" max="7" width="24.796875" style="33" customWidth="1"/>
    <col min="8" max="8" width="4" style="32" customWidth="1"/>
    <col min="9" max="9" width="24.796875" style="32" customWidth="1"/>
    <col min="10" max="10" width="4" style="32" customWidth="1"/>
    <col min="11" max="11" width="24.796875" style="32" customWidth="1"/>
    <col min="12" max="12" width="4" style="32" customWidth="1"/>
    <col min="13" max="13" width="24.796875" style="32" customWidth="1"/>
    <col min="14" max="14" width="4" style="32" customWidth="1"/>
    <col min="15" max="15" width="24.796875" style="32" customWidth="1"/>
    <col min="16" max="16" width="3.5" style="32" customWidth="1"/>
    <col min="17" max="17" width="24.796875" style="8" customWidth="1"/>
    <col min="18" max="18" width="4.69921875" style="49" customWidth="1"/>
    <col min="19" max="19" width="24.796875" style="32" customWidth="1"/>
    <col min="20" max="20" width="10.796875" style="33"/>
    <col min="21" max="21" width="17.796875" style="33" customWidth="1"/>
    <col min="22" max="25" width="10.796875" style="33"/>
    <col min="26" max="26" width="25" style="33" customWidth="1"/>
    <col min="27" max="16384" width="10.796875" style="33"/>
  </cols>
  <sheetData>
    <row r="2" spans="2:19" ht="24.6">
      <c r="B2" s="157" t="str">
        <f>Datos!C6</f>
        <v>NOMBRE EN MAYUSCULAS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  <c r="R2" s="156"/>
      <c r="S2" s="154"/>
    </row>
    <row r="3" spans="2:19" ht="20.399999999999999">
      <c r="B3" s="154" t="s">
        <v>118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  <c r="R3" s="156"/>
      <c r="S3" s="154"/>
    </row>
    <row r="4" spans="2:19" ht="20.399999999999999">
      <c r="B4" s="67" t="s">
        <v>119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R4" s="102"/>
      <c r="S4" s="67"/>
    </row>
    <row r="5" spans="2:19">
      <c r="B5" s="171"/>
      <c r="C5" s="171"/>
      <c r="D5" s="169"/>
      <c r="E5" s="171"/>
      <c r="F5" s="170"/>
      <c r="G5" s="171"/>
      <c r="H5" s="170"/>
      <c r="I5" s="170"/>
      <c r="J5" s="170"/>
      <c r="K5" s="170"/>
      <c r="L5" s="170"/>
      <c r="M5" s="170"/>
      <c r="N5" s="170"/>
      <c r="O5" s="170"/>
      <c r="P5" s="170"/>
      <c r="Q5" s="161"/>
      <c r="R5" s="169"/>
      <c r="S5" s="170"/>
    </row>
    <row r="6" spans="2:19" ht="49.95" customHeight="1">
      <c r="D6" s="32"/>
      <c r="E6" s="50"/>
      <c r="G6" s="51" t="str">
        <f>+CONCATENATE(Datos!C23,Datos!D23)</f>
        <v>Ingresos Nacionales Constancias / CFDI</v>
      </c>
      <c r="I6" s="51" t="str">
        <f>+CONCATENATE(Datos!C24,Datos!D24)</f>
        <v>Ingresos del Extranjero Cuentas Personales</v>
      </c>
      <c r="K6" s="51" t="str">
        <f>+CONCATENATE(Datos!C25,Datos!D25)</f>
        <v>Ingresos del Extranjero Nombre de la LP 1</v>
      </c>
      <c r="M6" s="51" t="str">
        <f>+CONCATENATE(Datos!C26,Datos!D26)</f>
        <v>Ingresos del Extranjero Nombre de la LP 2</v>
      </c>
      <c r="O6" s="51" t="str">
        <f>+CONCATENATE(Datos!C27,Datos!D27)</f>
        <v>Ingresos del Extranjero Nombre de la LP 3</v>
      </c>
      <c r="Q6" s="51" t="str">
        <f>+CONCATENATE(Datos!C28,Datos!D28)</f>
        <v>Ingresos del Extranjero Nombre de la LP 4</v>
      </c>
      <c r="S6" s="51" t="s">
        <v>86</v>
      </c>
    </row>
    <row r="7" spans="2:19" ht="22.05" customHeight="1"/>
    <row r="8" spans="2:19" ht="22.95" customHeight="1">
      <c r="B8" s="32" t="s">
        <v>32</v>
      </c>
      <c r="C8" s="50" t="s">
        <v>33</v>
      </c>
    </row>
    <row r="9" spans="2:19" ht="22.95" customHeight="1">
      <c r="B9" s="32"/>
      <c r="C9" s="50"/>
    </row>
    <row r="10" spans="2:19" ht="22.95" customHeight="1">
      <c r="B10" s="49"/>
      <c r="D10" s="313" t="s">
        <v>71</v>
      </c>
      <c r="E10" s="336" t="s">
        <v>120</v>
      </c>
      <c r="F10" s="340"/>
      <c r="G10" s="341">
        <f>+'Capítulo I - Salarios'!H23</f>
        <v>0</v>
      </c>
      <c r="H10" s="340"/>
      <c r="I10" s="313" t="s">
        <v>27</v>
      </c>
      <c r="J10" s="313"/>
      <c r="K10" s="313" t="s">
        <v>27</v>
      </c>
      <c r="L10" s="313"/>
      <c r="M10" s="313" t="s">
        <v>27</v>
      </c>
      <c r="N10" s="313"/>
      <c r="O10" s="313" t="s">
        <v>27</v>
      </c>
      <c r="P10" s="313"/>
      <c r="Q10" s="313" t="s">
        <v>27</v>
      </c>
      <c r="R10" s="313"/>
      <c r="S10" s="342">
        <f>+G10</f>
        <v>0</v>
      </c>
    </row>
    <row r="11" spans="2:19" ht="22.95" customHeight="1">
      <c r="B11" s="49"/>
      <c r="D11" s="343" t="s">
        <v>52</v>
      </c>
      <c r="E11" s="344" t="s">
        <v>121</v>
      </c>
      <c r="F11" s="344"/>
      <c r="G11" s="345"/>
      <c r="H11" s="344"/>
      <c r="I11" s="344"/>
      <c r="J11" s="344"/>
      <c r="K11" s="344"/>
      <c r="L11" s="344"/>
      <c r="M11" s="344"/>
      <c r="N11" s="344"/>
      <c r="O11" s="345"/>
      <c r="P11" s="346"/>
      <c r="Q11" s="347"/>
      <c r="R11" s="346" t="s">
        <v>34</v>
      </c>
      <c r="S11" s="345">
        <f>+S10</f>
        <v>0</v>
      </c>
    </row>
    <row r="12" spans="2:19" ht="22.95" customHeight="1">
      <c r="B12" s="49"/>
      <c r="F12" s="33"/>
      <c r="G12" s="52"/>
      <c r="H12" s="33"/>
      <c r="I12" s="33"/>
      <c r="J12" s="33"/>
      <c r="K12" s="33"/>
      <c r="L12" s="33"/>
      <c r="M12" s="33"/>
      <c r="N12" s="33"/>
      <c r="R12" s="32"/>
    </row>
    <row r="13" spans="2:19" ht="22.95" customHeight="1">
      <c r="B13" s="32" t="s">
        <v>35</v>
      </c>
      <c r="C13" s="50" t="s">
        <v>122</v>
      </c>
      <c r="D13" s="32"/>
      <c r="E13" s="50"/>
      <c r="F13" s="33"/>
      <c r="G13" s="52"/>
      <c r="H13" s="33"/>
      <c r="I13" s="33"/>
      <c r="J13" s="33"/>
      <c r="K13" s="33"/>
      <c r="L13" s="33"/>
      <c r="M13" s="33"/>
      <c r="N13" s="33"/>
      <c r="R13" s="32"/>
    </row>
    <row r="14" spans="2:19" ht="22.95" customHeight="1">
      <c r="B14" s="32"/>
      <c r="C14" s="50"/>
      <c r="D14" s="32"/>
      <c r="E14" s="50"/>
      <c r="F14" s="33"/>
      <c r="G14" s="52"/>
      <c r="H14" s="33"/>
      <c r="I14" s="33"/>
      <c r="J14" s="33"/>
      <c r="K14" s="33"/>
      <c r="L14" s="33"/>
      <c r="M14" s="33"/>
      <c r="N14" s="33"/>
      <c r="R14" s="32"/>
    </row>
    <row r="15" spans="2:19" ht="22.95" customHeight="1">
      <c r="B15" s="49"/>
      <c r="D15" s="313" t="s">
        <v>71</v>
      </c>
      <c r="E15" s="336" t="s">
        <v>123</v>
      </c>
      <c r="F15" s="336"/>
      <c r="G15" s="341">
        <f>+'Capítulo II - Actividad Empresa'!C23</f>
        <v>0</v>
      </c>
      <c r="H15" s="336"/>
      <c r="I15" s="313" t="s">
        <v>27</v>
      </c>
      <c r="J15" s="336"/>
      <c r="K15" s="313" t="s">
        <v>27</v>
      </c>
      <c r="L15" s="336"/>
      <c r="M15" s="313" t="s">
        <v>27</v>
      </c>
      <c r="N15" s="336"/>
      <c r="O15" s="313" t="s">
        <v>27</v>
      </c>
      <c r="P15" s="340"/>
      <c r="Q15" s="313" t="s">
        <v>27</v>
      </c>
      <c r="R15" s="340"/>
      <c r="S15" s="342">
        <f>+G15</f>
        <v>0</v>
      </c>
    </row>
    <row r="16" spans="2:19" ht="22.95" customHeight="1">
      <c r="B16" s="49"/>
      <c r="D16" s="343" t="s">
        <v>52</v>
      </c>
      <c r="E16" s="344" t="s">
        <v>124</v>
      </c>
      <c r="F16" s="344"/>
      <c r="G16" s="345"/>
      <c r="H16" s="344"/>
      <c r="I16" s="344"/>
      <c r="J16" s="344"/>
      <c r="K16" s="344"/>
      <c r="L16" s="344"/>
      <c r="M16" s="344"/>
      <c r="N16" s="344"/>
      <c r="O16" s="345"/>
      <c r="P16" s="346"/>
      <c r="Q16" s="347"/>
      <c r="R16" s="346" t="s">
        <v>37</v>
      </c>
      <c r="S16" s="345">
        <f>+S15</f>
        <v>0</v>
      </c>
    </row>
    <row r="17" spans="2:21" ht="22.95" customHeight="1">
      <c r="B17" s="49"/>
      <c r="F17" s="33"/>
      <c r="G17" s="52"/>
      <c r="H17" s="33"/>
      <c r="I17" s="33"/>
      <c r="J17" s="33"/>
      <c r="K17" s="33"/>
      <c r="L17" s="33"/>
      <c r="M17" s="33"/>
      <c r="N17" s="33"/>
      <c r="R17" s="32"/>
    </row>
    <row r="18" spans="2:21" ht="22.95" customHeight="1">
      <c r="B18" s="32" t="s">
        <v>38</v>
      </c>
      <c r="C18" s="50" t="s">
        <v>39</v>
      </c>
      <c r="D18" s="32"/>
      <c r="E18" s="50"/>
      <c r="F18" s="33"/>
      <c r="G18" s="52"/>
      <c r="H18" s="33"/>
      <c r="I18" s="33"/>
      <c r="J18" s="33"/>
      <c r="K18" s="33"/>
      <c r="L18" s="33"/>
      <c r="M18" s="33"/>
      <c r="N18" s="33"/>
      <c r="R18" s="32"/>
    </row>
    <row r="19" spans="2:21" ht="22.95" customHeight="1">
      <c r="B19" s="32"/>
      <c r="C19" s="50"/>
      <c r="D19" s="32"/>
      <c r="E19" s="50"/>
      <c r="F19" s="33"/>
      <c r="G19" s="52"/>
      <c r="H19" s="33"/>
      <c r="I19" s="33"/>
      <c r="J19" s="33"/>
      <c r="K19" s="33"/>
      <c r="L19" s="33"/>
      <c r="M19" s="33"/>
      <c r="N19" s="33"/>
      <c r="R19" s="32"/>
    </row>
    <row r="20" spans="2:21" ht="22.95" customHeight="1">
      <c r="B20" s="49"/>
      <c r="D20" s="313" t="s">
        <v>71</v>
      </c>
      <c r="E20" s="336" t="s">
        <v>125</v>
      </c>
      <c r="F20" s="336"/>
      <c r="G20" s="341">
        <f>+'Capítulo III - Arrendamiento'!E44</f>
        <v>0</v>
      </c>
      <c r="H20" s="336"/>
      <c r="I20" s="313" t="s">
        <v>27</v>
      </c>
      <c r="J20" s="336"/>
      <c r="K20" s="313" t="s">
        <v>27</v>
      </c>
      <c r="L20" s="336"/>
      <c r="M20" s="313" t="s">
        <v>27</v>
      </c>
      <c r="N20" s="336"/>
      <c r="O20" s="313" t="s">
        <v>27</v>
      </c>
      <c r="P20" s="340"/>
      <c r="Q20" s="313" t="s">
        <v>27</v>
      </c>
      <c r="R20" s="340"/>
      <c r="S20" s="342">
        <f>+G20</f>
        <v>0</v>
      </c>
    </row>
    <row r="21" spans="2:21" ht="22.95" customHeight="1">
      <c r="B21" s="49"/>
      <c r="D21" s="343" t="s">
        <v>52</v>
      </c>
      <c r="E21" s="344" t="s">
        <v>126</v>
      </c>
      <c r="F21" s="344"/>
      <c r="G21" s="345"/>
      <c r="H21" s="344"/>
      <c r="I21" s="344"/>
      <c r="J21" s="344"/>
      <c r="K21" s="344"/>
      <c r="L21" s="344"/>
      <c r="M21" s="344"/>
      <c r="N21" s="344"/>
      <c r="O21" s="345"/>
      <c r="P21" s="346"/>
      <c r="Q21" s="347"/>
      <c r="R21" s="346" t="s">
        <v>127</v>
      </c>
      <c r="S21" s="345">
        <f>+S20</f>
        <v>0</v>
      </c>
    </row>
    <row r="22" spans="2:21" ht="22.95" customHeight="1">
      <c r="B22" s="49"/>
      <c r="F22" s="33"/>
      <c r="G22" s="52"/>
      <c r="H22" s="33"/>
      <c r="I22" s="33"/>
      <c r="J22" s="33"/>
      <c r="K22" s="33"/>
      <c r="L22" s="33"/>
      <c r="M22" s="33"/>
      <c r="N22" s="33"/>
      <c r="R22" s="32"/>
    </row>
    <row r="23" spans="2:21" ht="22.95" customHeight="1">
      <c r="B23" s="32" t="s">
        <v>40</v>
      </c>
      <c r="C23" s="50" t="s">
        <v>41</v>
      </c>
      <c r="D23" s="32"/>
      <c r="E23" s="50"/>
      <c r="F23" s="33"/>
      <c r="G23" s="52"/>
      <c r="H23" s="33"/>
      <c r="I23" s="33"/>
      <c r="J23" s="33"/>
      <c r="K23" s="33"/>
      <c r="L23" s="33"/>
      <c r="M23" s="33"/>
      <c r="N23" s="33"/>
      <c r="R23" s="32"/>
    </row>
    <row r="24" spans="2:21" ht="22.95" customHeight="1">
      <c r="B24" s="32"/>
      <c r="C24" s="50"/>
      <c r="D24" s="32"/>
      <c r="E24" s="50"/>
      <c r="F24" s="33"/>
      <c r="G24" s="52"/>
      <c r="H24" s="33"/>
      <c r="I24" s="33"/>
      <c r="J24" s="33"/>
      <c r="K24" s="33"/>
      <c r="L24" s="33"/>
      <c r="M24" s="33"/>
      <c r="N24" s="33"/>
      <c r="R24" s="32"/>
    </row>
    <row r="25" spans="2:21" ht="22.95" customHeight="1">
      <c r="B25" s="49"/>
      <c r="C25" s="50" t="s">
        <v>42</v>
      </c>
      <c r="D25" s="33" t="s">
        <v>43</v>
      </c>
      <c r="E25" s="50"/>
      <c r="F25" s="33"/>
      <c r="G25" s="52"/>
      <c r="H25" s="33"/>
      <c r="I25" s="33"/>
      <c r="J25" s="33"/>
      <c r="K25" s="33"/>
      <c r="L25" s="33"/>
      <c r="M25" s="33"/>
      <c r="N25" s="33"/>
      <c r="R25" s="32"/>
    </row>
    <row r="26" spans="2:21" ht="22.95" customHeight="1">
      <c r="B26" s="49"/>
      <c r="D26" s="313" t="s">
        <v>71</v>
      </c>
      <c r="E26" s="336" t="s">
        <v>128</v>
      </c>
      <c r="F26" s="336"/>
      <c r="G26" s="348" t="s">
        <v>27</v>
      </c>
      <c r="H26" s="336"/>
      <c r="I26" s="349">
        <f>'Capítulo IV - Sección I'!O8</f>
        <v>0</v>
      </c>
      <c r="J26" s="349"/>
      <c r="K26" s="349">
        <f>'Capítulo IV - Sección I'!O9</f>
        <v>0</v>
      </c>
      <c r="L26" s="349"/>
      <c r="M26" s="349">
        <f>'Capítulo IV - Sección I'!O10</f>
        <v>0</v>
      </c>
      <c r="N26" s="349"/>
      <c r="O26" s="349">
        <f>'Capítulo IV - Sección I'!O11</f>
        <v>0</v>
      </c>
      <c r="P26" s="349"/>
      <c r="Q26" s="349">
        <f>'Capítulo IV - Sección I'!O12</f>
        <v>0</v>
      </c>
      <c r="R26" s="340"/>
      <c r="S26" s="349">
        <f t="shared" ref="S26:S31" si="0">SUM(G26:Q26)</f>
        <v>0</v>
      </c>
    </row>
    <row r="27" spans="2:21" ht="22.95" customHeight="1">
      <c r="B27" s="49"/>
      <c r="D27" s="313" t="s">
        <v>71</v>
      </c>
      <c r="E27" s="336" t="s">
        <v>129</v>
      </c>
      <c r="F27" s="336"/>
      <c r="G27" s="349">
        <f>'Capítulo IV - Sección I'!O29</f>
        <v>0</v>
      </c>
      <c r="H27" s="336"/>
      <c r="I27" s="348" t="s">
        <v>27</v>
      </c>
      <c r="J27" s="336"/>
      <c r="K27" s="348" t="s">
        <v>27</v>
      </c>
      <c r="L27" s="336"/>
      <c r="M27" s="348" t="s">
        <v>27</v>
      </c>
      <c r="N27" s="336"/>
      <c r="O27" s="348" t="s">
        <v>27</v>
      </c>
      <c r="P27" s="340"/>
      <c r="Q27" s="348" t="s">
        <v>27</v>
      </c>
      <c r="R27" s="340"/>
      <c r="S27" s="349">
        <f t="shared" si="0"/>
        <v>0</v>
      </c>
    </row>
    <row r="28" spans="2:21" ht="22.95" customHeight="1">
      <c r="B28" s="49"/>
      <c r="D28" s="313" t="s">
        <v>71</v>
      </c>
      <c r="E28" s="336" t="s">
        <v>130</v>
      </c>
      <c r="F28" s="336"/>
      <c r="G28" s="348" t="s">
        <v>27</v>
      </c>
      <c r="H28" s="336"/>
      <c r="I28" s="349">
        <f>'Capítulo IV - Sección I'!O36</f>
        <v>0</v>
      </c>
      <c r="J28" s="336"/>
      <c r="K28" s="349">
        <f>'Capítulo IV - Sección I'!O37</f>
        <v>0</v>
      </c>
      <c r="L28" s="349"/>
      <c r="M28" s="349">
        <f>'Capítulo IV - Sección I'!O38</f>
        <v>0</v>
      </c>
      <c r="N28" s="349"/>
      <c r="O28" s="349">
        <f>'Capítulo IV - Sección I'!O39</f>
        <v>0</v>
      </c>
      <c r="P28" s="349"/>
      <c r="Q28" s="349">
        <f>'Capítulo IV - Sección I'!O40</f>
        <v>0</v>
      </c>
      <c r="R28" s="349"/>
      <c r="S28" s="349">
        <f t="shared" si="0"/>
        <v>0</v>
      </c>
    </row>
    <row r="29" spans="2:21" ht="22.95" customHeight="1">
      <c r="B29" s="49"/>
      <c r="D29" s="313" t="s">
        <v>71</v>
      </c>
      <c r="E29" s="336" t="s">
        <v>131</v>
      </c>
      <c r="F29" s="336"/>
      <c r="G29" s="349">
        <f>'Capítulo IV - Sección I'!O59</f>
        <v>0</v>
      </c>
      <c r="H29" s="336"/>
      <c r="I29" s="348" t="s">
        <v>27</v>
      </c>
      <c r="J29" s="336"/>
      <c r="K29" s="348" t="s">
        <v>27</v>
      </c>
      <c r="L29" s="349"/>
      <c r="M29" s="348" t="s">
        <v>27</v>
      </c>
      <c r="N29" s="349"/>
      <c r="O29" s="348" t="s">
        <v>27</v>
      </c>
      <c r="P29" s="349"/>
      <c r="Q29" s="348" t="s">
        <v>27</v>
      </c>
      <c r="R29" s="349"/>
      <c r="S29" s="349">
        <f t="shared" si="0"/>
        <v>0</v>
      </c>
    </row>
    <row r="30" spans="2:21" ht="22.95" customHeight="1">
      <c r="B30" s="49"/>
      <c r="D30" s="313" t="s">
        <v>71</v>
      </c>
      <c r="E30" s="336" t="s">
        <v>132</v>
      </c>
      <c r="F30" s="336"/>
      <c r="G30" s="349">
        <f>'Capítulo IV - Sección I'!O71</f>
        <v>0</v>
      </c>
      <c r="H30" s="349"/>
      <c r="I30" s="349">
        <f>'Capítulo IV - Sección I'!O66</f>
        <v>0</v>
      </c>
      <c r="J30" s="349"/>
      <c r="K30" s="349">
        <f>'Capítulo IV - Sección I'!O67</f>
        <v>0</v>
      </c>
      <c r="L30" s="349"/>
      <c r="M30" s="349">
        <f>'Capítulo IV - Sección I'!O68</f>
        <v>0</v>
      </c>
      <c r="N30" s="349"/>
      <c r="O30" s="349">
        <f>'Capítulo IV - Sección I'!O69</f>
        <v>0</v>
      </c>
      <c r="P30" s="349"/>
      <c r="Q30" s="349">
        <f>'Capítulo IV - Sección I'!O70</f>
        <v>0</v>
      </c>
      <c r="R30" s="349"/>
      <c r="S30" s="349">
        <f t="shared" si="0"/>
        <v>0</v>
      </c>
      <c r="U30" s="146" t="s">
        <v>133</v>
      </c>
    </row>
    <row r="31" spans="2:21" ht="22.95" customHeight="1">
      <c r="B31" s="49"/>
      <c r="D31" s="313" t="s">
        <v>71</v>
      </c>
      <c r="E31" s="336" t="s">
        <v>134</v>
      </c>
      <c r="F31" s="336"/>
      <c r="G31" s="349">
        <f>+'Capítulo IV - Sección I'!O91</f>
        <v>0</v>
      </c>
      <c r="H31" s="349"/>
      <c r="I31" s="348" t="s">
        <v>27</v>
      </c>
      <c r="J31" s="349"/>
      <c r="K31" s="348" t="s">
        <v>27</v>
      </c>
      <c r="L31" s="349"/>
      <c r="M31" s="348" t="s">
        <v>27</v>
      </c>
      <c r="N31" s="349"/>
      <c r="O31" s="348" t="s">
        <v>27</v>
      </c>
      <c r="P31" s="349"/>
      <c r="Q31" s="348" t="s">
        <v>27</v>
      </c>
      <c r="R31" s="349"/>
      <c r="S31" s="349">
        <f t="shared" si="0"/>
        <v>0</v>
      </c>
      <c r="U31" s="146"/>
    </row>
    <row r="32" spans="2:21" ht="22.95" customHeight="1">
      <c r="B32" s="49"/>
      <c r="D32" s="343" t="s">
        <v>52</v>
      </c>
      <c r="E32" s="344" t="s">
        <v>135</v>
      </c>
      <c r="F32" s="344"/>
      <c r="G32" s="351">
        <f>+SUM(G26:G31)</f>
        <v>0</v>
      </c>
      <c r="H32" s="352"/>
      <c r="I32" s="351">
        <f>+SUM(I26:I31)</f>
        <v>0</v>
      </c>
      <c r="J32" s="352"/>
      <c r="K32" s="351">
        <f>+SUM(K26:K31)</f>
        <v>0</v>
      </c>
      <c r="L32" s="352"/>
      <c r="M32" s="351">
        <f>+SUM(M26:M31)</f>
        <v>0</v>
      </c>
      <c r="N32" s="352"/>
      <c r="O32" s="351">
        <f>+SUM(O26:O31)</f>
        <v>0</v>
      </c>
      <c r="P32" s="353"/>
      <c r="Q32" s="351">
        <f>+SUM(Q26:Q31)</f>
        <v>0</v>
      </c>
      <c r="R32" s="346" t="s">
        <v>136</v>
      </c>
      <c r="S32" s="351">
        <f>+SUM(S26:S31)</f>
        <v>0</v>
      </c>
    </row>
    <row r="33" spans="2:19" ht="22.95" customHeight="1">
      <c r="B33" s="49"/>
      <c r="F33" s="33"/>
      <c r="G33" s="52"/>
      <c r="H33" s="33"/>
      <c r="I33" s="33"/>
      <c r="J33" s="33"/>
      <c r="K33" s="33"/>
      <c r="L33" s="33"/>
      <c r="M33" s="33"/>
      <c r="N33" s="33"/>
      <c r="R33" s="32"/>
    </row>
    <row r="34" spans="2:19" ht="22.95" customHeight="1">
      <c r="B34" s="32" t="s">
        <v>44</v>
      </c>
      <c r="C34" s="50" t="s">
        <v>47</v>
      </c>
      <c r="E34" s="50"/>
      <c r="F34" s="33"/>
      <c r="G34" s="52"/>
      <c r="H34" s="33"/>
      <c r="I34" s="33"/>
      <c r="J34" s="33"/>
      <c r="K34" s="33"/>
      <c r="L34" s="33"/>
      <c r="M34" s="33"/>
      <c r="N34" s="33"/>
      <c r="R34" s="32"/>
    </row>
    <row r="35" spans="2:19" ht="22.95" customHeight="1">
      <c r="B35" s="32"/>
      <c r="C35" s="50"/>
      <c r="E35" s="50"/>
      <c r="F35" s="33"/>
      <c r="G35" s="52"/>
      <c r="H35" s="33"/>
      <c r="I35" s="33"/>
      <c r="J35" s="33"/>
      <c r="K35" s="33"/>
      <c r="L35" s="33"/>
      <c r="M35" s="33"/>
      <c r="N35" s="33"/>
      <c r="R35" s="32"/>
    </row>
    <row r="36" spans="2:19" ht="22.95" customHeight="1">
      <c r="B36" s="49"/>
      <c r="D36" s="354" t="s">
        <v>71</v>
      </c>
      <c r="E36" s="324" t="s">
        <v>137</v>
      </c>
      <c r="F36" s="336"/>
      <c r="G36" s="349">
        <f>'Capítulo VI - Intereses'!I41</f>
        <v>0</v>
      </c>
      <c r="H36" s="349"/>
      <c r="I36" s="349">
        <f>'Capítulo VI - Intereses'!I7</f>
        <v>0</v>
      </c>
      <c r="J36" s="349"/>
      <c r="K36" s="349">
        <f>'Capítulo VI - Intereses'!I8</f>
        <v>0</v>
      </c>
      <c r="L36" s="349"/>
      <c r="M36" s="349">
        <f>'Capítulo VI - Intereses'!I9</f>
        <v>0</v>
      </c>
      <c r="N36" s="349"/>
      <c r="O36" s="349">
        <f>'Capítulo VI - Intereses'!I10</f>
        <v>0</v>
      </c>
      <c r="P36" s="349"/>
      <c r="Q36" s="349">
        <f>'Capítulo VI - Intereses'!I11</f>
        <v>0</v>
      </c>
      <c r="R36" s="340"/>
      <c r="S36" s="349">
        <f>SUM(G36:Q36)</f>
        <v>0</v>
      </c>
    </row>
    <row r="37" spans="2:19" ht="22.95" customHeight="1">
      <c r="B37" s="49"/>
      <c r="D37" s="343" t="s">
        <v>52</v>
      </c>
      <c r="E37" s="344" t="s">
        <v>138</v>
      </c>
      <c r="F37" s="344"/>
      <c r="G37" s="345"/>
      <c r="H37" s="344"/>
      <c r="I37" s="344"/>
      <c r="J37" s="344"/>
      <c r="K37" s="344"/>
      <c r="L37" s="344"/>
      <c r="M37" s="344"/>
      <c r="N37" s="344"/>
      <c r="O37" s="345"/>
      <c r="P37" s="346"/>
      <c r="Q37" s="347"/>
      <c r="R37" s="346" t="s">
        <v>139</v>
      </c>
      <c r="S37" s="351">
        <f>+S36</f>
        <v>0</v>
      </c>
    </row>
    <row r="38" spans="2:19" ht="22.95" customHeight="1">
      <c r="B38" s="49"/>
      <c r="F38" s="33"/>
      <c r="G38" s="52"/>
      <c r="H38" s="33"/>
      <c r="I38" s="33"/>
      <c r="J38" s="33"/>
      <c r="K38" s="33"/>
      <c r="L38" s="33"/>
      <c r="M38" s="33"/>
      <c r="N38" s="33"/>
      <c r="R38" s="32"/>
    </row>
    <row r="39" spans="2:19" ht="22.95" customHeight="1">
      <c r="B39" s="32" t="s">
        <v>46</v>
      </c>
      <c r="C39" s="50" t="s">
        <v>49</v>
      </c>
      <c r="D39" s="32"/>
      <c r="E39" s="50"/>
      <c r="F39" s="33"/>
      <c r="G39" s="52"/>
      <c r="H39" s="33"/>
      <c r="I39" s="33"/>
      <c r="J39" s="33"/>
      <c r="K39" s="33"/>
      <c r="L39" s="33"/>
      <c r="M39" s="33"/>
      <c r="N39" s="33"/>
      <c r="R39" s="32"/>
    </row>
    <row r="40" spans="2:19" ht="22.95" customHeight="1">
      <c r="B40" s="32"/>
      <c r="C40" s="50"/>
      <c r="D40" s="32"/>
      <c r="E40" s="50"/>
      <c r="F40" s="33"/>
      <c r="G40" s="52"/>
      <c r="H40" s="33"/>
      <c r="I40" s="33"/>
      <c r="J40" s="33"/>
      <c r="K40" s="33"/>
      <c r="L40" s="33"/>
      <c r="M40" s="33"/>
      <c r="N40" s="33"/>
      <c r="R40" s="32"/>
    </row>
    <row r="41" spans="2:19" ht="22.95" customHeight="1">
      <c r="B41" s="49"/>
      <c r="D41" s="313" t="s">
        <v>71</v>
      </c>
      <c r="E41" s="336" t="s">
        <v>140</v>
      </c>
      <c r="F41" s="336"/>
      <c r="G41" s="341">
        <f>+'Capítulo VIII - Dividendos Nac'!G31</f>
        <v>0</v>
      </c>
      <c r="H41" s="336"/>
      <c r="I41" s="355">
        <f>'Capítulo VIII - Dividendos Nac'!G7</f>
        <v>0</v>
      </c>
      <c r="J41" s="336"/>
      <c r="K41" s="355">
        <f>'Capítulo VIII - Dividendos Nac'!G8</f>
        <v>0</v>
      </c>
      <c r="L41" s="336"/>
      <c r="M41" s="355">
        <f>'Capítulo VIII - Dividendos Nac'!G9</f>
        <v>0</v>
      </c>
      <c r="N41" s="336"/>
      <c r="O41" s="341">
        <f>'Capítulo VIII - Dividendos Nac'!G10</f>
        <v>0</v>
      </c>
      <c r="P41" s="340"/>
      <c r="Q41" s="341">
        <f>'Capítulo VIII - Dividendos Nac'!G11</f>
        <v>0</v>
      </c>
      <c r="R41" s="340"/>
      <c r="S41" s="342">
        <f>SUM(G41:Q41)</f>
        <v>0</v>
      </c>
    </row>
    <row r="42" spans="2:19" ht="22.95" customHeight="1">
      <c r="B42" s="49"/>
      <c r="D42" s="343" t="s">
        <v>52</v>
      </c>
      <c r="E42" s="344" t="s">
        <v>141</v>
      </c>
      <c r="F42" s="344"/>
      <c r="G42" s="345"/>
      <c r="H42" s="344"/>
      <c r="I42" s="344"/>
      <c r="J42" s="344"/>
      <c r="K42" s="344"/>
      <c r="L42" s="344"/>
      <c r="M42" s="344"/>
      <c r="N42" s="344"/>
      <c r="O42" s="345"/>
      <c r="P42" s="346"/>
      <c r="Q42" s="347"/>
      <c r="R42" s="346" t="s">
        <v>142</v>
      </c>
      <c r="S42" s="345">
        <f>+S41</f>
        <v>0</v>
      </c>
    </row>
    <row r="43" spans="2:19" ht="22.95" customHeight="1">
      <c r="B43" s="49"/>
      <c r="F43" s="33"/>
      <c r="G43" s="52"/>
      <c r="H43" s="33"/>
      <c r="I43" s="33"/>
      <c r="J43" s="33"/>
      <c r="K43" s="33"/>
      <c r="L43" s="33"/>
      <c r="M43" s="33"/>
      <c r="N43" s="33"/>
      <c r="R43" s="32"/>
    </row>
    <row r="44" spans="2:19" ht="22.95" customHeight="1">
      <c r="B44" s="32" t="s">
        <v>48</v>
      </c>
      <c r="C44" s="50" t="s">
        <v>51</v>
      </c>
      <c r="D44" s="32"/>
      <c r="E44" s="50"/>
      <c r="F44" s="33"/>
      <c r="G44" s="52"/>
      <c r="H44" s="33"/>
      <c r="I44" s="33"/>
      <c r="J44" s="33"/>
      <c r="K44" s="33"/>
      <c r="L44" s="33"/>
      <c r="M44" s="33"/>
      <c r="N44" s="33"/>
      <c r="R44" s="32"/>
    </row>
    <row r="45" spans="2:19" ht="22.95" customHeight="1">
      <c r="B45" s="32"/>
      <c r="C45" s="50"/>
      <c r="D45" s="32"/>
      <c r="E45" s="50"/>
      <c r="F45" s="33"/>
      <c r="G45" s="52"/>
      <c r="H45" s="33"/>
      <c r="I45" s="33"/>
      <c r="J45" s="33"/>
      <c r="K45" s="33"/>
      <c r="L45" s="33"/>
      <c r="M45" s="33"/>
      <c r="N45" s="33"/>
      <c r="R45" s="32"/>
    </row>
    <row r="46" spans="2:19" ht="22.95" customHeight="1">
      <c r="B46" s="49"/>
      <c r="D46" s="354" t="s">
        <v>71</v>
      </c>
      <c r="E46" s="324" t="s">
        <v>143</v>
      </c>
      <c r="F46" s="336"/>
      <c r="G46" s="350">
        <f>+'Capítulo IX - Dividendos '!H28</f>
        <v>0</v>
      </c>
      <c r="H46" s="336"/>
      <c r="I46" s="350">
        <f>'Capítulo IX - Dividendos '!H7</f>
        <v>0</v>
      </c>
      <c r="J46" s="336"/>
      <c r="K46" s="350">
        <f>'Capítulo IX - Dividendos '!H8</f>
        <v>0</v>
      </c>
      <c r="L46" s="336"/>
      <c r="M46" s="350">
        <f>'Capítulo IX - Dividendos '!H9</f>
        <v>0</v>
      </c>
      <c r="N46" s="336"/>
      <c r="O46" s="350">
        <f>+'Capítulo IX - Dividendos '!H10</f>
        <v>0</v>
      </c>
      <c r="P46" s="340"/>
      <c r="Q46" s="350">
        <f>'Capítulo IX - Dividendos '!H11</f>
        <v>0</v>
      </c>
      <c r="R46" s="340"/>
      <c r="S46" s="342">
        <f>SUM(G46:Q46)</f>
        <v>0</v>
      </c>
    </row>
    <row r="47" spans="2:19" ht="22.95" customHeight="1">
      <c r="B47" s="49"/>
      <c r="D47" s="354" t="s">
        <v>71</v>
      </c>
      <c r="E47" s="324" t="s">
        <v>144</v>
      </c>
      <c r="F47" s="336"/>
      <c r="G47" s="313" t="s">
        <v>27</v>
      </c>
      <c r="H47" s="336"/>
      <c r="I47" s="350">
        <f>'Capìtulo IX - PE - Otros'!D7</f>
        <v>0</v>
      </c>
      <c r="J47" s="336"/>
      <c r="K47" s="350">
        <f>'Capìtulo IX - PE - Otros'!D8</f>
        <v>0</v>
      </c>
      <c r="L47" s="336"/>
      <c r="M47" s="350">
        <f>'Capìtulo IX - PE - Otros'!D9</f>
        <v>0</v>
      </c>
      <c r="N47" s="336"/>
      <c r="O47" s="350">
        <f>+'Capìtulo IX - PE - Otros'!D10</f>
        <v>0</v>
      </c>
      <c r="P47" s="340"/>
      <c r="Q47" s="350">
        <f>'Capìtulo IX - PE - Otros'!D11</f>
        <v>0</v>
      </c>
      <c r="R47" s="340"/>
      <c r="S47" s="342">
        <f>SUM(G47:Q47)</f>
        <v>0</v>
      </c>
    </row>
    <row r="48" spans="2:19" ht="22.95" customHeight="1">
      <c r="B48" s="49"/>
      <c r="D48" s="354" t="s">
        <v>71</v>
      </c>
      <c r="E48" s="336" t="s">
        <v>145</v>
      </c>
      <c r="F48" s="336"/>
      <c r="G48" s="341">
        <f>+'Capitulo IX - Regalias'!G20</f>
        <v>0</v>
      </c>
      <c r="H48" s="336"/>
      <c r="I48" s="313" t="s">
        <v>27</v>
      </c>
      <c r="J48" s="336"/>
      <c r="K48" s="313" t="s">
        <v>27</v>
      </c>
      <c r="L48" s="336"/>
      <c r="M48" s="313" t="s">
        <v>27</v>
      </c>
      <c r="N48" s="336"/>
      <c r="O48" s="313" t="s">
        <v>27</v>
      </c>
      <c r="P48" s="340"/>
      <c r="Q48" s="313" t="s">
        <v>27</v>
      </c>
      <c r="R48" s="340"/>
      <c r="S48" s="342">
        <f>SUM(G48:Q48)</f>
        <v>0</v>
      </c>
    </row>
    <row r="49" spans="2:26" ht="22.95" customHeight="1">
      <c r="B49" s="49"/>
      <c r="D49" s="313" t="s">
        <v>71</v>
      </c>
      <c r="E49" s="336" t="s">
        <v>146</v>
      </c>
      <c r="F49" s="336"/>
      <c r="G49" s="341">
        <f>+'Capítulo IX - OFD'!F27</f>
        <v>0</v>
      </c>
      <c r="H49" s="336"/>
      <c r="I49" s="350">
        <f>'Capítulo IX - OFD'!F7</f>
        <v>0</v>
      </c>
      <c r="J49" s="336"/>
      <c r="K49" s="350">
        <f>'Capítulo IX - OFD'!F8</f>
        <v>0</v>
      </c>
      <c r="L49" s="336"/>
      <c r="M49" s="350">
        <f>'Capítulo IX - OFD'!F9</f>
        <v>0</v>
      </c>
      <c r="N49" s="336"/>
      <c r="O49" s="350">
        <f>'Capítulo IX - OFD'!F10</f>
        <v>0</v>
      </c>
      <c r="P49" s="340"/>
      <c r="Q49" s="350">
        <f>'Capítulo IX - OFD'!F11</f>
        <v>0</v>
      </c>
      <c r="R49" s="340"/>
      <c r="S49" s="342">
        <f>IF(SUM(G49:Q49)&lt;0,0,SUM(G49:Q49))</f>
        <v>0</v>
      </c>
    </row>
    <row r="50" spans="2:26" ht="22.95" customHeight="1">
      <c r="B50" s="49"/>
      <c r="D50" s="313" t="s">
        <v>71</v>
      </c>
      <c r="E50" s="324" t="s">
        <v>147</v>
      </c>
      <c r="F50" s="336"/>
      <c r="G50" s="313" t="s">
        <v>27</v>
      </c>
      <c r="H50" s="336"/>
      <c r="I50" s="350">
        <f>'Capìtulo IX - PE - Otros'!$D$37</f>
        <v>0</v>
      </c>
      <c r="J50" s="336"/>
      <c r="K50" s="350">
        <f>'Capìtulo IX - PE - Otros'!$D$38</f>
        <v>0</v>
      </c>
      <c r="L50" s="336"/>
      <c r="M50" s="350">
        <f>'Capìtulo IX - PE - Otros'!$D$39</f>
        <v>0</v>
      </c>
      <c r="N50" s="336"/>
      <c r="O50" s="350">
        <f>'Capìtulo IX - PE - Otros'!$D$40</f>
        <v>0</v>
      </c>
      <c r="P50" s="340"/>
      <c r="Q50" s="350">
        <f>'Capìtulo IX - PE - Otros'!$D$41</f>
        <v>0</v>
      </c>
      <c r="R50" s="340"/>
      <c r="S50" s="342">
        <f>IF(SUM(G50:Q50)&lt;0,0,SUM(G50:Q50))</f>
        <v>0</v>
      </c>
    </row>
    <row r="51" spans="2:26" ht="22.95" customHeight="1">
      <c r="B51" s="49"/>
      <c r="D51" s="313" t="s">
        <v>71</v>
      </c>
      <c r="E51" s="324" t="s">
        <v>148</v>
      </c>
      <c r="F51" s="336"/>
      <c r="G51" s="341">
        <f>+'Capìtulo IX - PE - Otros'!D57</f>
        <v>0</v>
      </c>
      <c r="H51" s="336"/>
      <c r="I51" s="350">
        <f>'Capìtulo IX - PE - Otros'!D22</f>
        <v>0</v>
      </c>
      <c r="J51" s="336"/>
      <c r="K51" s="350">
        <f>'Capìtulo IX - PE - Otros'!D23</f>
        <v>0</v>
      </c>
      <c r="L51" s="336"/>
      <c r="M51" s="350">
        <f>'Capìtulo IX - PE - Otros'!D24</f>
        <v>0</v>
      </c>
      <c r="N51" s="336"/>
      <c r="O51" s="350">
        <f>+'Capìtulo IX - PE - Otros'!D25</f>
        <v>0</v>
      </c>
      <c r="P51" s="340"/>
      <c r="Q51" s="350">
        <f>'Capìtulo IX - PE - Otros'!D26</f>
        <v>0</v>
      </c>
      <c r="R51" s="340"/>
      <c r="S51" s="342">
        <f>SUM(G51:Q51)</f>
        <v>0</v>
      </c>
    </row>
    <row r="52" spans="2:26" ht="22.95" customHeight="1">
      <c r="B52" s="49"/>
      <c r="D52" s="343" t="s">
        <v>52</v>
      </c>
      <c r="E52" s="344" t="s">
        <v>149</v>
      </c>
      <c r="F52" s="344"/>
      <c r="G52" s="345">
        <f>+SUM(G46:G51)</f>
        <v>0</v>
      </c>
      <c r="H52" s="344"/>
      <c r="I52" s="345">
        <f>+SUM(I46:I51)</f>
        <v>0</v>
      </c>
      <c r="J52" s="344"/>
      <c r="K52" s="345">
        <f>+SUM(K46:K51)</f>
        <v>0</v>
      </c>
      <c r="L52" s="344"/>
      <c r="M52" s="345">
        <f>+SUM(M46:M51)</f>
        <v>0</v>
      </c>
      <c r="N52" s="344"/>
      <c r="O52" s="345">
        <f>+SUM(O46:O51)</f>
        <v>0</v>
      </c>
      <c r="P52" s="346"/>
      <c r="Q52" s="345">
        <f>+SUM(Q46:Q51)</f>
        <v>0</v>
      </c>
      <c r="R52" s="346" t="s">
        <v>150</v>
      </c>
      <c r="S52" s="345">
        <f>+SUM(S46:S51)</f>
        <v>0</v>
      </c>
    </row>
    <row r="53" spans="2:26" ht="22.95" customHeight="1">
      <c r="B53" s="49"/>
      <c r="F53" s="33"/>
      <c r="G53" s="52"/>
      <c r="H53" s="33"/>
      <c r="I53" s="33"/>
      <c r="J53" s="33"/>
      <c r="K53" s="33"/>
      <c r="L53" s="33"/>
      <c r="M53" s="33"/>
      <c r="N53" s="33"/>
      <c r="R53" s="32"/>
    </row>
    <row r="54" spans="2:26" ht="22.95" customHeight="1">
      <c r="B54" s="49"/>
      <c r="D54" s="358" t="s">
        <v>71</v>
      </c>
      <c r="E54" s="359" t="s">
        <v>151</v>
      </c>
      <c r="F54" s="33"/>
      <c r="G54" s="184"/>
      <c r="H54" s="33"/>
      <c r="I54" s="33"/>
      <c r="J54" s="33"/>
      <c r="K54" s="33"/>
      <c r="L54" s="33"/>
      <c r="M54" s="33"/>
      <c r="N54" s="33"/>
      <c r="O54" s="184"/>
      <c r="R54" s="357"/>
      <c r="S54" s="356">
        <f>IF(S21+S32+S37+S42+S52&lt;0,0,S21+S32+S37+S42+S52)</f>
        <v>0</v>
      </c>
    </row>
    <row r="55" spans="2:26" ht="30" customHeight="1">
      <c r="B55" s="49"/>
      <c r="D55" s="313" t="s">
        <v>54</v>
      </c>
      <c r="E55" s="336" t="s">
        <v>152</v>
      </c>
      <c r="F55" s="194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361"/>
      <c r="S55" s="362">
        <f>IF('SAF &amp; Perdidas &amp; Acred'!P83&lt;0,0,'SAF &amp; Perdidas &amp; Acred'!P83)</f>
        <v>0</v>
      </c>
      <c r="U55" s="255" t="s">
        <v>94</v>
      </c>
      <c r="V55" s="153"/>
      <c r="W55" s="153"/>
      <c r="X55" s="153"/>
      <c r="Y55" s="153"/>
    </row>
    <row r="56" spans="2:26" ht="30" customHeight="1">
      <c r="B56" s="49"/>
      <c r="D56" s="313" t="s">
        <v>54</v>
      </c>
      <c r="E56" s="336" t="s">
        <v>153</v>
      </c>
      <c r="F56" s="194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361"/>
      <c r="S56" s="362">
        <f>+IF('SAF &amp; Perdidas &amp; Acred'!P124&lt;0,0,'SAF &amp; Perdidas &amp; Acred'!P124)</f>
        <v>0</v>
      </c>
      <c r="U56" s="255" t="s">
        <v>94</v>
      </c>
      <c r="V56" s="153"/>
      <c r="W56" s="153"/>
      <c r="X56" s="153"/>
      <c r="Y56" s="153"/>
    </row>
    <row r="57" spans="2:26" ht="22.95" customHeight="1">
      <c r="B57" s="49"/>
      <c r="D57" s="346" t="s">
        <v>52</v>
      </c>
      <c r="E57" s="360" t="s">
        <v>57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R57" s="346" t="s">
        <v>154</v>
      </c>
      <c r="S57" s="363">
        <f>IF(S54-S55-S56&lt;0,0,S54-S55-S56)</f>
        <v>0</v>
      </c>
    </row>
    <row r="58" spans="2:26" ht="22.95" customHeight="1">
      <c r="B58" s="49"/>
      <c r="F58" s="33"/>
      <c r="G58" s="52"/>
      <c r="H58" s="33"/>
      <c r="I58" s="33"/>
      <c r="J58" s="33"/>
      <c r="K58" s="33"/>
      <c r="L58" s="33"/>
      <c r="M58" s="33"/>
      <c r="N58" s="33"/>
      <c r="R58" s="340"/>
      <c r="S58" s="307"/>
    </row>
    <row r="59" spans="2:26" ht="22.95" customHeight="1">
      <c r="B59" s="49"/>
      <c r="D59" s="357" t="s">
        <v>52</v>
      </c>
      <c r="E59" s="371" t="s">
        <v>155</v>
      </c>
      <c r="F59" s="33"/>
      <c r="G59" s="54"/>
      <c r="H59" s="33"/>
      <c r="I59" s="33"/>
      <c r="J59" s="33"/>
      <c r="K59" s="33"/>
      <c r="L59" s="33"/>
      <c r="M59" s="33"/>
      <c r="N59" s="33"/>
      <c r="O59" s="185"/>
      <c r="R59" s="357"/>
      <c r="S59" s="364">
        <f>+S11+S16+S57</f>
        <v>0</v>
      </c>
    </row>
    <row r="60" spans="2:26" ht="22.95" customHeight="1">
      <c r="B60" s="49"/>
      <c r="D60" s="313" t="s">
        <v>54</v>
      </c>
      <c r="E60" s="336" t="s">
        <v>60</v>
      </c>
      <c r="O60" s="185"/>
      <c r="R60" s="313"/>
      <c r="S60" s="341">
        <f>+'Deducciones Personales'!I76</f>
        <v>0</v>
      </c>
    </row>
    <row r="61" spans="2:26" ht="22.95" customHeight="1">
      <c r="B61" s="49"/>
      <c r="D61" s="343" t="s">
        <v>52</v>
      </c>
      <c r="E61" s="344" t="s">
        <v>156</v>
      </c>
      <c r="O61" s="185"/>
      <c r="R61" s="343"/>
      <c r="S61" s="365">
        <f>+IF(S59-S60&lt;0,0,S59-S60)</f>
        <v>0</v>
      </c>
      <c r="Z61" s="302">
        <f>+S46+S47</f>
        <v>0</v>
      </c>
    </row>
    <row r="62" spans="2:26" ht="22.95" customHeight="1">
      <c r="B62" s="49"/>
      <c r="D62" s="313" t="s">
        <v>54</v>
      </c>
      <c r="E62" s="336" t="s">
        <v>157</v>
      </c>
      <c r="O62" s="185"/>
      <c r="R62" s="313"/>
      <c r="S62" s="341">
        <f>IF(S61=0,0,VLOOKUP($S$61,Tarifa!$B$4:$E$15,1))</f>
        <v>0</v>
      </c>
      <c r="Z62" s="341">
        <f>IF(Z61=0,0,VLOOKUP($Z$61,Tarifa!$B$4:$E$15,1))</f>
        <v>0</v>
      </c>
    </row>
    <row r="63" spans="2:26" ht="22.95" customHeight="1">
      <c r="B63" s="49"/>
      <c r="D63" s="343" t="s">
        <v>52</v>
      </c>
      <c r="E63" s="344" t="s">
        <v>158</v>
      </c>
      <c r="O63" s="185"/>
      <c r="R63" s="343"/>
      <c r="S63" s="365">
        <f>+S61-S62</f>
        <v>0</v>
      </c>
      <c r="Z63" s="53">
        <f>+Z61-Z62</f>
        <v>0</v>
      </c>
    </row>
    <row r="64" spans="2:26" ht="22.95" customHeight="1">
      <c r="B64" s="49"/>
      <c r="D64" s="313" t="s">
        <v>62</v>
      </c>
      <c r="E64" s="336" t="s">
        <v>159</v>
      </c>
      <c r="O64" s="186"/>
      <c r="R64" s="313"/>
      <c r="S64" s="366">
        <f>IF(S61=0,0,VLOOKUP($S$61,Tarifa!$B$3:$E$15,4)/100)</f>
        <v>0</v>
      </c>
      <c r="Z64" s="366">
        <f>IF(Z61=0,0,VLOOKUP($Z$61,Tarifa!$B$3:$E$15,4)/100)</f>
        <v>0</v>
      </c>
    </row>
    <row r="65" spans="2:26" ht="22.95" customHeight="1">
      <c r="B65" s="49"/>
      <c r="D65" s="343" t="s">
        <v>52</v>
      </c>
      <c r="E65" s="344" t="s">
        <v>160</v>
      </c>
      <c r="O65" s="187"/>
      <c r="R65" s="343"/>
      <c r="S65" s="367">
        <f>+S63*S64</f>
        <v>0</v>
      </c>
      <c r="Z65" s="520">
        <f>+Z63*Z64</f>
        <v>0</v>
      </c>
    </row>
    <row r="66" spans="2:26" ht="22.95" customHeight="1">
      <c r="B66" s="49"/>
      <c r="D66" s="313" t="s">
        <v>71</v>
      </c>
      <c r="E66" s="336" t="s">
        <v>161</v>
      </c>
      <c r="O66" s="187"/>
      <c r="R66" s="313"/>
      <c r="S66" s="368">
        <f>IF(S61=0,0,VLOOKUP($S$61,Tarifa!$B$3:$E$15,3))</f>
        <v>0</v>
      </c>
      <c r="Z66" s="368">
        <f>IF(Z61=0,0,VLOOKUP($Z$61,Tarifa!$B$3:$E$15,3))</f>
        <v>0</v>
      </c>
    </row>
    <row r="67" spans="2:26" ht="22.95" customHeight="1">
      <c r="B67" s="49"/>
      <c r="D67" s="372" t="s">
        <v>52</v>
      </c>
      <c r="E67" s="373" t="s">
        <v>64</v>
      </c>
      <c r="F67" s="33"/>
      <c r="H67" s="33"/>
      <c r="I67" s="33"/>
      <c r="J67" s="33"/>
      <c r="K67" s="33"/>
      <c r="L67" s="33"/>
      <c r="M67" s="33"/>
      <c r="N67" s="33"/>
      <c r="O67" s="188"/>
      <c r="P67" s="189"/>
      <c r="R67" s="369" t="s">
        <v>65</v>
      </c>
      <c r="S67" s="370">
        <f>IF(OR(S59&lt;0,S59=0),0,+S65+S66)</f>
        <v>0</v>
      </c>
      <c r="Z67" s="521">
        <f>IF(OR(Z61&lt;0,Z61=0),0,+Z65+Z66)</f>
        <v>0</v>
      </c>
    </row>
    <row r="68" spans="2:26" ht="22.95" customHeight="1">
      <c r="B68" s="49"/>
      <c r="F68" s="33"/>
      <c r="G68" s="52"/>
      <c r="H68" s="33"/>
      <c r="I68" s="33"/>
      <c r="J68" s="33"/>
      <c r="K68" s="33"/>
      <c r="L68" s="33"/>
      <c r="M68" s="33"/>
      <c r="N68" s="33"/>
      <c r="R68" s="32"/>
    </row>
    <row r="69" spans="2:26" ht="22.95" customHeight="1">
      <c r="B69" s="32" t="s">
        <v>50</v>
      </c>
      <c r="C69" s="50" t="s">
        <v>67</v>
      </c>
      <c r="F69" s="33"/>
      <c r="G69" s="52"/>
      <c r="H69" s="33"/>
      <c r="I69" s="33"/>
      <c r="J69" s="33"/>
      <c r="K69" s="33"/>
      <c r="L69" s="33"/>
      <c r="M69" s="33"/>
      <c r="N69" s="33"/>
      <c r="R69" s="32"/>
    </row>
    <row r="70" spans="2:26" ht="22.95" customHeight="1">
      <c r="B70" s="32"/>
      <c r="C70" s="50"/>
      <c r="F70" s="33"/>
      <c r="G70" s="52"/>
      <c r="H70" s="33"/>
      <c r="I70" s="33"/>
      <c r="J70" s="33"/>
      <c r="K70" s="33"/>
      <c r="L70" s="33"/>
      <c r="M70" s="33"/>
      <c r="N70" s="33"/>
      <c r="R70" s="32"/>
    </row>
    <row r="71" spans="2:26" ht="22.95" customHeight="1">
      <c r="B71" s="49"/>
      <c r="D71" s="313" t="s">
        <v>71</v>
      </c>
      <c r="E71" s="336" t="s">
        <v>162</v>
      </c>
      <c r="F71" s="336"/>
      <c r="G71" s="341">
        <f>+'Capítulo II - Actividad Empresa'!L21</f>
        <v>0</v>
      </c>
      <c r="H71" s="336"/>
      <c r="I71" s="374" t="s">
        <v>27</v>
      </c>
      <c r="J71" s="336"/>
      <c r="K71" s="374" t="s">
        <v>27</v>
      </c>
      <c r="L71" s="336"/>
      <c r="M71" s="374" t="s">
        <v>27</v>
      </c>
      <c r="N71" s="336"/>
      <c r="O71" s="374" t="s">
        <v>27</v>
      </c>
      <c r="P71" s="340"/>
      <c r="Q71" s="374" t="s">
        <v>27</v>
      </c>
      <c r="R71" s="340"/>
      <c r="S71" s="375">
        <f>+G71</f>
        <v>0</v>
      </c>
    </row>
    <row r="72" spans="2:26" ht="22.95" customHeight="1">
      <c r="B72" s="49"/>
      <c r="D72" s="313" t="s">
        <v>71</v>
      </c>
      <c r="E72" s="336" t="s">
        <v>163</v>
      </c>
      <c r="F72" s="336"/>
      <c r="G72" s="341">
        <f>+'Capítulo III - Arrendamiento'!K20</f>
        <v>0</v>
      </c>
      <c r="H72" s="336"/>
      <c r="I72" s="374" t="s">
        <v>27</v>
      </c>
      <c r="J72" s="336"/>
      <c r="K72" s="374" t="s">
        <v>27</v>
      </c>
      <c r="L72" s="336"/>
      <c r="M72" s="374" t="s">
        <v>27</v>
      </c>
      <c r="N72" s="336"/>
      <c r="O72" s="374" t="s">
        <v>27</v>
      </c>
      <c r="P72" s="340"/>
      <c r="Q72" s="374" t="s">
        <v>27</v>
      </c>
      <c r="R72" s="340"/>
      <c r="S72" s="375">
        <f>+G72</f>
        <v>0</v>
      </c>
    </row>
    <row r="73" spans="2:26" ht="22.95" customHeight="1">
      <c r="B73" s="49"/>
      <c r="D73" s="313" t="s">
        <v>71</v>
      </c>
      <c r="E73" s="336" t="s">
        <v>164</v>
      </c>
      <c r="F73" s="336"/>
      <c r="G73" s="341">
        <f>+'Capítulo IV - Sección I'!M91</f>
        <v>0</v>
      </c>
      <c r="H73" s="336"/>
      <c r="I73" s="374" t="s">
        <v>27</v>
      </c>
      <c r="J73" s="336"/>
      <c r="K73" s="374" t="s">
        <v>27</v>
      </c>
      <c r="L73" s="336"/>
      <c r="M73" s="374" t="s">
        <v>27</v>
      </c>
      <c r="N73" s="336"/>
      <c r="O73" s="374" t="s">
        <v>27</v>
      </c>
      <c r="P73" s="340"/>
      <c r="Q73" s="374" t="s">
        <v>27</v>
      </c>
      <c r="R73" s="340"/>
      <c r="S73" s="375">
        <f>+G73</f>
        <v>0</v>
      </c>
    </row>
    <row r="74" spans="2:26" ht="22.95" customHeight="1">
      <c r="B74" s="49"/>
      <c r="D74" s="313" t="s">
        <v>71</v>
      </c>
      <c r="E74" s="336" t="s">
        <v>165</v>
      </c>
      <c r="F74" s="336"/>
      <c r="G74" s="341">
        <f>'Capítulo VI - Intereses'!M41</f>
        <v>0</v>
      </c>
      <c r="H74" s="336"/>
      <c r="I74" s="374" t="s">
        <v>27</v>
      </c>
      <c r="J74" s="336"/>
      <c r="K74" s="374" t="s">
        <v>27</v>
      </c>
      <c r="L74" s="336"/>
      <c r="M74" s="374" t="s">
        <v>27</v>
      </c>
      <c r="N74" s="336"/>
      <c r="O74" s="374" t="s">
        <v>27</v>
      </c>
      <c r="P74" s="340"/>
      <c r="Q74" s="374" t="s">
        <v>27</v>
      </c>
      <c r="R74" s="340"/>
      <c r="S74" s="375">
        <f>+G74</f>
        <v>0</v>
      </c>
    </row>
    <row r="75" spans="2:26" ht="22.95" customHeight="1">
      <c r="B75" s="49"/>
      <c r="D75" s="346" t="s">
        <v>52</v>
      </c>
      <c r="E75" s="360" t="s">
        <v>166</v>
      </c>
      <c r="F75" s="344"/>
      <c r="G75" s="344"/>
      <c r="H75" s="344"/>
      <c r="I75" s="344"/>
      <c r="J75" s="344"/>
      <c r="K75" s="344"/>
      <c r="L75" s="344"/>
      <c r="M75" s="344"/>
      <c r="N75" s="344"/>
      <c r="O75" s="345"/>
      <c r="P75" s="346"/>
      <c r="Q75" s="347"/>
      <c r="R75" s="346" t="s">
        <v>68</v>
      </c>
      <c r="S75" s="345">
        <f>+SUM(S71:S74)</f>
        <v>0</v>
      </c>
    </row>
    <row r="76" spans="2:26" ht="22.95" customHeight="1">
      <c r="B76" s="49"/>
      <c r="F76" s="33"/>
      <c r="G76" s="52"/>
      <c r="H76" s="33"/>
      <c r="I76" s="33"/>
      <c r="J76" s="33"/>
      <c r="K76" s="33"/>
      <c r="L76" s="33"/>
      <c r="M76" s="33"/>
      <c r="N76" s="33"/>
      <c r="R76" s="32"/>
    </row>
    <row r="77" spans="2:26" ht="22.95" customHeight="1">
      <c r="B77" s="32" t="s">
        <v>66</v>
      </c>
      <c r="C77" s="50" t="s">
        <v>70</v>
      </c>
      <c r="F77" s="33"/>
      <c r="G77" s="52"/>
      <c r="H77" s="33"/>
      <c r="I77" s="33"/>
      <c r="J77" s="33"/>
      <c r="K77" s="33"/>
      <c r="L77" s="33"/>
      <c r="M77" s="33"/>
      <c r="N77" s="33"/>
      <c r="R77" s="32"/>
    </row>
    <row r="78" spans="2:26" ht="22.95" customHeight="1">
      <c r="B78" s="32"/>
      <c r="C78" s="50"/>
      <c r="F78" s="33"/>
      <c r="G78" s="52"/>
      <c r="H78" s="33"/>
      <c r="I78" s="33"/>
      <c r="J78" s="33"/>
      <c r="K78" s="33"/>
      <c r="L78" s="33"/>
      <c r="M78" s="33"/>
      <c r="N78" s="33"/>
      <c r="R78" s="32"/>
    </row>
    <row r="79" spans="2:26" ht="22.95" customHeight="1">
      <c r="B79" s="49"/>
      <c r="D79" s="50" t="s">
        <v>72</v>
      </c>
      <c r="F79" s="33"/>
      <c r="G79" s="52"/>
      <c r="H79" s="33"/>
      <c r="I79" s="33"/>
      <c r="J79" s="33"/>
      <c r="K79" s="33"/>
      <c r="L79" s="33"/>
      <c r="M79" s="33"/>
      <c r="N79" s="33"/>
      <c r="R79" s="32"/>
    </row>
    <row r="80" spans="2:26" ht="22.95" customHeight="1">
      <c r="B80" s="49"/>
      <c r="D80" s="354" t="s">
        <v>71</v>
      </c>
      <c r="E80" s="376" t="s">
        <v>167</v>
      </c>
      <c r="F80" s="336"/>
      <c r="G80" s="377">
        <v>0</v>
      </c>
      <c r="H80" s="336"/>
      <c r="I80" s="350">
        <v>0</v>
      </c>
      <c r="J80" s="336"/>
      <c r="K80" s="350">
        <v>0</v>
      </c>
      <c r="L80" s="336"/>
      <c r="M80" s="350">
        <v>0</v>
      </c>
      <c r="N80" s="336"/>
      <c r="O80" s="350">
        <v>0</v>
      </c>
      <c r="P80" s="340"/>
      <c r="Q80" s="350">
        <v>0</v>
      </c>
      <c r="R80" s="340"/>
      <c r="S80" s="377">
        <f>SUM(G80:Q80)</f>
        <v>0</v>
      </c>
    </row>
    <row r="81" spans="1:19" ht="22.95" customHeight="1">
      <c r="A81" s="153"/>
      <c r="B81" s="49"/>
      <c r="D81" s="354" t="s">
        <v>71</v>
      </c>
      <c r="E81" s="376" t="s">
        <v>168</v>
      </c>
      <c r="F81" s="336"/>
      <c r="G81" s="378" t="s">
        <v>27</v>
      </c>
      <c r="H81" s="336"/>
      <c r="I81" s="350">
        <v>0</v>
      </c>
      <c r="J81" s="336"/>
      <c r="K81" s="350">
        <v>0</v>
      </c>
      <c r="L81" s="336"/>
      <c r="M81" s="350">
        <v>0</v>
      </c>
      <c r="N81" s="336"/>
      <c r="O81" s="350">
        <v>0</v>
      </c>
      <c r="P81" s="340"/>
      <c r="Q81" s="350">
        <v>0</v>
      </c>
      <c r="R81" s="340"/>
      <c r="S81" s="377">
        <f>SUM(G81:Q81)</f>
        <v>0</v>
      </c>
    </row>
    <row r="82" spans="1:19" ht="22.95" customHeight="1">
      <c r="B82" s="49"/>
      <c r="D82" s="354" t="s">
        <v>71</v>
      </c>
      <c r="E82" s="376" t="s">
        <v>169</v>
      </c>
      <c r="F82" s="336"/>
      <c r="G82" s="377">
        <v>0</v>
      </c>
      <c r="H82" s="336"/>
      <c r="I82" s="350">
        <v>0</v>
      </c>
      <c r="J82" s="336"/>
      <c r="K82" s="350">
        <v>0</v>
      </c>
      <c r="L82" s="336"/>
      <c r="M82" s="350">
        <v>0</v>
      </c>
      <c r="N82" s="336"/>
      <c r="O82" s="350">
        <v>0</v>
      </c>
      <c r="P82" s="340"/>
      <c r="Q82" s="350">
        <v>0</v>
      </c>
      <c r="R82" s="340"/>
      <c r="S82" s="377">
        <f>SUM(G82:Q82)</f>
        <v>0</v>
      </c>
    </row>
    <row r="83" spans="1:19" ht="22.95" customHeight="1">
      <c r="A83" s="153"/>
      <c r="B83" s="49"/>
      <c r="D83" s="313" t="s">
        <v>71</v>
      </c>
      <c r="E83" s="336" t="s">
        <v>170</v>
      </c>
      <c r="F83" s="336"/>
      <c r="G83" s="377">
        <v>0</v>
      </c>
      <c r="H83" s="336"/>
      <c r="I83" s="350">
        <v>0</v>
      </c>
      <c r="J83" s="336"/>
      <c r="K83" s="350">
        <v>0</v>
      </c>
      <c r="L83" s="336"/>
      <c r="M83" s="350">
        <v>0</v>
      </c>
      <c r="N83" s="336"/>
      <c r="O83" s="350">
        <v>0</v>
      </c>
      <c r="P83" s="340"/>
      <c r="Q83" s="350">
        <v>0</v>
      </c>
      <c r="R83" s="340"/>
      <c r="S83" s="377">
        <f>SUM(G83:Q83)</f>
        <v>0</v>
      </c>
    </row>
    <row r="84" spans="1:19" ht="22.05" customHeight="1">
      <c r="A84" s="153"/>
      <c r="B84" s="49"/>
      <c r="D84" s="313" t="s">
        <v>71</v>
      </c>
      <c r="E84" s="336" t="s">
        <v>171</v>
      </c>
      <c r="F84" s="340"/>
      <c r="G84" s="377">
        <v>0</v>
      </c>
      <c r="H84" s="340"/>
      <c r="I84" s="350">
        <v>0</v>
      </c>
      <c r="J84" s="340"/>
      <c r="K84" s="350">
        <v>0</v>
      </c>
      <c r="L84" s="340"/>
      <c r="M84" s="350">
        <v>0</v>
      </c>
      <c r="N84" s="340"/>
      <c r="O84" s="350">
        <v>0</v>
      </c>
      <c r="P84" s="340"/>
      <c r="Q84" s="350">
        <v>0</v>
      </c>
      <c r="R84" s="313"/>
      <c r="S84" s="377">
        <f>SUM(G84:Q84)</f>
        <v>0</v>
      </c>
    </row>
    <row r="85" spans="1:19" ht="22.95" customHeight="1">
      <c r="B85" s="49"/>
      <c r="D85" s="346" t="s">
        <v>52</v>
      </c>
      <c r="E85" s="360" t="s">
        <v>172</v>
      </c>
      <c r="F85" s="344"/>
      <c r="G85" s="345">
        <f>SUM(G80:G84)</f>
        <v>0</v>
      </c>
      <c r="H85" s="344"/>
      <c r="I85" s="345">
        <f>SUM(I80:I84)</f>
        <v>0</v>
      </c>
      <c r="J85" s="344"/>
      <c r="K85" s="345">
        <f>SUM(K80:K84)</f>
        <v>0</v>
      </c>
      <c r="L85" s="344"/>
      <c r="M85" s="345">
        <f>SUM(M80:M84)</f>
        <v>0</v>
      </c>
      <c r="N85" s="344"/>
      <c r="O85" s="345">
        <f>SUM(O80:O84)</f>
        <v>0</v>
      </c>
      <c r="P85" s="346"/>
      <c r="Q85" s="345">
        <f>SUM(Q80:Q84)</f>
        <v>0</v>
      </c>
      <c r="R85" s="346" t="s">
        <v>73</v>
      </c>
      <c r="S85" s="345">
        <f>+SUM(S80:S84)</f>
        <v>0</v>
      </c>
    </row>
    <row r="86" spans="1:19" ht="22.95" customHeight="1">
      <c r="B86" s="49"/>
      <c r="G86" s="52"/>
      <c r="O86" s="52"/>
      <c r="S86" s="52"/>
    </row>
    <row r="87" spans="1:19" ht="22.95" customHeight="1">
      <c r="B87" s="49"/>
      <c r="D87" s="50" t="s">
        <v>173</v>
      </c>
      <c r="G87" s="52"/>
      <c r="O87" s="52"/>
      <c r="S87" s="52"/>
    </row>
    <row r="88" spans="1:19" ht="22.95" customHeight="1">
      <c r="B88" s="49"/>
      <c r="D88" s="313" t="s">
        <v>71</v>
      </c>
      <c r="E88" s="336" t="s">
        <v>174</v>
      </c>
      <c r="F88" s="340"/>
      <c r="G88" s="488">
        <f>+'Capítulo I - Salarios'!J23</f>
        <v>0</v>
      </c>
      <c r="H88" s="432"/>
      <c r="I88" s="489" t="s">
        <v>27</v>
      </c>
      <c r="J88" s="432"/>
      <c r="K88" s="489" t="s">
        <v>27</v>
      </c>
      <c r="L88" s="432"/>
      <c r="M88" s="489" t="s">
        <v>27</v>
      </c>
      <c r="N88" s="432"/>
      <c r="O88" s="489" t="s">
        <v>27</v>
      </c>
      <c r="P88" s="432"/>
      <c r="Q88" s="489" t="s">
        <v>27</v>
      </c>
      <c r="R88" s="313"/>
      <c r="S88" s="341">
        <f t="shared" ref="S88:S101" si="1">SUM(G88:Q88)</f>
        <v>0</v>
      </c>
    </row>
    <row r="89" spans="1:19" ht="22.95" customHeight="1">
      <c r="B89" s="49"/>
      <c r="D89" s="313" t="s">
        <v>71</v>
      </c>
      <c r="E89" s="336" t="s">
        <v>175</v>
      </c>
      <c r="F89" s="340"/>
      <c r="G89" s="488">
        <f>'Capítulo I - Salarios'!K23</f>
        <v>0</v>
      </c>
      <c r="H89" s="432"/>
      <c r="I89" s="489" t="s">
        <v>27</v>
      </c>
      <c r="J89" s="432"/>
      <c r="K89" s="489" t="s">
        <v>27</v>
      </c>
      <c r="L89" s="432"/>
      <c r="M89" s="489" t="s">
        <v>27</v>
      </c>
      <c r="N89" s="432"/>
      <c r="O89" s="489" t="s">
        <v>27</v>
      </c>
      <c r="P89" s="432"/>
      <c r="Q89" s="489" t="s">
        <v>27</v>
      </c>
      <c r="R89" s="313"/>
      <c r="S89" s="341">
        <f t="shared" si="1"/>
        <v>0</v>
      </c>
    </row>
    <row r="90" spans="1:19" ht="22.95" customHeight="1">
      <c r="B90" s="49"/>
      <c r="D90" s="313" t="s">
        <v>71</v>
      </c>
      <c r="E90" s="336" t="s">
        <v>162</v>
      </c>
      <c r="F90" s="340"/>
      <c r="G90" s="490">
        <f>'Capítulo II - Actividad Empresa'!N21</f>
        <v>0</v>
      </c>
      <c r="H90" s="432"/>
      <c r="I90" s="489" t="s">
        <v>27</v>
      </c>
      <c r="J90" s="432"/>
      <c r="K90" s="489" t="s">
        <v>27</v>
      </c>
      <c r="L90" s="432"/>
      <c r="M90" s="489" t="s">
        <v>27</v>
      </c>
      <c r="N90" s="432"/>
      <c r="O90" s="489" t="s">
        <v>27</v>
      </c>
      <c r="P90" s="432"/>
      <c r="Q90" s="489" t="s">
        <v>27</v>
      </c>
      <c r="R90" s="313"/>
      <c r="S90" s="341">
        <f t="shared" si="1"/>
        <v>0</v>
      </c>
    </row>
    <row r="91" spans="1:19" ht="22.95" customHeight="1">
      <c r="B91" s="49"/>
      <c r="D91" s="313" t="s">
        <v>71</v>
      </c>
      <c r="E91" s="336" t="s">
        <v>176</v>
      </c>
      <c r="F91" s="340"/>
      <c r="G91" s="488">
        <f>+'Capítulo III - Arrendamiento'!H20+'Capítulo III - Arrendamiento'!G41</f>
        <v>0</v>
      </c>
      <c r="H91" s="432"/>
      <c r="I91" s="489" t="s">
        <v>27</v>
      </c>
      <c r="J91" s="432"/>
      <c r="K91" s="489" t="s">
        <v>27</v>
      </c>
      <c r="L91" s="432"/>
      <c r="M91" s="489" t="s">
        <v>27</v>
      </c>
      <c r="N91" s="432"/>
      <c r="O91" s="489" t="s">
        <v>27</v>
      </c>
      <c r="P91" s="432"/>
      <c r="Q91" s="489" t="s">
        <v>27</v>
      </c>
      <c r="R91" s="313"/>
      <c r="S91" s="341">
        <f t="shared" si="1"/>
        <v>0</v>
      </c>
    </row>
    <row r="92" spans="1:19" ht="22.95" customHeight="1">
      <c r="B92" s="49"/>
      <c r="D92" s="313" t="s">
        <v>71</v>
      </c>
      <c r="E92" s="336" t="s">
        <v>177</v>
      </c>
      <c r="F92" s="340"/>
      <c r="G92" s="488">
        <f>'Capítulo IV - Sección I'!M29</f>
        <v>0</v>
      </c>
      <c r="H92" s="432"/>
      <c r="I92" s="491">
        <f>'Capítulo IV - Sección I'!M8</f>
        <v>0</v>
      </c>
      <c r="J92" s="432"/>
      <c r="K92" s="491">
        <f>'Capítulo IV - Sección I'!M9</f>
        <v>0</v>
      </c>
      <c r="L92" s="432"/>
      <c r="M92" s="491">
        <f>'Capítulo IV - Sección I'!M10</f>
        <v>0</v>
      </c>
      <c r="N92" s="432"/>
      <c r="O92" s="491">
        <f>'Capítulo IV - Sección I'!M11</f>
        <v>0</v>
      </c>
      <c r="P92" s="432"/>
      <c r="Q92" s="491">
        <f>'Capítulo IV - Sección I'!M12</f>
        <v>0</v>
      </c>
      <c r="R92" s="313"/>
      <c r="S92" s="341">
        <f t="shared" si="1"/>
        <v>0</v>
      </c>
    </row>
    <row r="93" spans="1:19" ht="22.95" customHeight="1">
      <c r="B93" s="49"/>
      <c r="D93" s="313" t="s">
        <v>71</v>
      </c>
      <c r="E93" s="336" t="s">
        <v>178</v>
      </c>
      <c r="F93" s="340"/>
      <c r="G93" s="491">
        <f>'Capítulo IV - Sección I'!M59</f>
        <v>0</v>
      </c>
      <c r="H93" s="432"/>
      <c r="I93" s="491">
        <f>'Capítulo IV - Sección I'!M36</f>
        <v>0</v>
      </c>
      <c r="J93" s="432"/>
      <c r="K93" s="491">
        <f>'Capítulo IV - Sección I'!M37</f>
        <v>0</v>
      </c>
      <c r="L93" s="432"/>
      <c r="M93" s="491">
        <f>'Capítulo IV - Sección I'!M38</f>
        <v>0</v>
      </c>
      <c r="N93" s="432"/>
      <c r="O93" s="491">
        <f>'Capítulo IV - Sección I'!M39</f>
        <v>0</v>
      </c>
      <c r="P93" s="432"/>
      <c r="Q93" s="491">
        <f>'Capítulo IV - Sección I'!M40</f>
        <v>0</v>
      </c>
      <c r="R93" s="313"/>
      <c r="S93" s="341">
        <f t="shared" si="1"/>
        <v>0</v>
      </c>
    </row>
    <row r="94" spans="1:19" ht="22.95" customHeight="1">
      <c r="B94" s="49"/>
      <c r="D94" s="313" t="s">
        <v>71</v>
      </c>
      <c r="E94" s="336" t="s">
        <v>179</v>
      </c>
      <c r="F94" s="340"/>
      <c r="G94" s="491">
        <f>'Capítulo IV - Sección I'!M71</f>
        <v>0</v>
      </c>
      <c r="H94" s="432"/>
      <c r="I94" s="491">
        <f>'Capítulo IV - Sección I'!M66</f>
        <v>0</v>
      </c>
      <c r="J94" s="432"/>
      <c r="K94" s="491">
        <f>'Capítulo IV - Sección I'!M67</f>
        <v>0</v>
      </c>
      <c r="L94" s="432"/>
      <c r="M94" s="491">
        <f>'Capítulo IV - Sección I'!M68</f>
        <v>0</v>
      </c>
      <c r="N94" s="432"/>
      <c r="O94" s="491">
        <f>'Capítulo IV - Sección I'!M69</f>
        <v>0</v>
      </c>
      <c r="P94" s="432"/>
      <c r="Q94" s="491">
        <f>'Capítulo IV - Sección I'!M70</f>
        <v>0</v>
      </c>
      <c r="R94" s="313"/>
      <c r="S94" s="341">
        <f t="shared" si="1"/>
        <v>0</v>
      </c>
    </row>
    <row r="95" spans="1:19" ht="22.95" customHeight="1">
      <c r="B95" s="49"/>
      <c r="D95" s="313" t="s">
        <v>71</v>
      </c>
      <c r="E95" s="336" t="s">
        <v>165</v>
      </c>
      <c r="F95" s="340"/>
      <c r="G95" s="488">
        <f>+'Capítulo VI - Intereses'!K41</f>
        <v>0</v>
      </c>
      <c r="H95" s="432"/>
      <c r="I95" s="488">
        <f>'Capítulo VI - Intereses'!K7</f>
        <v>0</v>
      </c>
      <c r="J95" s="432"/>
      <c r="K95" s="488">
        <f>'Capítulo VI - Intereses'!K8</f>
        <v>0</v>
      </c>
      <c r="L95" s="432"/>
      <c r="M95" s="488">
        <f>'Capítulo VI - Intereses'!K9</f>
        <v>0</v>
      </c>
      <c r="N95" s="432"/>
      <c r="O95" s="488">
        <f>'Capítulo VI - Intereses'!K10</f>
        <v>0</v>
      </c>
      <c r="P95" s="432"/>
      <c r="Q95" s="488">
        <f>'Capítulo VI - Intereses'!K11</f>
        <v>0</v>
      </c>
      <c r="R95" s="313"/>
      <c r="S95" s="341">
        <f t="shared" si="1"/>
        <v>0</v>
      </c>
    </row>
    <row r="96" spans="1:19" ht="22.95" customHeight="1">
      <c r="B96" s="49"/>
      <c r="D96" s="313" t="s">
        <v>71</v>
      </c>
      <c r="E96" s="336" t="s">
        <v>180</v>
      </c>
      <c r="F96" s="340"/>
      <c r="G96" s="488">
        <f>+'Capítulo VIII - Dividendos Nac'!I31</f>
        <v>0</v>
      </c>
      <c r="H96" s="432"/>
      <c r="I96" s="488">
        <f>'Capítulo VIII - Dividendos Nac'!I7</f>
        <v>0</v>
      </c>
      <c r="J96" s="432"/>
      <c r="K96" s="488">
        <f>'Capítulo VIII - Dividendos Nac'!I8</f>
        <v>0</v>
      </c>
      <c r="L96" s="432"/>
      <c r="M96" s="488">
        <f>'Capítulo VIII - Dividendos Nac'!I9</f>
        <v>0</v>
      </c>
      <c r="N96" s="432"/>
      <c r="O96" s="488">
        <f>'Capítulo VIII - Dividendos Nac'!I10</f>
        <v>0</v>
      </c>
      <c r="P96" s="432"/>
      <c r="Q96" s="488">
        <f>'Capítulo VIII - Dividendos Nac'!I11</f>
        <v>0</v>
      </c>
      <c r="R96" s="313"/>
      <c r="S96" s="341">
        <f t="shared" si="1"/>
        <v>0</v>
      </c>
    </row>
    <row r="97" spans="1:21" ht="22.95" customHeight="1">
      <c r="B97" s="49"/>
      <c r="D97" s="313" t="s">
        <v>71</v>
      </c>
      <c r="E97" s="376" t="s">
        <v>181</v>
      </c>
      <c r="F97" s="340"/>
      <c r="G97" s="488">
        <f>'Capítulo IX - Dividendos '!F28</f>
        <v>0</v>
      </c>
      <c r="H97" s="432"/>
      <c r="I97" s="488">
        <f>'Capítulo IX - Dividendos '!F7</f>
        <v>0</v>
      </c>
      <c r="J97" s="432"/>
      <c r="K97" s="488">
        <f>'Capítulo IX - Dividendos '!F8</f>
        <v>0</v>
      </c>
      <c r="L97" s="432"/>
      <c r="M97" s="488">
        <f>'Capítulo IX - Dividendos '!F9</f>
        <v>0</v>
      </c>
      <c r="N97" s="432"/>
      <c r="O97" s="488">
        <f>'Capítulo IX - Dividendos '!F10</f>
        <v>0</v>
      </c>
      <c r="P97" s="432"/>
      <c r="Q97" s="488">
        <f>'Capítulo IX - Dividendos '!F11</f>
        <v>0</v>
      </c>
      <c r="R97" s="313"/>
      <c r="S97" s="341">
        <f>IF(SUM(G97:Q97)&gt;Z67,Z67,SUM(G97:Q97))</f>
        <v>0</v>
      </c>
    </row>
    <row r="98" spans="1:21" ht="22.95" customHeight="1">
      <c r="B98" s="49"/>
      <c r="D98" s="313" t="s">
        <v>71</v>
      </c>
      <c r="E98" s="376" t="s">
        <v>168</v>
      </c>
      <c r="F98" s="340"/>
      <c r="G98" s="489" t="s">
        <v>27</v>
      </c>
      <c r="H98" s="432"/>
      <c r="I98" s="488">
        <f>'Capìtulo IX - PE - Otros'!E7</f>
        <v>0</v>
      </c>
      <c r="J98" s="432"/>
      <c r="K98" s="488">
        <f>'Capìtulo IX - PE - Otros'!E8</f>
        <v>0</v>
      </c>
      <c r="L98" s="432"/>
      <c r="M98" s="488">
        <f>'Capìtulo IX - PE - Otros'!E9</f>
        <v>0</v>
      </c>
      <c r="N98" s="432"/>
      <c r="O98" s="488">
        <f>'Capìtulo IX - PE - Otros'!E10</f>
        <v>0</v>
      </c>
      <c r="P98" s="432"/>
      <c r="Q98" s="488">
        <f>'Capìtulo IX - PE - Otros'!E11</f>
        <v>0</v>
      </c>
      <c r="R98" s="313"/>
      <c r="S98" s="341">
        <f t="shared" si="1"/>
        <v>0</v>
      </c>
    </row>
    <row r="99" spans="1:21" ht="22.95" customHeight="1">
      <c r="B99" s="49"/>
      <c r="D99" s="354" t="s">
        <v>71</v>
      </c>
      <c r="E99" s="376" t="s">
        <v>169</v>
      </c>
      <c r="F99" s="340"/>
      <c r="G99" s="490">
        <f>'Capítulo IX - OFD'!H27</f>
        <v>0</v>
      </c>
      <c r="H99" s="432"/>
      <c r="I99" s="492">
        <f>'Capítulo IX - OFD'!H7</f>
        <v>0</v>
      </c>
      <c r="J99" s="433"/>
      <c r="K99" s="492">
        <f>'Capítulo IX - OFD'!H8</f>
        <v>0</v>
      </c>
      <c r="L99" s="433"/>
      <c r="M99" s="492">
        <f>'Capítulo IX - OFD'!H9</f>
        <v>0</v>
      </c>
      <c r="N99" s="433"/>
      <c r="O99" s="492">
        <f>'Capítulo IX - OFD'!H10</f>
        <v>0</v>
      </c>
      <c r="P99" s="432"/>
      <c r="Q99" s="492">
        <f>'Capítulo IX - OFD'!H11</f>
        <v>0</v>
      </c>
      <c r="R99" s="313"/>
      <c r="S99" s="341">
        <f t="shared" si="1"/>
        <v>0</v>
      </c>
    </row>
    <row r="100" spans="1:21" ht="22.95" customHeight="1">
      <c r="B100" s="49"/>
      <c r="D100" s="313" t="s">
        <v>71</v>
      </c>
      <c r="E100" s="336" t="s">
        <v>170</v>
      </c>
      <c r="F100" s="340"/>
      <c r="G100" s="488">
        <f>+'Capitulo IX - Regalias'!I20</f>
        <v>0</v>
      </c>
      <c r="H100" s="432"/>
      <c r="I100" s="489" t="s">
        <v>27</v>
      </c>
      <c r="J100" s="432"/>
      <c r="K100" s="489" t="s">
        <v>27</v>
      </c>
      <c r="L100" s="432"/>
      <c r="M100" s="489" t="s">
        <v>27</v>
      </c>
      <c r="N100" s="432"/>
      <c r="O100" s="489" t="s">
        <v>27</v>
      </c>
      <c r="P100" s="432"/>
      <c r="Q100" s="489" t="s">
        <v>27</v>
      </c>
      <c r="R100" s="313"/>
      <c r="S100" s="341">
        <f t="shared" si="1"/>
        <v>0</v>
      </c>
    </row>
    <row r="101" spans="1:21" ht="22.95" customHeight="1">
      <c r="B101" s="49"/>
      <c r="D101" s="313" t="s">
        <v>71</v>
      </c>
      <c r="E101" s="376" t="s">
        <v>182</v>
      </c>
      <c r="F101" s="340"/>
      <c r="G101" s="488">
        <f>+'Capìtulo IX - PE - Otros'!E57</f>
        <v>0</v>
      </c>
      <c r="H101" s="432"/>
      <c r="I101" s="488">
        <f>'Capìtulo IX - PE - Otros'!E22</f>
        <v>0</v>
      </c>
      <c r="J101" s="432"/>
      <c r="K101" s="488">
        <f>'Capìtulo IX - PE - Otros'!E23</f>
        <v>0</v>
      </c>
      <c r="L101" s="432"/>
      <c r="M101" s="488">
        <f>'Capìtulo IX - PE - Otros'!E24</f>
        <v>0</v>
      </c>
      <c r="N101" s="432"/>
      <c r="O101" s="488">
        <f>'Capìtulo IX - PE - Otros'!E25</f>
        <v>0</v>
      </c>
      <c r="P101" s="432"/>
      <c r="Q101" s="488">
        <f>'Capìtulo IX - PE - Otros'!E26</f>
        <v>0</v>
      </c>
      <c r="R101" s="313"/>
      <c r="S101" s="341">
        <f t="shared" si="1"/>
        <v>0</v>
      </c>
    </row>
    <row r="102" spans="1:21" ht="22.95" customHeight="1">
      <c r="B102" s="49"/>
      <c r="D102" s="346" t="s">
        <v>52</v>
      </c>
      <c r="E102" s="360" t="s">
        <v>183</v>
      </c>
      <c r="F102" s="344"/>
      <c r="G102" s="487">
        <f>+SUM(G88:G101)</f>
        <v>0</v>
      </c>
      <c r="H102" s="439"/>
      <c r="I102" s="487">
        <f>+SUM(I88:I101)</f>
        <v>0</v>
      </c>
      <c r="J102" s="439"/>
      <c r="K102" s="487">
        <f>+SUM(K88:K101)</f>
        <v>0</v>
      </c>
      <c r="L102" s="439"/>
      <c r="M102" s="487">
        <f>+SUM(M88:M101)</f>
        <v>0</v>
      </c>
      <c r="N102" s="439"/>
      <c r="O102" s="487">
        <f>+SUM(O88:O101)</f>
        <v>0</v>
      </c>
      <c r="P102" s="436"/>
      <c r="Q102" s="487">
        <f>+SUM(Q88:Q101)</f>
        <v>0</v>
      </c>
      <c r="R102" s="436" t="s">
        <v>75</v>
      </c>
      <c r="S102" s="487">
        <f>+SUM(S88:S101)</f>
        <v>0</v>
      </c>
    </row>
    <row r="103" spans="1:21" ht="22.95" customHeight="1">
      <c r="B103" s="49"/>
      <c r="D103" s="32"/>
      <c r="E103" s="50"/>
      <c r="F103" s="33"/>
      <c r="G103" s="147"/>
      <c r="H103" s="33"/>
      <c r="I103" s="33"/>
      <c r="J103" s="33"/>
      <c r="K103" s="33"/>
      <c r="L103" s="33"/>
      <c r="M103" s="33"/>
      <c r="N103" s="33"/>
      <c r="O103" s="147"/>
      <c r="R103" s="32"/>
      <c r="S103" s="147"/>
    </row>
    <row r="104" spans="1:21" ht="22.95" customHeight="1">
      <c r="A104" s="153"/>
      <c r="B104" s="49"/>
      <c r="D104" s="343"/>
      <c r="E104" s="360" t="s">
        <v>184</v>
      </c>
      <c r="F104" s="344"/>
      <c r="G104" s="196"/>
      <c r="H104" s="33"/>
      <c r="I104" s="196"/>
      <c r="J104" s="33"/>
      <c r="K104" s="196"/>
      <c r="L104" s="33"/>
      <c r="M104" s="196"/>
      <c r="N104" s="33"/>
      <c r="O104" s="196"/>
      <c r="Q104" s="196"/>
      <c r="R104" s="346"/>
      <c r="S104" s="379">
        <v>0</v>
      </c>
    </row>
    <row r="105" spans="1:21" ht="22.95" customHeight="1">
      <c r="B105" s="49"/>
      <c r="D105" s="313"/>
      <c r="E105" s="336"/>
      <c r="F105" s="336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32"/>
      <c r="S105" s="33"/>
    </row>
    <row r="106" spans="1:21" ht="22.95" customHeight="1">
      <c r="B106" s="49"/>
      <c r="D106" s="383" t="s">
        <v>185</v>
      </c>
      <c r="E106" s="383"/>
      <c r="F106" s="359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369" t="s">
        <v>79</v>
      </c>
      <c r="S106" s="380">
        <f>+S85+S102+S104+S75</f>
        <v>0</v>
      </c>
    </row>
    <row r="107" spans="1:21" ht="22.95" customHeight="1">
      <c r="B107" s="49"/>
      <c r="D107" s="313"/>
      <c r="E107" s="336"/>
      <c r="F107" s="336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32"/>
      <c r="S107" s="52"/>
    </row>
    <row r="108" spans="1:21" ht="22.95" customHeight="1">
      <c r="B108" s="49"/>
      <c r="D108" s="384" t="s">
        <v>52</v>
      </c>
      <c r="E108" s="385" t="str">
        <f>IF(S67=S106,"ISR del ejercicio sobre ingresos acumulables",IF(S67&gt;S106,"ISR a cargo por ingresos acumulables (1) - (2)","(ISR a favor) (1) - (2)"))</f>
        <v>ISR del ejercicio sobre ingresos acumulables</v>
      </c>
      <c r="F108" s="386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381"/>
      <c r="S108" s="382">
        <f>IF(S67-S106&lt;0,S67-S106+S98,S67-S106)</f>
        <v>0</v>
      </c>
      <c r="U108" s="522"/>
    </row>
    <row r="109" spans="1:21" ht="22.95" customHeight="1">
      <c r="B109" s="49"/>
      <c r="D109" s="55"/>
      <c r="E109" s="56">
        <v>9</v>
      </c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</row>
    <row r="110" spans="1:21" ht="22.95" customHeight="1">
      <c r="B110" s="149" t="s">
        <v>69</v>
      </c>
      <c r="C110" s="71" t="s">
        <v>81</v>
      </c>
      <c r="D110" s="150"/>
      <c r="E110" s="59"/>
      <c r="F110" s="33"/>
      <c r="G110" s="52"/>
      <c r="H110" s="33"/>
      <c r="I110" s="33"/>
      <c r="J110" s="33"/>
      <c r="K110" s="33"/>
      <c r="L110" s="33"/>
      <c r="M110" s="33"/>
      <c r="N110" s="33"/>
      <c r="O110" s="52"/>
      <c r="R110" s="32"/>
      <c r="S110" s="52"/>
    </row>
    <row r="111" spans="1:21" ht="22.95" customHeight="1">
      <c r="B111" s="149"/>
      <c r="C111" s="71"/>
      <c r="D111" s="150"/>
      <c r="E111" s="59"/>
      <c r="F111" s="33"/>
      <c r="G111" s="52"/>
      <c r="H111" s="33"/>
      <c r="I111" s="33"/>
      <c r="J111" s="33"/>
      <c r="K111" s="33"/>
      <c r="L111" s="33"/>
      <c r="M111" s="33"/>
      <c r="N111" s="33"/>
      <c r="O111" s="52"/>
      <c r="R111" s="32"/>
      <c r="S111" s="52"/>
    </row>
    <row r="112" spans="1:21" ht="22.95" customHeight="1">
      <c r="B112" s="151"/>
      <c r="C112" s="152"/>
      <c r="D112" s="354" t="s">
        <v>71</v>
      </c>
      <c r="E112" s="376" t="s">
        <v>186</v>
      </c>
      <c r="F112" s="336"/>
      <c r="G112" s="341">
        <f>'Capítulo IV - Sección I'!I29+'Capítulo IV - Sección I'!I59+'Capítulo IV - Sección I'!I71+'Capítulo IV - Sección I'!I91</f>
        <v>0</v>
      </c>
      <c r="H112" s="336"/>
      <c r="I112" s="341">
        <f>'Capítulo IV - Sección I'!I8+'Capítulo IV - Sección I'!I36+'Capítulo IV - Sección I'!I66</f>
        <v>0</v>
      </c>
      <c r="J112" s="341"/>
      <c r="K112" s="341">
        <f>'Capítulo IV - Sección I'!I9+'Capítulo IV - Sección I'!I37+'Capítulo IV - Sección I'!I67</f>
        <v>0</v>
      </c>
      <c r="L112" s="341"/>
      <c r="M112" s="341">
        <f>'Capítulo IV - Sección I'!I10+'Capítulo IV - Sección I'!I38+'Capítulo IV - Sección I'!I68</f>
        <v>0</v>
      </c>
      <c r="N112" s="341"/>
      <c r="O112" s="341">
        <f>'Capítulo IV - Sección I'!I11+'Capítulo IV - Sección I'!I39+'Capítulo IV - Sección I'!I69</f>
        <v>0</v>
      </c>
      <c r="P112" s="341"/>
      <c r="Q112" s="341">
        <f>'Capítulo IV - Sección I'!I12+'Capítulo IV - Sección I'!I40+'Capítulo IV - Sección I'!I70</f>
        <v>0</v>
      </c>
      <c r="R112" s="340"/>
      <c r="S112" s="341">
        <f>SUM(G112:Q112)</f>
        <v>0</v>
      </c>
    </row>
    <row r="113" spans="1:27" ht="22.95" customHeight="1">
      <c r="B113" s="151"/>
      <c r="C113" s="152"/>
      <c r="D113" s="354" t="s">
        <v>71</v>
      </c>
      <c r="E113" s="376" t="s">
        <v>187</v>
      </c>
      <c r="F113" s="336"/>
      <c r="G113" s="387">
        <v>0.35</v>
      </c>
      <c r="H113" s="336"/>
      <c r="I113" s="387">
        <v>0.35</v>
      </c>
      <c r="J113" s="336"/>
      <c r="K113" s="387">
        <v>0.35</v>
      </c>
      <c r="L113" s="336"/>
      <c r="M113" s="387">
        <v>0.35</v>
      </c>
      <c r="N113" s="336"/>
      <c r="O113" s="387">
        <v>0.35</v>
      </c>
      <c r="P113" s="340"/>
      <c r="Q113" s="387">
        <v>0.35</v>
      </c>
      <c r="R113" s="340"/>
      <c r="S113" s="387">
        <v>0.35</v>
      </c>
    </row>
    <row r="114" spans="1:27" ht="22.95" customHeight="1">
      <c r="B114" s="151"/>
      <c r="C114" s="56"/>
      <c r="D114" s="388" t="s">
        <v>52</v>
      </c>
      <c r="E114" s="389" t="s">
        <v>81</v>
      </c>
      <c r="F114" s="344"/>
      <c r="G114" s="390">
        <f>G112*G113</f>
        <v>0</v>
      </c>
      <c r="H114" s="344"/>
      <c r="I114" s="390">
        <f>I112*I113</f>
        <v>0</v>
      </c>
      <c r="J114" s="344"/>
      <c r="K114" s="390">
        <f>K112*K113</f>
        <v>0</v>
      </c>
      <c r="L114" s="344"/>
      <c r="M114" s="390">
        <f>M112*M113</f>
        <v>0</v>
      </c>
      <c r="N114" s="344"/>
      <c r="O114" s="390">
        <f>O112*O113</f>
        <v>0</v>
      </c>
      <c r="P114" s="388"/>
      <c r="Q114" s="390">
        <f>Q112*Q113</f>
        <v>0</v>
      </c>
      <c r="R114" s="346"/>
      <c r="S114" s="390">
        <f>S112*S113</f>
        <v>0</v>
      </c>
    </row>
    <row r="115" spans="1:27" ht="22.95" customHeight="1">
      <c r="D115" s="55"/>
      <c r="E115" s="56"/>
      <c r="G115" s="148"/>
    </row>
    <row r="116" spans="1:27" ht="22.95" customHeight="1">
      <c r="B116" s="49"/>
      <c r="D116" s="343"/>
      <c r="E116" s="360" t="s">
        <v>188</v>
      </c>
      <c r="F116" s="344"/>
      <c r="G116" s="196"/>
      <c r="H116" s="33"/>
      <c r="I116" s="196"/>
      <c r="J116" s="33"/>
      <c r="K116" s="196"/>
      <c r="L116" s="33"/>
      <c r="M116" s="196"/>
      <c r="N116" s="33"/>
      <c r="O116" s="196"/>
      <c r="Q116" s="196"/>
      <c r="R116" s="346"/>
      <c r="S116" s="379">
        <f>IF(S108+S114&lt;=0,0,'SAF &amp; Perdidas &amp; Acred'!V40)</f>
        <v>0</v>
      </c>
      <c r="U116" s="255" t="s">
        <v>94</v>
      </c>
      <c r="V116" s="153"/>
      <c r="W116" s="153"/>
      <c r="X116" s="153"/>
      <c r="Y116" s="153"/>
      <c r="Z116" s="302">
        <f>IF(S116=0,'SAF &amp; Perdidas &amp; Acred'!V40,IF(AND((S108+S114)&lt;S116,S116&gt;=0),S116-S108-S114,0))</f>
        <v>0</v>
      </c>
      <c r="AA116" s="33" t="s">
        <v>95</v>
      </c>
    </row>
    <row r="117" spans="1:27" ht="22.95" customHeight="1">
      <c r="B117" s="49"/>
      <c r="D117" s="55"/>
      <c r="E117" s="56"/>
      <c r="G117" s="148"/>
      <c r="Z117" s="302">
        <f>IF(S116=0,0,S116-Z116)</f>
        <v>0</v>
      </c>
      <c r="AA117" s="33" t="s">
        <v>97</v>
      </c>
    </row>
    <row r="118" spans="1:27" ht="22.95" customHeight="1">
      <c r="B118" s="49"/>
      <c r="D118" s="391" t="s">
        <v>52</v>
      </c>
      <c r="E118" s="392" t="str">
        <f>+IF(S118&lt;0,"Saldo a favor del ejercicio","ISR del ejercicio")</f>
        <v>ISR del ejercicio</v>
      </c>
      <c r="F118" s="393"/>
      <c r="G118" s="394"/>
      <c r="H118" s="393"/>
      <c r="I118" s="393"/>
      <c r="J118" s="393"/>
      <c r="K118" s="393"/>
      <c r="L118" s="393"/>
      <c r="M118" s="393"/>
      <c r="N118" s="393"/>
      <c r="O118" s="394"/>
      <c r="P118" s="391"/>
      <c r="Q118" s="395"/>
      <c r="R118" s="391"/>
      <c r="S118" s="394">
        <f>IF(S108+S114-S116&lt;0,0,S108+S114-S116)</f>
        <v>0</v>
      </c>
    </row>
    <row r="119" spans="1:27" ht="22.9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R119" s="58"/>
      <c r="S119" s="57"/>
      <c r="T119" s="57"/>
    </row>
    <row r="120" spans="1:27" ht="22.95" customHeight="1">
      <c r="G120" s="52"/>
      <c r="O120" s="52"/>
      <c r="S120" s="52"/>
    </row>
    <row r="121" spans="1:27" ht="22.95" customHeight="1"/>
    <row r="122" spans="1:27" ht="22.95" customHeight="1"/>
    <row r="123" spans="1:27" ht="22.95" customHeight="1"/>
    <row r="124" spans="1:27" ht="22.95" customHeight="1"/>
    <row r="125" spans="1:27" ht="22.95" customHeight="1"/>
    <row r="126" spans="1:27" ht="22.95" customHeight="1"/>
    <row r="127" spans="1:27" ht="22.95" customHeight="1"/>
    <row r="128" spans="1:27" ht="22.95" customHeight="1"/>
    <row r="129" ht="22.95" customHeight="1"/>
    <row r="130" ht="22.95" customHeight="1"/>
    <row r="131" ht="22.95" customHeight="1"/>
    <row r="132" ht="22.95" customHeight="1"/>
    <row r="133" ht="22.95" customHeight="1"/>
    <row r="134" ht="22.95" customHeight="1"/>
    <row r="135" ht="22.95" customHeight="1"/>
    <row r="136" ht="22.95" customHeight="1"/>
  </sheetData>
  <sheetProtection algorithmName="SHA-512" hashValue="RGphuWNYa1u4HHaBeEI0EpZIkGvk7rq26sWtuc5day70eyOS8nmkXdBLnOt/ziGyd+DOSWcPst8AnAP8INqoZQ==" saltValue="nfJPG+5AUnMqP+fT8BMzUQ==" spinCount="100000" sheet="1" formatColumns="0" formatRows="0"/>
  <phoneticPr fontId="7" type="noConversion"/>
  <printOptions horizontalCentered="1"/>
  <pageMargins left="0.7" right="0.7" top="0.75" bottom="0.75" header="0.3" footer="0.3"/>
  <pageSetup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34"/>
  <sheetViews>
    <sheetView zoomScale="110" zoomScaleNormal="110" zoomScaleSheetLayoutView="110" zoomScalePageLayoutView="130" workbookViewId="0">
      <selection activeCell="F20" sqref="F20"/>
    </sheetView>
  </sheetViews>
  <sheetFormatPr defaultColWidth="10.796875" defaultRowHeight="20.7" customHeight="1"/>
  <cols>
    <col min="1" max="1" width="10.796875" style="41"/>
    <col min="2" max="2" width="51.5" style="41" customWidth="1"/>
    <col min="3" max="3" width="20.296875" style="41" customWidth="1"/>
    <col min="4" max="4" width="16.19921875" style="41" customWidth="1"/>
    <col min="5" max="5" width="18" style="41" customWidth="1"/>
    <col min="6" max="6" width="23.69921875" style="41" customWidth="1"/>
    <col min="7" max="7" width="19" style="41" customWidth="1"/>
    <col min="8" max="8" width="19.69921875" style="41" customWidth="1"/>
    <col min="9" max="9" width="4.796875" style="41" customWidth="1"/>
    <col min="10" max="10" width="17.69921875" style="41" customWidth="1"/>
    <col min="11" max="11" width="18.69921875" style="41" customWidth="1"/>
    <col min="12" max="16384" width="10.796875" style="41"/>
  </cols>
  <sheetData>
    <row r="3" spans="2:11" ht="20.7" customHeight="1">
      <c r="B3" s="640" t="str">
        <f>Datos!C6</f>
        <v>NOMBRE EN MAYUSCULAS</v>
      </c>
      <c r="C3" s="640"/>
      <c r="D3" s="640"/>
      <c r="E3" s="640"/>
      <c r="F3" s="640"/>
      <c r="G3" s="640"/>
      <c r="H3" s="640"/>
      <c r="I3" s="640"/>
      <c r="J3" s="640"/>
    </row>
    <row r="4" spans="2:11" ht="20.7" customHeight="1">
      <c r="B4" s="655" t="s">
        <v>189</v>
      </c>
      <c r="C4" s="655"/>
      <c r="D4" s="655"/>
      <c r="E4" s="655"/>
      <c r="F4" s="655"/>
      <c r="G4" s="655"/>
      <c r="H4" s="655"/>
      <c r="I4" s="655"/>
      <c r="J4" s="655"/>
    </row>
    <row r="5" spans="2:11" ht="20.7" customHeight="1">
      <c r="B5" s="158"/>
      <c r="C5" s="158"/>
      <c r="D5" s="158"/>
      <c r="E5" s="158"/>
      <c r="F5" s="158"/>
      <c r="G5" s="158"/>
      <c r="H5" s="158"/>
      <c r="I5" s="158"/>
      <c r="J5" s="158"/>
      <c r="K5" s="158"/>
    </row>
    <row r="6" spans="2:11" ht="40.950000000000003" customHeight="1">
      <c r="B6" s="128" t="s">
        <v>190</v>
      </c>
      <c r="C6" s="128" t="s">
        <v>191</v>
      </c>
      <c r="D6" s="128" t="s">
        <v>192</v>
      </c>
      <c r="E6" s="128" t="s">
        <v>193</v>
      </c>
      <c r="F6" s="128" t="s">
        <v>194</v>
      </c>
      <c r="G6" s="128" t="s">
        <v>195</v>
      </c>
      <c r="H6" s="128" t="s">
        <v>196</v>
      </c>
      <c r="I6" s="128"/>
      <c r="J6" s="128" t="s">
        <v>197</v>
      </c>
      <c r="K6" s="128" t="s">
        <v>198</v>
      </c>
    </row>
    <row r="7" spans="2:11" ht="19.95" customHeight="1"/>
    <row r="8" spans="2:11" ht="20.7" customHeight="1">
      <c r="B8" s="568" t="s">
        <v>199</v>
      </c>
      <c r="C8" s="569"/>
      <c r="D8" s="569"/>
      <c r="E8" s="569"/>
      <c r="F8" s="570"/>
      <c r="G8" s="570"/>
      <c r="H8" s="337">
        <f t="shared" ref="H8:H22" si="0">+F8-G8</f>
        <v>0</v>
      </c>
      <c r="I8" s="143"/>
      <c r="J8" s="320"/>
      <c r="K8" s="309">
        <v>0</v>
      </c>
    </row>
    <row r="9" spans="2:11" ht="20.7" customHeight="1">
      <c r="B9" s="568" t="s">
        <v>200</v>
      </c>
      <c r="C9" s="569"/>
      <c r="D9" s="569"/>
      <c r="E9" s="569"/>
      <c r="F9" s="570"/>
      <c r="G9" s="570"/>
      <c r="H9" s="337">
        <f t="shared" si="0"/>
        <v>0</v>
      </c>
      <c r="I9" s="143"/>
      <c r="J9" s="320"/>
      <c r="K9" s="309"/>
    </row>
    <row r="10" spans="2:11" ht="20.7" customHeight="1">
      <c r="B10" s="568" t="s">
        <v>201</v>
      </c>
      <c r="C10" s="569"/>
      <c r="D10" s="569"/>
      <c r="E10" s="569"/>
      <c r="F10" s="570"/>
      <c r="G10" s="570"/>
      <c r="H10" s="337">
        <f t="shared" si="0"/>
        <v>0</v>
      </c>
      <c r="I10" s="143"/>
      <c r="J10" s="320"/>
      <c r="K10" s="309"/>
    </row>
    <row r="11" spans="2:11" ht="20.7" customHeight="1">
      <c r="B11" s="568" t="s">
        <v>202</v>
      </c>
      <c r="C11" s="569"/>
      <c r="D11" s="569"/>
      <c r="E11" s="569"/>
      <c r="F11" s="570"/>
      <c r="G11" s="570"/>
      <c r="H11" s="337">
        <f t="shared" si="0"/>
        <v>0</v>
      </c>
      <c r="I11" s="143"/>
      <c r="J11" s="320"/>
      <c r="K11" s="309"/>
    </row>
    <row r="12" spans="2:11" ht="20.7" customHeight="1">
      <c r="B12" s="568" t="s">
        <v>203</v>
      </c>
      <c r="C12" s="569"/>
      <c r="D12" s="569"/>
      <c r="E12" s="569"/>
      <c r="F12" s="570"/>
      <c r="G12" s="570"/>
      <c r="H12" s="337">
        <f t="shared" si="0"/>
        <v>0</v>
      </c>
      <c r="I12" s="143"/>
      <c r="J12" s="320"/>
      <c r="K12" s="309"/>
    </row>
    <row r="13" spans="2:11" ht="20.7" customHeight="1">
      <c r="B13" s="568" t="s">
        <v>204</v>
      </c>
      <c r="C13" s="569"/>
      <c r="D13" s="569"/>
      <c r="E13" s="569"/>
      <c r="F13" s="570"/>
      <c r="G13" s="570"/>
      <c r="H13" s="337">
        <f t="shared" si="0"/>
        <v>0</v>
      </c>
      <c r="I13" s="143"/>
      <c r="J13" s="320"/>
      <c r="K13" s="309"/>
    </row>
    <row r="14" spans="2:11" ht="20.7" customHeight="1">
      <c r="B14" s="568" t="s">
        <v>205</v>
      </c>
      <c r="C14" s="569"/>
      <c r="D14" s="569"/>
      <c r="E14" s="569"/>
      <c r="F14" s="570"/>
      <c r="G14" s="570"/>
      <c r="H14" s="337">
        <f t="shared" si="0"/>
        <v>0</v>
      </c>
      <c r="I14" s="143"/>
      <c r="J14" s="320"/>
      <c r="K14" s="309"/>
    </row>
    <row r="15" spans="2:11" ht="20.7" customHeight="1">
      <c r="B15" s="568" t="s">
        <v>206</v>
      </c>
      <c r="C15" s="569"/>
      <c r="D15" s="569"/>
      <c r="E15" s="569"/>
      <c r="F15" s="570"/>
      <c r="G15" s="570"/>
      <c r="H15" s="337">
        <f t="shared" si="0"/>
        <v>0</v>
      </c>
      <c r="I15" s="143"/>
      <c r="J15" s="320"/>
      <c r="K15" s="309"/>
    </row>
    <row r="16" spans="2:11" ht="20.7" customHeight="1">
      <c r="B16" s="568" t="s">
        <v>207</v>
      </c>
      <c r="C16" s="569"/>
      <c r="D16" s="569"/>
      <c r="E16" s="569"/>
      <c r="F16" s="570"/>
      <c r="G16" s="570"/>
      <c r="H16" s="337">
        <f t="shared" si="0"/>
        <v>0</v>
      </c>
      <c r="I16" s="143"/>
      <c r="J16" s="320"/>
      <c r="K16" s="309"/>
    </row>
    <row r="17" spans="2:12" ht="20.7" customHeight="1">
      <c r="B17" s="568" t="s">
        <v>208</v>
      </c>
      <c r="C17" s="569"/>
      <c r="D17" s="569"/>
      <c r="E17" s="569"/>
      <c r="F17" s="570"/>
      <c r="G17" s="570"/>
      <c r="H17" s="337">
        <f t="shared" si="0"/>
        <v>0</v>
      </c>
      <c r="I17" s="143"/>
      <c r="J17" s="320"/>
      <c r="K17" s="309"/>
    </row>
    <row r="18" spans="2:12" ht="20.7" customHeight="1">
      <c r="B18" s="568" t="s">
        <v>209</v>
      </c>
      <c r="C18" s="569"/>
      <c r="D18" s="569"/>
      <c r="E18" s="569"/>
      <c r="F18" s="570"/>
      <c r="G18" s="570"/>
      <c r="H18" s="337">
        <f t="shared" si="0"/>
        <v>0</v>
      </c>
      <c r="I18" s="143"/>
      <c r="J18" s="320"/>
      <c r="K18" s="309"/>
    </row>
    <row r="19" spans="2:12" ht="20.7" customHeight="1">
      <c r="B19" s="568" t="s">
        <v>210</v>
      </c>
      <c r="C19" s="569"/>
      <c r="D19" s="569"/>
      <c r="E19" s="569"/>
      <c r="F19" s="570"/>
      <c r="G19" s="570"/>
      <c r="H19" s="337">
        <f t="shared" si="0"/>
        <v>0</v>
      </c>
      <c r="I19" s="143"/>
      <c r="J19" s="320"/>
      <c r="K19" s="309"/>
    </row>
    <row r="20" spans="2:12" ht="20.7" customHeight="1">
      <c r="B20" s="568" t="s">
        <v>211</v>
      </c>
      <c r="C20" s="569"/>
      <c r="D20" s="569"/>
      <c r="E20" s="569"/>
      <c r="F20" s="570"/>
      <c r="G20" s="570"/>
      <c r="H20" s="337">
        <f t="shared" si="0"/>
        <v>0</v>
      </c>
      <c r="I20" s="143"/>
      <c r="J20" s="320"/>
      <c r="K20" s="309"/>
    </row>
    <row r="21" spans="2:12" ht="20.7" customHeight="1">
      <c r="B21" s="568" t="s">
        <v>212</v>
      </c>
      <c r="C21" s="569"/>
      <c r="D21" s="569"/>
      <c r="E21" s="569"/>
      <c r="F21" s="570"/>
      <c r="G21" s="570"/>
      <c r="H21" s="337">
        <f t="shared" si="0"/>
        <v>0</v>
      </c>
      <c r="I21" s="143"/>
      <c r="J21" s="320"/>
      <c r="K21" s="309"/>
    </row>
    <row r="22" spans="2:12" ht="20.7" customHeight="1">
      <c r="B22" s="319"/>
      <c r="C22" s="319"/>
      <c r="D22" s="319"/>
      <c r="E22" s="319"/>
      <c r="F22" s="309"/>
      <c r="G22" s="309"/>
      <c r="H22" s="309">
        <f t="shared" si="0"/>
        <v>0</v>
      </c>
      <c r="J22" s="309"/>
      <c r="K22" s="309"/>
    </row>
    <row r="23" spans="2:12" ht="20.7" customHeight="1">
      <c r="E23" s="619" t="s">
        <v>213</v>
      </c>
      <c r="F23" s="338">
        <f>+SUM(F8:F22)</f>
        <v>0</v>
      </c>
      <c r="G23" s="338">
        <f>+SUM(G8:G22)</f>
        <v>0</v>
      </c>
      <c r="H23" s="338">
        <f>+SUM(H8:H22)</f>
        <v>0</v>
      </c>
      <c r="I23" s="339"/>
      <c r="J23" s="338">
        <f>+SUM(J8:J22)</f>
        <v>0</v>
      </c>
      <c r="K23" s="338">
        <f>+SUM(K8:K22)</f>
        <v>0</v>
      </c>
    </row>
    <row r="25" spans="2:12" ht="20.7" customHeight="1">
      <c r="B25" s="43" t="s">
        <v>214</v>
      </c>
    </row>
    <row r="28" spans="2:12" ht="20.7" customHeight="1">
      <c r="B28" s="656" t="s">
        <v>215</v>
      </c>
      <c r="C28" s="656"/>
      <c r="D28" s="656"/>
      <c r="E28" s="656"/>
      <c r="F28" s="656"/>
      <c r="G28" s="656"/>
      <c r="H28" s="656"/>
      <c r="I28" s="656"/>
      <c r="J28" s="656"/>
      <c r="K28" s="656"/>
      <c r="L28" s="656"/>
    </row>
    <row r="30" spans="2:12" ht="20.7" customHeight="1">
      <c r="B30" s="39" t="s">
        <v>216</v>
      </c>
      <c r="C30" s="85">
        <f>F23</f>
        <v>0</v>
      </c>
    </row>
    <row r="31" spans="2:12" ht="20.7" customHeight="1">
      <c r="B31" s="39" t="s">
        <v>217</v>
      </c>
      <c r="C31" s="85">
        <f>G23</f>
        <v>0</v>
      </c>
    </row>
    <row r="32" spans="2:12" ht="20.7" customHeight="1">
      <c r="B32" s="39" t="s">
        <v>218</v>
      </c>
      <c r="C32" s="142">
        <f>C30-C31</f>
        <v>0</v>
      </c>
    </row>
    <row r="33" spans="2:3" ht="20.7" customHeight="1">
      <c r="B33" s="39" t="s">
        <v>219</v>
      </c>
      <c r="C33" s="85">
        <f>K23</f>
        <v>0</v>
      </c>
    </row>
    <row r="34" spans="2:3" ht="20.7" customHeight="1">
      <c r="B34" s="39" t="s">
        <v>220</v>
      </c>
      <c r="C34" s="85">
        <f>J23</f>
        <v>0</v>
      </c>
    </row>
  </sheetData>
  <sheetProtection formatCells="0" formatColumns="0" formatRows="0" insertColumns="0" insertRows="0" deleteRows="0" autoFilter="0"/>
  <mergeCells count="3">
    <mergeCell ref="B4:J4"/>
    <mergeCell ref="B3:J3"/>
    <mergeCell ref="B28:L28"/>
  </mergeCells>
  <phoneticPr fontId="7" type="noConversion"/>
  <printOptions horizontalCentered="1"/>
  <pageMargins left="0.7" right="0.7" top="0.75" bottom="0.75" header="0.3" footer="0.3"/>
  <pageSetup scale="5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Y167"/>
  <sheetViews>
    <sheetView showGridLines="0" zoomScale="120" zoomScaleNormal="120" zoomScaleSheetLayoutView="100" zoomScalePageLayoutView="90" workbookViewId="0">
      <selection activeCell="Q7" sqref="Q7"/>
    </sheetView>
  </sheetViews>
  <sheetFormatPr defaultColWidth="10.796875" defaultRowHeight="20.7" customHeight="1"/>
  <cols>
    <col min="1" max="1" width="14.69921875" style="41" customWidth="1"/>
    <col min="2" max="2" width="15.5" style="41" customWidth="1"/>
    <col min="3" max="3" width="19.69921875" style="41" customWidth="1"/>
    <col min="4" max="4" width="22.796875" style="41" customWidth="1"/>
    <col min="5" max="5" width="19.69921875" style="41" customWidth="1"/>
    <col min="6" max="6" width="2.796875" style="41" customWidth="1"/>
    <col min="7" max="9" width="16.296875" style="41" customWidth="1"/>
    <col min="10" max="10" width="2.69921875" style="41" customWidth="1"/>
    <col min="11" max="12" width="18.69921875" style="41" customWidth="1"/>
    <col min="13" max="13" width="3.19921875" style="41" customWidth="1"/>
    <col min="14" max="14" width="18.796875" style="41" customWidth="1"/>
    <col min="15" max="15" width="14.19921875" style="41" customWidth="1"/>
    <col min="16" max="16" width="3" style="41" customWidth="1"/>
    <col min="17" max="17" width="40.69921875" style="41" bestFit="1" customWidth="1"/>
    <col min="18" max="18" width="18" style="41" customWidth="1"/>
    <col min="19" max="20" width="3" style="41" customWidth="1"/>
    <col min="21" max="21" width="34.5" style="41" customWidth="1"/>
    <col min="22" max="22" width="18" style="41" customWidth="1"/>
    <col min="23" max="24" width="10.796875" style="41"/>
    <col min="25" max="25" width="13.296875" style="41" customWidth="1"/>
    <col min="26" max="16384" width="10.796875" style="41"/>
  </cols>
  <sheetData>
    <row r="2" spans="2:22" ht="20.7" customHeight="1">
      <c r="B2" s="640" t="str">
        <f>Datos!C6</f>
        <v>NOMBRE EN MAYUSCULAS</v>
      </c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102"/>
    </row>
    <row r="3" spans="2:22" ht="20.7" customHeight="1">
      <c r="B3" s="657" t="s">
        <v>221</v>
      </c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102"/>
    </row>
    <row r="4" spans="2:22" ht="20.7" customHeight="1">
      <c r="B4" s="653" t="s">
        <v>222</v>
      </c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102"/>
    </row>
    <row r="5" spans="2:22" ht="20.7" customHeight="1"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</row>
    <row r="6" spans="2:22" ht="20.7" customHeight="1">
      <c r="C6" s="658" t="s">
        <v>223</v>
      </c>
      <c r="D6" s="658"/>
      <c r="E6" s="658"/>
      <c r="F6" s="95"/>
      <c r="G6" s="658" t="s">
        <v>224</v>
      </c>
      <c r="H6" s="658"/>
      <c r="I6" s="658"/>
      <c r="J6" s="95"/>
      <c r="K6" s="658" t="s">
        <v>225</v>
      </c>
      <c r="L6" s="658"/>
      <c r="M6" s="95"/>
      <c r="N6" s="95" t="s">
        <v>226</v>
      </c>
      <c r="Q6" s="658" t="s">
        <v>801</v>
      </c>
      <c r="R6" s="658"/>
      <c r="S6" s="658"/>
      <c r="T6" s="658"/>
      <c r="U6" s="658"/>
      <c r="V6" s="658"/>
    </row>
    <row r="7" spans="2:22" ht="20.7" customHeight="1">
      <c r="B7" s="43" t="s">
        <v>192</v>
      </c>
      <c r="C7" s="95" t="s">
        <v>227</v>
      </c>
      <c r="D7" s="95" t="s">
        <v>228</v>
      </c>
      <c r="E7" s="95" t="s">
        <v>213</v>
      </c>
      <c r="F7" s="95"/>
      <c r="G7" s="95" t="s">
        <v>227</v>
      </c>
      <c r="H7" s="95" t="s">
        <v>228</v>
      </c>
      <c r="I7" s="95" t="s">
        <v>213</v>
      </c>
      <c r="J7" s="95"/>
      <c r="K7" s="95" t="s">
        <v>228</v>
      </c>
      <c r="L7" s="95" t="s">
        <v>229</v>
      </c>
      <c r="M7" s="95"/>
      <c r="P7" s="158"/>
      <c r="Q7" s="158"/>
      <c r="R7" s="158"/>
      <c r="S7" s="158"/>
      <c r="T7" s="158"/>
      <c r="U7" s="158"/>
      <c r="V7" s="158"/>
    </row>
    <row r="8" spans="2:22" ht="20.7" customHeight="1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P8" s="614" t="s">
        <v>230</v>
      </c>
      <c r="R8" s="97"/>
      <c r="T8" s="43" t="s">
        <v>231</v>
      </c>
      <c r="V8" s="139"/>
    </row>
    <row r="9" spans="2:22" ht="20.7" customHeight="1">
      <c r="B9" s="307" t="s">
        <v>232</v>
      </c>
      <c r="C9" s="308">
        <f>+D38</f>
        <v>0</v>
      </c>
      <c r="D9" s="308">
        <f>+E38</f>
        <v>0</v>
      </c>
      <c r="E9" s="308">
        <f>+C9+D9</f>
        <v>0</v>
      </c>
      <c r="F9" s="83"/>
      <c r="G9" s="308">
        <f>+K38</f>
        <v>0</v>
      </c>
      <c r="H9" s="308">
        <f>+L38</f>
        <v>0</v>
      </c>
      <c r="I9" s="308">
        <f>+G9+H9</f>
        <v>0</v>
      </c>
      <c r="J9" s="83"/>
      <c r="K9" s="571"/>
      <c r="L9" s="570"/>
      <c r="M9" s="104"/>
      <c r="N9" s="571"/>
      <c r="Q9" s="52" t="s">
        <v>233</v>
      </c>
      <c r="R9" s="572"/>
      <c r="U9" s="41" t="s">
        <v>234</v>
      </c>
      <c r="V9" s="572"/>
    </row>
    <row r="10" spans="2:22" ht="20.7" customHeight="1">
      <c r="B10" s="307" t="s">
        <v>235</v>
      </c>
      <c r="C10" s="308">
        <f>+D46</f>
        <v>0</v>
      </c>
      <c r="D10" s="308">
        <f>+E46</f>
        <v>0</v>
      </c>
      <c r="E10" s="308">
        <f t="shared" ref="E10:E20" si="0">+C10+D10</f>
        <v>0</v>
      </c>
      <c r="F10" s="83"/>
      <c r="G10" s="308">
        <f>+K46</f>
        <v>0</v>
      </c>
      <c r="H10" s="308">
        <f>+L46</f>
        <v>0</v>
      </c>
      <c r="I10" s="308">
        <f t="shared" ref="I10:I20" si="1">+G10+H10</f>
        <v>0</v>
      </c>
      <c r="J10" s="83"/>
      <c r="K10" s="571"/>
      <c r="L10" s="570"/>
      <c r="M10" s="83"/>
      <c r="N10" s="571"/>
      <c r="Q10" s="52" t="s">
        <v>236</v>
      </c>
      <c r="R10" s="572"/>
      <c r="U10" s="41" t="s">
        <v>237</v>
      </c>
      <c r="V10" s="572"/>
    </row>
    <row r="11" spans="2:22" ht="20.7" customHeight="1">
      <c r="B11" s="307" t="s">
        <v>238</v>
      </c>
      <c r="C11" s="308">
        <f>+D54</f>
        <v>0</v>
      </c>
      <c r="D11" s="308">
        <f>+E54</f>
        <v>0</v>
      </c>
      <c r="E11" s="308">
        <f t="shared" si="0"/>
        <v>0</v>
      </c>
      <c r="F11" s="83"/>
      <c r="G11" s="308">
        <f>+K54</f>
        <v>0</v>
      </c>
      <c r="H11" s="308">
        <f>+L54</f>
        <v>0</v>
      </c>
      <c r="I11" s="308">
        <f t="shared" si="1"/>
        <v>0</v>
      </c>
      <c r="J11" s="83"/>
      <c r="K11" s="571"/>
      <c r="L11" s="570"/>
      <c r="M11" s="83"/>
      <c r="N11" s="571"/>
      <c r="Q11" s="52" t="s">
        <v>239</v>
      </c>
      <c r="R11" s="572"/>
      <c r="U11" s="41" t="s">
        <v>240</v>
      </c>
      <c r="V11" s="573"/>
    </row>
    <row r="12" spans="2:22" ht="20.7" customHeight="1">
      <c r="B12" s="307" t="s">
        <v>241</v>
      </c>
      <c r="C12" s="308">
        <f>+D62</f>
        <v>0</v>
      </c>
      <c r="D12" s="308">
        <f>+E62</f>
        <v>0</v>
      </c>
      <c r="E12" s="308">
        <f t="shared" si="0"/>
        <v>0</v>
      </c>
      <c r="F12" s="83"/>
      <c r="G12" s="308">
        <f>+K62</f>
        <v>0</v>
      </c>
      <c r="H12" s="308">
        <f>+L62</f>
        <v>0</v>
      </c>
      <c r="I12" s="308">
        <f t="shared" si="1"/>
        <v>0</v>
      </c>
      <c r="J12" s="83"/>
      <c r="K12" s="571"/>
      <c r="L12" s="570"/>
      <c r="M12" s="83"/>
      <c r="N12" s="571"/>
      <c r="Q12" s="52" t="s">
        <v>242</v>
      </c>
      <c r="R12" s="572"/>
      <c r="T12" s="329" t="s">
        <v>243</v>
      </c>
      <c r="U12" s="330"/>
      <c r="V12" s="331">
        <f>+SUM(V9:V11)</f>
        <v>0</v>
      </c>
    </row>
    <row r="13" spans="2:22" ht="20.7" customHeight="1">
      <c r="B13" s="307" t="s">
        <v>244</v>
      </c>
      <c r="C13" s="308">
        <f>+D70</f>
        <v>0</v>
      </c>
      <c r="D13" s="308">
        <f>+E70</f>
        <v>0</v>
      </c>
      <c r="E13" s="308">
        <f t="shared" si="0"/>
        <v>0</v>
      </c>
      <c r="F13" s="83"/>
      <c r="G13" s="308">
        <f>+K70</f>
        <v>0</v>
      </c>
      <c r="H13" s="308">
        <f>+L70</f>
        <v>0</v>
      </c>
      <c r="I13" s="308">
        <f t="shared" si="1"/>
        <v>0</v>
      </c>
      <c r="J13" s="83"/>
      <c r="K13" s="571"/>
      <c r="L13" s="570"/>
      <c r="M13" s="83"/>
      <c r="N13" s="571"/>
      <c r="Q13" s="52" t="s">
        <v>245</v>
      </c>
      <c r="R13" s="572"/>
      <c r="V13" s="97"/>
    </row>
    <row r="14" spans="2:22" ht="20.7" customHeight="1">
      <c r="B14" s="307" t="s">
        <v>246</v>
      </c>
      <c r="C14" s="308">
        <f>+D78</f>
        <v>0</v>
      </c>
      <c r="D14" s="308">
        <f>+E78</f>
        <v>0</v>
      </c>
      <c r="E14" s="308">
        <f t="shared" si="0"/>
        <v>0</v>
      </c>
      <c r="F14" s="83"/>
      <c r="G14" s="308">
        <f>+K78</f>
        <v>0</v>
      </c>
      <c r="H14" s="308">
        <f>+L78</f>
        <v>0</v>
      </c>
      <c r="I14" s="308">
        <f t="shared" si="1"/>
        <v>0</v>
      </c>
      <c r="J14" s="83"/>
      <c r="K14" s="571"/>
      <c r="L14" s="570"/>
      <c r="M14" s="83"/>
      <c r="N14" s="571"/>
      <c r="Q14" s="52" t="s">
        <v>247</v>
      </c>
      <c r="R14" s="572"/>
      <c r="T14" s="43" t="s">
        <v>248</v>
      </c>
      <c r="V14" s="139"/>
    </row>
    <row r="15" spans="2:22" ht="20.7" customHeight="1">
      <c r="B15" s="307" t="s">
        <v>249</v>
      </c>
      <c r="C15" s="308">
        <f>+D90</f>
        <v>0</v>
      </c>
      <c r="D15" s="308">
        <f>+E90</f>
        <v>0</v>
      </c>
      <c r="E15" s="308">
        <f t="shared" si="0"/>
        <v>0</v>
      </c>
      <c r="F15" s="83"/>
      <c r="G15" s="308">
        <f>+K90</f>
        <v>0</v>
      </c>
      <c r="H15" s="308">
        <f>+L90</f>
        <v>0</v>
      </c>
      <c r="I15" s="308">
        <f t="shared" si="1"/>
        <v>0</v>
      </c>
      <c r="J15" s="83"/>
      <c r="K15" s="571"/>
      <c r="L15" s="570"/>
      <c r="M15" s="83"/>
      <c r="N15" s="571"/>
      <c r="Q15" s="52" t="s">
        <v>250</v>
      </c>
      <c r="R15" s="572"/>
      <c r="U15" s="41" t="s">
        <v>251</v>
      </c>
      <c r="V15" s="572"/>
    </row>
    <row r="16" spans="2:22" ht="20.7" customHeight="1">
      <c r="B16" s="307" t="s">
        <v>252</v>
      </c>
      <c r="C16" s="308">
        <f>+D98</f>
        <v>0</v>
      </c>
      <c r="D16" s="308">
        <f>+E98</f>
        <v>0</v>
      </c>
      <c r="E16" s="308">
        <f t="shared" si="0"/>
        <v>0</v>
      </c>
      <c r="F16" s="83"/>
      <c r="G16" s="308">
        <f>+K98</f>
        <v>0</v>
      </c>
      <c r="H16" s="308">
        <f>+L98</f>
        <v>0</v>
      </c>
      <c r="I16" s="308">
        <f t="shared" si="1"/>
        <v>0</v>
      </c>
      <c r="J16" s="83"/>
      <c r="K16" s="571"/>
      <c r="L16" s="570"/>
      <c r="M16" s="83"/>
      <c r="N16" s="571"/>
      <c r="Q16" s="52" t="s">
        <v>253</v>
      </c>
      <c r="R16" s="572"/>
      <c r="U16" s="41" t="s">
        <v>254</v>
      </c>
      <c r="V16" s="572"/>
    </row>
    <row r="17" spans="2:25" ht="20.7" customHeight="1">
      <c r="B17" s="307" t="s">
        <v>255</v>
      </c>
      <c r="C17" s="308">
        <f>+D106</f>
        <v>0</v>
      </c>
      <c r="D17" s="308">
        <f>+E106</f>
        <v>0</v>
      </c>
      <c r="E17" s="308">
        <f t="shared" si="0"/>
        <v>0</v>
      </c>
      <c r="F17" s="83"/>
      <c r="G17" s="308">
        <f>+K106</f>
        <v>0</v>
      </c>
      <c r="H17" s="308">
        <f>+L106</f>
        <v>0</v>
      </c>
      <c r="I17" s="308">
        <f t="shared" si="1"/>
        <v>0</v>
      </c>
      <c r="J17" s="83"/>
      <c r="K17" s="571"/>
      <c r="L17" s="570"/>
      <c r="M17" s="83"/>
      <c r="N17" s="571"/>
      <c r="Q17" s="52" t="s">
        <v>256</v>
      </c>
      <c r="R17" s="572"/>
      <c r="U17" s="41" t="s">
        <v>257</v>
      </c>
      <c r="V17" s="572"/>
    </row>
    <row r="18" spans="2:25" ht="20.7" customHeight="1">
      <c r="B18" s="307" t="s">
        <v>258</v>
      </c>
      <c r="C18" s="308">
        <f>+D114</f>
        <v>0</v>
      </c>
      <c r="D18" s="308">
        <f>+E114</f>
        <v>0</v>
      </c>
      <c r="E18" s="308">
        <f t="shared" si="0"/>
        <v>0</v>
      </c>
      <c r="F18" s="83"/>
      <c r="G18" s="308">
        <f>+K114</f>
        <v>0</v>
      </c>
      <c r="H18" s="308">
        <f>+L114</f>
        <v>0</v>
      </c>
      <c r="I18" s="308">
        <f t="shared" si="1"/>
        <v>0</v>
      </c>
      <c r="J18" s="83"/>
      <c r="K18" s="571"/>
      <c r="L18" s="570"/>
      <c r="M18" s="83"/>
      <c r="N18" s="571"/>
      <c r="Q18" s="52" t="s">
        <v>259</v>
      </c>
      <c r="R18" s="572"/>
      <c r="U18" s="41" t="s">
        <v>260</v>
      </c>
      <c r="V18" s="572"/>
    </row>
    <row r="19" spans="2:25" ht="20.7" customHeight="1">
      <c r="B19" s="307" t="s">
        <v>261</v>
      </c>
      <c r="C19" s="308">
        <f>+D122</f>
        <v>0</v>
      </c>
      <c r="D19" s="308">
        <f>+E122</f>
        <v>0</v>
      </c>
      <c r="E19" s="308">
        <f t="shared" si="0"/>
        <v>0</v>
      </c>
      <c r="F19" s="83"/>
      <c r="G19" s="308">
        <f>+K122</f>
        <v>0</v>
      </c>
      <c r="H19" s="308">
        <f>+L122</f>
        <v>0</v>
      </c>
      <c r="I19" s="308">
        <f t="shared" si="1"/>
        <v>0</v>
      </c>
      <c r="J19" s="83"/>
      <c r="K19" s="571"/>
      <c r="L19" s="570"/>
      <c r="M19" s="83"/>
      <c r="N19" s="571"/>
      <c r="Q19" s="52" t="s">
        <v>262</v>
      </c>
      <c r="R19" s="572"/>
      <c r="U19" s="41" t="s">
        <v>263</v>
      </c>
      <c r="V19" s="572"/>
    </row>
    <row r="20" spans="2:25" ht="20.7" customHeight="1">
      <c r="B20" s="307" t="s">
        <v>264</v>
      </c>
      <c r="C20" s="308">
        <f>+D130</f>
        <v>0</v>
      </c>
      <c r="D20" s="308">
        <f>+E130</f>
        <v>0</v>
      </c>
      <c r="E20" s="308">
        <f t="shared" si="0"/>
        <v>0</v>
      </c>
      <c r="F20" s="83"/>
      <c r="G20" s="308">
        <f>+K130</f>
        <v>0</v>
      </c>
      <c r="H20" s="308">
        <f>+L130</f>
        <v>0</v>
      </c>
      <c r="I20" s="308">
        <f t="shared" si="1"/>
        <v>0</v>
      </c>
      <c r="J20" s="83"/>
      <c r="K20" s="571"/>
      <c r="L20" s="570"/>
      <c r="M20" s="83"/>
      <c r="N20" s="571"/>
      <c r="Q20" s="52" t="s">
        <v>265</v>
      </c>
      <c r="R20" s="572"/>
      <c r="U20" s="41" t="s">
        <v>266</v>
      </c>
      <c r="V20" s="573"/>
    </row>
    <row r="21" spans="2:25" ht="20.7" customHeight="1">
      <c r="B21" s="316"/>
      <c r="C21" s="317">
        <f>+SUM(C9:C20)</f>
        <v>0</v>
      </c>
      <c r="D21" s="317">
        <f>+SUM(D9:D20)</f>
        <v>0</v>
      </c>
      <c r="E21" s="317">
        <f>+SUM(E9:E20)</f>
        <v>0</v>
      </c>
      <c r="F21" s="83"/>
      <c r="G21" s="317">
        <f>+SUM(G9:G20)</f>
        <v>0</v>
      </c>
      <c r="H21" s="317">
        <f>+SUM(H9:H20)</f>
        <v>0</v>
      </c>
      <c r="I21" s="317">
        <f>+SUM(I9:I20)</f>
        <v>0</v>
      </c>
      <c r="J21" s="83"/>
      <c r="K21" s="317">
        <f>+SUM(K9:K20)</f>
        <v>0</v>
      </c>
      <c r="L21" s="317">
        <f>+SUM(L9:L20)</f>
        <v>0</v>
      </c>
      <c r="M21" s="83"/>
      <c r="N21" s="332">
        <f>SUM(N9:N20)</f>
        <v>0</v>
      </c>
      <c r="Q21" s="52" t="s">
        <v>267</v>
      </c>
      <c r="R21" s="572"/>
      <c r="T21" s="329" t="s">
        <v>268</v>
      </c>
      <c r="U21" s="330"/>
      <c r="V21" s="331">
        <f>+SUM(V15:V20)</f>
        <v>0</v>
      </c>
    </row>
    <row r="22" spans="2:25" ht="20.7" customHeight="1">
      <c r="Q22" s="52" t="s">
        <v>269</v>
      </c>
      <c r="R22" s="572"/>
      <c r="V22" s="97"/>
      <c r="X22" s="327" t="s">
        <v>270</v>
      </c>
      <c r="Y22" s="328">
        <f>+R26-V26</f>
        <v>0</v>
      </c>
    </row>
    <row r="23" spans="2:25" ht="20.7" customHeight="1">
      <c r="B23" s="121" t="s">
        <v>271</v>
      </c>
      <c r="C23" s="122">
        <f>IF(C21-G21&gt;0,C21-G21,0)</f>
        <v>0</v>
      </c>
      <c r="Q23" s="52" t="s">
        <v>272</v>
      </c>
      <c r="R23" s="572"/>
      <c r="V23" s="97"/>
    </row>
    <row r="24" spans="2:25" ht="20.7" customHeight="1">
      <c r="Q24" s="52" t="s">
        <v>273</v>
      </c>
      <c r="R24" s="572"/>
      <c r="V24" s="97"/>
    </row>
    <row r="25" spans="2:25" ht="20.7" customHeight="1">
      <c r="R25" s="97"/>
      <c r="V25" s="97"/>
    </row>
    <row r="26" spans="2:25" ht="20.7" customHeight="1">
      <c r="B26" s="43" t="s">
        <v>214</v>
      </c>
      <c r="P26" s="329" t="s">
        <v>274</v>
      </c>
      <c r="Q26" s="330"/>
      <c r="R26" s="331">
        <f>+SUM(R9:R24)</f>
        <v>0</v>
      </c>
      <c r="T26" s="329" t="s">
        <v>275</v>
      </c>
      <c r="U26" s="330"/>
      <c r="V26" s="331">
        <f>+V12+V21</f>
        <v>0</v>
      </c>
    </row>
    <row r="28" spans="2:25" ht="20.7" customHeight="1">
      <c r="P28" s="95"/>
    </row>
    <row r="29" spans="2:25" ht="20.7" customHeight="1">
      <c r="C29" s="661" t="s">
        <v>276</v>
      </c>
      <c r="D29" s="661"/>
      <c r="E29" s="661"/>
      <c r="F29" s="661"/>
      <c r="G29" s="661"/>
      <c r="I29" s="661" t="s">
        <v>277</v>
      </c>
      <c r="J29" s="661"/>
      <c r="K29" s="661"/>
      <c r="L29" s="661"/>
      <c r="M29" s="661"/>
      <c r="N29" s="661"/>
      <c r="O29" s="95"/>
    </row>
    <row r="30" spans="2:25" ht="20.7" customHeight="1">
      <c r="P30" s="43"/>
    </row>
    <row r="31" spans="2:25" ht="20.7" customHeight="1">
      <c r="C31" s="95" t="s">
        <v>278</v>
      </c>
      <c r="D31" s="95" t="s">
        <v>279</v>
      </c>
      <c r="E31" s="95" t="s">
        <v>280</v>
      </c>
      <c r="F31" s="95"/>
      <c r="G31" s="95" t="s">
        <v>213</v>
      </c>
      <c r="H31" s="15"/>
      <c r="I31" s="95" t="s">
        <v>278</v>
      </c>
      <c r="J31" s="95"/>
      <c r="K31" s="95" t="s">
        <v>279</v>
      </c>
      <c r="L31" s="95" t="s">
        <v>280</v>
      </c>
      <c r="M31" s="95"/>
      <c r="N31" s="95" t="s">
        <v>213</v>
      </c>
      <c r="O31" s="43"/>
      <c r="P31" s="43"/>
    </row>
    <row r="32" spans="2:25" ht="20.7" customHeight="1">
      <c r="C32" s="43"/>
      <c r="D32" s="43"/>
      <c r="E32" s="43"/>
      <c r="F32" s="43"/>
      <c r="G32" s="43"/>
      <c r="I32" s="43"/>
      <c r="J32" s="43"/>
      <c r="K32" s="43"/>
      <c r="L32" s="43"/>
      <c r="M32" s="43"/>
      <c r="N32" s="43"/>
      <c r="O32" s="43"/>
    </row>
    <row r="33" spans="3:16" ht="20.7" customHeight="1">
      <c r="C33" s="43" t="s">
        <v>232</v>
      </c>
      <c r="I33" s="43" t="s">
        <v>232</v>
      </c>
      <c r="J33" s="43"/>
      <c r="P33" s="81"/>
    </row>
    <row r="34" spans="3:16" ht="20.7" customHeight="1">
      <c r="D34" s="574"/>
      <c r="E34" s="325">
        <f>+D34*0.16</f>
        <v>0</v>
      </c>
      <c r="F34" s="325"/>
      <c r="G34" s="325">
        <f>+D34+E34</f>
        <v>0</v>
      </c>
      <c r="K34" s="574"/>
      <c r="L34" s="325">
        <f>+K34*0.16</f>
        <v>0</v>
      </c>
      <c r="M34" s="325"/>
      <c r="N34" s="325">
        <f>+K34+L34</f>
        <v>0</v>
      </c>
      <c r="O34" s="81"/>
      <c r="P34" s="81"/>
    </row>
    <row r="35" spans="3:16" ht="20.7" customHeight="1">
      <c r="D35" s="575"/>
      <c r="E35" s="325">
        <f>+D35*0.16</f>
        <v>0</v>
      </c>
      <c r="F35" s="325"/>
      <c r="G35" s="325">
        <f>+D35+E35</f>
        <v>0</v>
      </c>
      <c r="K35" s="575"/>
      <c r="L35" s="325">
        <f>+K35*0.16</f>
        <v>0</v>
      </c>
      <c r="M35" s="325"/>
      <c r="N35" s="325">
        <f>+K35+L35</f>
        <v>0</v>
      </c>
      <c r="O35" s="81"/>
      <c r="P35" s="81"/>
    </row>
    <row r="36" spans="3:16" ht="20.7" customHeight="1">
      <c r="D36" s="575"/>
      <c r="E36" s="325">
        <f>+D36*0.16</f>
        <v>0</v>
      </c>
      <c r="F36" s="325"/>
      <c r="G36" s="325">
        <f>+D36+E36</f>
        <v>0</v>
      </c>
      <c r="K36" s="575"/>
      <c r="L36" s="325">
        <f>+K36*0.16</f>
        <v>0</v>
      </c>
      <c r="M36" s="325"/>
      <c r="N36" s="325">
        <f>+K36+L36</f>
        <v>0</v>
      </c>
      <c r="O36" s="81"/>
      <c r="P36" s="81"/>
    </row>
    <row r="37" spans="3:16" ht="20.7" customHeight="1">
      <c r="D37" s="575"/>
      <c r="E37" s="325">
        <f>+D37*0.16</f>
        <v>0</v>
      </c>
      <c r="F37" s="325"/>
      <c r="G37" s="325">
        <f>+D37+E37</f>
        <v>0</v>
      </c>
      <c r="K37" s="575"/>
      <c r="L37" s="325">
        <f>+K37*0.16</f>
        <v>0</v>
      </c>
      <c r="M37" s="325"/>
      <c r="N37" s="325">
        <f>+K37+L37</f>
        <v>0</v>
      </c>
      <c r="O37" s="81"/>
      <c r="P37" s="81"/>
    </row>
    <row r="38" spans="3:16" ht="20.7" customHeight="1">
      <c r="D38" s="333">
        <f>+SUM(D34:D37)</f>
        <v>0</v>
      </c>
      <c r="E38" s="333">
        <f>+SUM(E34:E37)</f>
        <v>0</v>
      </c>
      <c r="F38" s="333"/>
      <c r="G38" s="333">
        <f>+SUM(G34:G37)</f>
        <v>0</v>
      </c>
      <c r="K38" s="333">
        <f>+SUM(K34:K37)</f>
        <v>0</v>
      </c>
      <c r="L38" s="333">
        <f>+SUM(L34:L37)</f>
        <v>0</v>
      </c>
      <c r="M38" s="333"/>
      <c r="N38" s="333">
        <f>+SUM(N34:N37)</f>
        <v>0</v>
      </c>
      <c r="O38" s="81"/>
    </row>
    <row r="41" spans="3:16" ht="20.7" customHeight="1">
      <c r="C41" s="43" t="s">
        <v>235</v>
      </c>
      <c r="I41" s="43" t="s">
        <v>235</v>
      </c>
      <c r="J41" s="43"/>
      <c r="P41" s="81"/>
    </row>
    <row r="42" spans="3:16" ht="20.7" customHeight="1">
      <c r="D42" s="574"/>
      <c r="E42" s="325">
        <f>+D42*0.16</f>
        <v>0</v>
      </c>
      <c r="F42" s="325"/>
      <c r="G42" s="325">
        <f>+D42+E42</f>
        <v>0</v>
      </c>
      <c r="K42" s="574"/>
      <c r="L42" s="325">
        <f>+K42*0.16</f>
        <v>0</v>
      </c>
      <c r="M42" s="325"/>
      <c r="N42" s="325">
        <f>+K42+L42</f>
        <v>0</v>
      </c>
      <c r="O42" s="81"/>
      <c r="P42" s="81"/>
    </row>
    <row r="43" spans="3:16" ht="20.7" customHeight="1">
      <c r="D43" s="575"/>
      <c r="E43" s="325">
        <f>+D43*0.16</f>
        <v>0</v>
      </c>
      <c r="F43" s="325"/>
      <c r="G43" s="325">
        <f>+D43+E43</f>
        <v>0</v>
      </c>
      <c r="K43" s="575"/>
      <c r="L43" s="325">
        <f>+K43*0.16</f>
        <v>0</v>
      </c>
      <c r="M43" s="325"/>
      <c r="N43" s="325">
        <f>+K43+L43</f>
        <v>0</v>
      </c>
      <c r="O43" s="81"/>
      <c r="P43" s="81"/>
    </row>
    <row r="44" spans="3:16" ht="20.7" customHeight="1">
      <c r="D44" s="575"/>
      <c r="E44" s="325">
        <f>+D44*0.16</f>
        <v>0</v>
      </c>
      <c r="F44" s="325"/>
      <c r="G44" s="325">
        <f>+D44+E44</f>
        <v>0</v>
      </c>
      <c r="K44" s="575"/>
      <c r="L44" s="325">
        <f>+K44*0.16</f>
        <v>0</v>
      </c>
      <c r="M44" s="325"/>
      <c r="N44" s="325">
        <f>+K44+L44</f>
        <v>0</v>
      </c>
      <c r="O44" s="81"/>
      <c r="P44" s="81"/>
    </row>
    <row r="45" spans="3:16" ht="20.7" customHeight="1">
      <c r="D45" s="575"/>
      <c r="E45" s="325">
        <f>+D45*0.16</f>
        <v>0</v>
      </c>
      <c r="F45" s="325"/>
      <c r="G45" s="325">
        <f>+D45+E45</f>
        <v>0</v>
      </c>
      <c r="K45" s="575"/>
      <c r="L45" s="325">
        <f>+K45*0.16</f>
        <v>0</v>
      </c>
      <c r="M45" s="325"/>
      <c r="N45" s="325">
        <f>+K45+L45</f>
        <v>0</v>
      </c>
      <c r="O45" s="81"/>
      <c r="P45" s="81"/>
    </row>
    <row r="46" spans="3:16" ht="20.7" customHeight="1">
      <c r="D46" s="333">
        <f>+SUM(D42:D45)</f>
        <v>0</v>
      </c>
      <c r="E46" s="333">
        <f>+SUM(E42:E45)</f>
        <v>0</v>
      </c>
      <c r="F46" s="333"/>
      <c r="G46" s="333">
        <f>+SUM(G42:G45)</f>
        <v>0</v>
      </c>
      <c r="K46" s="333">
        <f>+SUM(K42:K45)</f>
        <v>0</v>
      </c>
      <c r="L46" s="333">
        <f>+SUM(L42:L45)</f>
        <v>0</v>
      </c>
      <c r="M46" s="333"/>
      <c r="N46" s="333">
        <f>+SUM(N42:N45)</f>
        <v>0</v>
      </c>
      <c r="O46" s="81"/>
    </row>
    <row r="49" spans="3:16" ht="20.7" customHeight="1">
      <c r="C49" s="43" t="s">
        <v>238</v>
      </c>
      <c r="I49" s="43" t="s">
        <v>238</v>
      </c>
      <c r="J49" s="43"/>
      <c r="P49" s="81"/>
    </row>
    <row r="50" spans="3:16" ht="20.7" customHeight="1">
      <c r="D50" s="574"/>
      <c r="E50" s="325">
        <f>+D50*0.16</f>
        <v>0</v>
      </c>
      <c r="F50" s="325"/>
      <c r="G50" s="325">
        <f>+D50+E50</f>
        <v>0</v>
      </c>
      <c r="K50" s="574"/>
      <c r="L50" s="325">
        <f>+K50*0.16</f>
        <v>0</v>
      </c>
      <c r="M50" s="325"/>
      <c r="N50" s="325">
        <f>+K50+L50</f>
        <v>0</v>
      </c>
      <c r="O50" s="81"/>
      <c r="P50" s="81"/>
    </row>
    <row r="51" spans="3:16" ht="20.7" customHeight="1">
      <c r="D51" s="575"/>
      <c r="E51" s="325">
        <f>+D51*0.16</f>
        <v>0</v>
      </c>
      <c r="F51" s="325"/>
      <c r="G51" s="325">
        <f>+D51+E51</f>
        <v>0</v>
      </c>
      <c r="K51" s="575"/>
      <c r="L51" s="325">
        <f>+K51*0.16</f>
        <v>0</v>
      </c>
      <c r="M51" s="325"/>
      <c r="N51" s="325">
        <f>+K51+L51</f>
        <v>0</v>
      </c>
      <c r="O51" s="81"/>
      <c r="P51" s="81"/>
    </row>
    <row r="52" spans="3:16" ht="20.7" customHeight="1">
      <c r="D52" s="575"/>
      <c r="E52" s="325">
        <f>+D52*0.16</f>
        <v>0</v>
      </c>
      <c r="F52" s="325"/>
      <c r="G52" s="325">
        <f>+D52+E52</f>
        <v>0</v>
      </c>
      <c r="K52" s="575"/>
      <c r="L52" s="325">
        <f>+K52*0.16</f>
        <v>0</v>
      </c>
      <c r="M52" s="325"/>
      <c r="N52" s="325">
        <f>+K52+L52</f>
        <v>0</v>
      </c>
      <c r="O52" s="81"/>
      <c r="P52" s="81"/>
    </row>
    <row r="53" spans="3:16" ht="20.7" customHeight="1">
      <c r="D53" s="575"/>
      <c r="E53" s="325">
        <f>+D53*0.16</f>
        <v>0</v>
      </c>
      <c r="F53" s="325"/>
      <c r="G53" s="325">
        <f>+D53+E53</f>
        <v>0</v>
      </c>
      <c r="K53" s="575"/>
      <c r="L53" s="325">
        <f>+K53*0.16</f>
        <v>0</v>
      </c>
      <c r="M53" s="325"/>
      <c r="N53" s="325">
        <f>+K53+L53</f>
        <v>0</v>
      </c>
      <c r="O53" s="81"/>
      <c r="P53" s="81"/>
    </row>
    <row r="54" spans="3:16" ht="20.7" customHeight="1">
      <c r="D54" s="333">
        <f>+SUM(D50:D53)</f>
        <v>0</v>
      </c>
      <c r="E54" s="333">
        <f>+SUM(E50:E53)</f>
        <v>0</v>
      </c>
      <c r="F54" s="333"/>
      <c r="G54" s="333">
        <f>+SUM(G50:G53)</f>
        <v>0</v>
      </c>
      <c r="K54" s="333">
        <f>+SUM(K50:K53)</f>
        <v>0</v>
      </c>
      <c r="L54" s="333">
        <f>+SUM(L50:L53)</f>
        <v>0</v>
      </c>
      <c r="M54" s="333"/>
      <c r="N54" s="333">
        <f>+SUM(N50:N53)</f>
        <v>0</v>
      </c>
      <c r="O54" s="81"/>
    </row>
    <row r="57" spans="3:16" ht="20.7" customHeight="1">
      <c r="C57" s="43" t="s">
        <v>241</v>
      </c>
      <c r="D57" s="98"/>
      <c r="I57" s="43" t="s">
        <v>241</v>
      </c>
      <c r="J57" s="43"/>
      <c r="K57" s="98"/>
      <c r="P57" s="81"/>
    </row>
    <row r="58" spans="3:16" ht="20.7" customHeight="1">
      <c r="D58" s="574"/>
      <c r="E58" s="325">
        <f>+D58*0.16</f>
        <v>0</v>
      </c>
      <c r="F58" s="325"/>
      <c r="G58" s="325">
        <f>+D58+E58</f>
        <v>0</v>
      </c>
      <c r="K58" s="576"/>
      <c r="L58" s="85">
        <f>+K58*0.16</f>
        <v>0</v>
      </c>
      <c r="M58" s="85"/>
      <c r="N58" s="85">
        <f>+K58+L58</f>
        <v>0</v>
      </c>
      <c r="O58" s="81"/>
      <c r="P58" s="81"/>
    </row>
    <row r="59" spans="3:16" ht="20.7" customHeight="1">
      <c r="D59" s="575"/>
      <c r="E59" s="325">
        <f>+D59*0.16</f>
        <v>0</v>
      </c>
      <c r="F59" s="325"/>
      <c r="G59" s="325">
        <f>+D59+E59</f>
        <v>0</v>
      </c>
      <c r="K59" s="577"/>
      <c r="L59" s="85">
        <f>+K59*0.16</f>
        <v>0</v>
      </c>
      <c r="M59" s="85"/>
      <c r="N59" s="85">
        <f>+K59+L59</f>
        <v>0</v>
      </c>
      <c r="O59" s="81"/>
      <c r="P59" s="81"/>
    </row>
    <row r="60" spans="3:16" ht="20.7" customHeight="1">
      <c r="D60" s="575"/>
      <c r="E60" s="325">
        <f>+D60*0.16</f>
        <v>0</v>
      </c>
      <c r="F60" s="325"/>
      <c r="G60" s="325">
        <f>+D60+E60</f>
        <v>0</v>
      </c>
      <c r="K60" s="577"/>
      <c r="L60" s="85">
        <f>+K60*0.16</f>
        <v>0</v>
      </c>
      <c r="M60" s="85"/>
      <c r="N60" s="85">
        <f>+K60+L60</f>
        <v>0</v>
      </c>
      <c r="O60" s="81"/>
      <c r="P60" s="81"/>
    </row>
    <row r="61" spans="3:16" ht="20.7" customHeight="1">
      <c r="D61" s="575"/>
      <c r="E61" s="325">
        <f>+D61*0.16</f>
        <v>0</v>
      </c>
      <c r="F61" s="325"/>
      <c r="G61" s="325">
        <f>+D61+E61</f>
        <v>0</v>
      </c>
      <c r="K61" s="577"/>
      <c r="L61" s="85">
        <f>+K61*0.16</f>
        <v>0</v>
      </c>
      <c r="M61" s="85"/>
      <c r="N61" s="85">
        <f>+K61+L61</f>
        <v>0</v>
      </c>
      <c r="O61" s="81"/>
      <c r="P61" s="81"/>
    </row>
    <row r="62" spans="3:16" ht="20.7" customHeight="1">
      <c r="D62" s="333">
        <f>+SUM(D58:D61)</f>
        <v>0</v>
      </c>
      <c r="E62" s="333">
        <f>+SUM(E58:E61)</f>
        <v>0</v>
      </c>
      <c r="F62" s="333"/>
      <c r="G62" s="333">
        <f>+SUM(G58:G61)</f>
        <v>0</v>
      </c>
      <c r="K62" s="140">
        <f>+SUM(K58:K61)</f>
        <v>0</v>
      </c>
      <c r="L62" s="140">
        <f>+SUM(L58:L61)</f>
        <v>0</v>
      </c>
      <c r="M62" s="140"/>
      <c r="N62" s="140">
        <f>+SUM(N58:N61)</f>
        <v>0</v>
      </c>
      <c r="O62" s="81"/>
    </row>
    <row r="65" spans="3:16" ht="20.7" customHeight="1">
      <c r="C65" s="43" t="s">
        <v>244</v>
      </c>
      <c r="D65" s="98"/>
      <c r="I65" s="43" t="s">
        <v>244</v>
      </c>
      <c r="J65" s="43"/>
      <c r="K65" s="98"/>
      <c r="P65" s="81"/>
    </row>
    <row r="66" spans="3:16" ht="20.7" customHeight="1">
      <c r="D66" s="574"/>
      <c r="E66" s="325">
        <f>+D66*0.16</f>
        <v>0</v>
      </c>
      <c r="F66" s="325"/>
      <c r="G66" s="325">
        <f>+D66+E66</f>
        <v>0</v>
      </c>
      <c r="K66" s="574"/>
      <c r="L66" s="325">
        <f>+K66*0.16</f>
        <v>0</v>
      </c>
      <c r="M66" s="325"/>
      <c r="N66" s="325">
        <f>+K66+L66</f>
        <v>0</v>
      </c>
      <c r="O66" s="81"/>
      <c r="P66" s="81"/>
    </row>
    <row r="67" spans="3:16" ht="20.7" customHeight="1">
      <c r="D67" s="575"/>
      <c r="E67" s="325">
        <f>+D67*0.16</f>
        <v>0</v>
      </c>
      <c r="F67" s="325"/>
      <c r="G67" s="325">
        <f>+D67+E67</f>
        <v>0</v>
      </c>
      <c r="K67" s="575"/>
      <c r="L67" s="325">
        <f>+K67*0.16</f>
        <v>0</v>
      </c>
      <c r="M67" s="325"/>
      <c r="N67" s="325">
        <f>+K67+L67</f>
        <v>0</v>
      </c>
      <c r="O67" s="81"/>
      <c r="P67" s="81"/>
    </row>
    <row r="68" spans="3:16" ht="20.7" customHeight="1">
      <c r="D68" s="575"/>
      <c r="E68" s="325">
        <f>+D68*0.16</f>
        <v>0</v>
      </c>
      <c r="F68" s="325"/>
      <c r="G68" s="325">
        <f>+D68+E68</f>
        <v>0</v>
      </c>
      <c r="K68" s="575"/>
      <c r="L68" s="325">
        <f>+K68*0.16</f>
        <v>0</v>
      </c>
      <c r="M68" s="325"/>
      <c r="N68" s="325">
        <f>+K68+L68</f>
        <v>0</v>
      </c>
      <c r="O68" s="81"/>
      <c r="P68" s="81"/>
    </row>
    <row r="69" spans="3:16" ht="20.7" customHeight="1">
      <c r="D69" s="575"/>
      <c r="E69" s="325">
        <f>+D69*0.16</f>
        <v>0</v>
      </c>
      <c r="F69" s="325"/>
      <c r="G69" s="325">
        <f>+D69+E69</f>
        <v>0</v>
      </c>
      <c r="K69" s="575"/>
      <c r="L69" s="325">
        <f>+K69*0.16</f>
        <v>0</v>
      </c>
      <c r="M69" s="325"/>
      <c r="N69" s="325">
        <f>+K69+L69</f>
        <v>0</v>
      </c>
      <c r="O69" s="81"/>
      <c r="P69" s="81"/>
    </row>
    <row r="70" spans="3:16" ht="20.7" customHeight="1">
      <c r="D70" s="333">
        <f>+SUM(D66:D69)</f>
        <v>0</v>
      </c>
      <c r="E70" s="333">
        <f>+SUM(E66:E69)</f>
        <v>0</v>
      </c>
      <c r="F70" s="333"/>
      <c r="G70" s="333">
        <f>+SUM(G66:G69)</f>
        <v>0</v>
      </c>
      <c r="K70" s="333">
        <f>+SUM(K66:K69)</f>
        <v>0</v>
      </c>
      <c r="L70" s="333">
        <f>+SUM(L66:L69)</f>
        <v>0</v>
      </c>
      <c r="M70" s="333"/>
      <c r="N70" s="333">
        <f>+SUM(N66:N69)</f>
        <v>0</v>
      </c>
      <c r="O70" s="81"/>
    </row>
    <row r="73" spans="3:16" ht="20.7" customHeight="1">
      <c r="C73" s="43" t="s">
        <v>246</v>
      </c>
      <c r="D73" s="98"/>
      <c r="I73" s="43" t="s">
        <v>246</v>
      </c>
      <c r="J73" s="43"/>
      <c r="K73" s="98"/>
      <c r="P73" s="81"/>
    </row>
    <row r="74" spans="3:16" ht="20.7" customHeight="1">
      <c r="D74" s="574"/>
      <c r="E74" s="325">
        <f>+D74*0.16</f>
        <v>0</v>
      </c>
      <c r="F74" s="325"/>
      <c r="G74" s="325">
        <f>+D74+E74</f>
        <v>0</v>
      </c>
      <c r="K74" s="574"/>
      <c r="L74" s="325">
        <f>+K74*0.16</f>
        <v>0</v>
      </c>
      <c r="M74" s="325"/>
      <c r="N74" s="325">
        <f>+K74+L74</f>
        <v>0</v>
      </c>
      <c r="O74" s="81"/>
      <c r="P74" s="81"/>
    </row>
    <row r="75" spans="3:16" ht="20.7" customHeight="1">
      <c r="D75" s="575"/>
      <c r="E75" s="325">
        <f>+D75*0.16</f>
        <v>0</v>
      </c>
      <c r="F75" s="325"/>
      <c r="G75" s="325">
        <f>+D75+E75</f>
        <v>0</v>
      </c>
      <c r="K75" s="575"/>
      <c r="L75" s="325">
        <f>+K75*0.16</f>
        <v>0</v>
      </c>
      <c r="M75" s="325"/>
      <c r="N75" s="325">
        <f>+K75+L75</f>
        <v>0</v>
      </c>
      <c r="O75" s="81"/>
      <c r="P75" s="81"/>
    </row>
    <row r="76" spans="3:16" ht="20.7" customHeight="1">
      <c r="D76" s="575"/>
      <c r="E76" s="325">
        <f>+D76*0.16</f>
        <v>0</v>
      </c>
      <c r="F76" s="325"/>
      <c r="G76" s="325">
        <f>+D76+E76</f>
        <v>0</v>
      </c>
      <c r="K76" s="575"/>
      <c r="L76" s="325">
        <f>+K76*0.16</f>
        <v>0</v>
      </c>
      <c r="M76" s="325"/>
      <c r="N76" s="325">
        <f>+K76+L76</f>
        <v>0</v>
      </c>
      <c r="O76" s="81"/>
      <c r="P76" s="81"/>
    </row>
    <row r="77" spans="3:16" ht="20.7" customHeight="1">
      <c r="D77" s="575"/>
      <c r="E77" s="325">
        <f>+D77*0.16</f>
        <v>0</v>
      </c>
      <c r="F77" s="325"/>
      <c r="G77" s="325">
        <f>+D77+E77</f>
        <v>0</v>
      </c>
      <c r="K77" s="575"/>
      <c r="L77" s="325">
        <f>+K77*0.16</f>
        <v>0</v>
      </c>
      <c r="M77" s="325"/>
      <c r="N77" s="325">
        <f>+K77+L77</f>
        <v>0</v>
      </c>
      <c r="O77" s="81"/>
      <c r="P77" s="81"/>
    </row>
    <row r="78" spans="3:16" ht="20.7" customHeight="1">
      <c r="D78" s="333">
        <f>+SUM(D74:D77)</f>
        <v>0</v>
      </c>
      <c r="E78" s="333">
        <f>+SUM(E74:E77)</f>
        <v>0</v>
      </c>
      <c r="F78" s="333"/>
      <c r="G78" s="333">
        <f>+SUM(G74:G77)</f>
        <v>0</v>
      </c>
      <c r="K78" s="333">
        <f>+SUM(K74:K77)</f>
        <v>0</v>
      </c>
      <c r="L78" s="333">
        <f>+SUM(L74:L77)</f>
        <v>0</v>
      </c>
      <c r="M78" s="333"/>
      <c r="N78" s="333">
        <f>+SUM(N74:N77)</f>
        <v>0</v>
      </c>
      <c r="O78" s="81"/>
    </row>
    <row r="81" spans="3:16" ht="20.7" customHeight="1">
      <c r="C81" s="661" t="s">
        <v>276</v>
      </c>
      <c r="D81" s="661"/>
      <c r="E81" s="661"/>
      <c r="F81" s="661"/>
      <c r="G81" s="661"/>
      <c r="I81" s="661" t="s">
        <v>277</v>
      </c>
      <c r="J81" s="661"/>
      <c r="K81" s="661"/>
      <c r="L81" s="661"/>
      <c r="M81" s="661"/>
      <c r="N81" s="661"/>
    </row>
    <row r="83" spans="3:16" ht="20.7" customHeight="1">
      <c r="C83" s="95" t="s">
        <v>278</v>
      </c>
      <c r="D83" s="95" t="s">
        <v>279</v>
      </c>
      <c r="E83" s="95" t="s">
        <v>280</v>
      </c>
      <c r="F83" s="95"/>
      <c r="G83" s="95" t="s">
        <v>213</v>
      </c>
      <c r="H83" s="15"/>
      <c r="I83" s="95" t="s">
        <v>278</v>
      </c>
      <c r="J83" s="95"/>
      <c r="K83" s="95" t="s">
        <v>279</v>
      </c>
      <c r="L83" s="95" t="s">
        <v>280</v>
      </c>
      <c r="M83" s="95"/>
      <c r="N83" s="95" t="s">
        <v>213</v>
      </c>
    </row>
    <row r="85" spans="3:16" ht="20.7" customHeight="1">
      <c r="C85" s="43" t="s">
        <v>249</v>
      </c>
      <c r="D85" s="98"/>
      <c r="I85" s="43" t="s">
        <v>249</v>
      </c>
      <c r="J85" s="43"/>
      <c r="K85" s="98"/>
      <c r="P85" s="81"/>
    </row>
    <row r="86" spans="3:16" ht="20.7" customHeight="1">
      <c r="D86" s="574"/>
      <c r="E86" s="325">
        <f>+D86*0.16</f>
        <v>0</v>
      </c>
      <c r="F86" s="325"/>
      <c r="G86" s="325">
        <f>+D86+E86</f>
        <v>0</v>
      </c>
      <c r="K86" s="574"/>
      <c r="L86" s="325">
        <f>+K86*0.16</f>
        <v>0</v>
      </c>
      <c r="M86" s="325"/>
      <c r="N86" s="325">
        <f>+K86+L86</f>
        <v>0</v>
      </c>
      <c r="O86" s="81"/>
      <c r="P86" s="81"/>
    </row>
    <row r="87" spans="3:16" ht="20.7" customHeight="1">
      <c r="D87" s="575"/>
      <c r="E87" s="325">
        <f>+D87*0.16</f>
        <v>0</v>
      </c>
      <c r="F87" s="325"/>
      <c r="G87" s="325">
        <f>+D87+E87</f>
        <v>0</v>
      </c>
      <c r="K87" s="575"/>
      <c r="L87" s="325">
        <f>+K87*0.16</f>
        <v>0</v>
      </c>
      <c r="M87" s="325"/>
      <c r="N87" s="325">
        <f>+K87+L87</f>
        <v>0</v>
      </c>
      <c r="O87" s="81"/>
      <c r="P87" s="81"/>
    </row>
    <row r="88" spans="3:16" ht="20.7" customHeight="1">
      <c r="D88" s="575"/>
      <c r="E88" s="325">
        <f>+D88*0.16</f>
        <v>0</v>
      </c>
      <c r="F88" s="325"/>
      <c r="G88" s="325">
        <f>+D88+E88</f>
        <v>0</v>
      </c>
      <c r="K88" s="575"/>
      <c r="L88" s="325">
        <f>+K88*0.16</f>
        <v>0</v>
      </c>
      <c r="M88" s="325"/>
      <c r="N88" s="325">
        <f>+K88+L88</f>
        <v>0</v>
      </c>
      <c r="O88" s="81"/>
      <c r="P88" s="81"/>
    </row>
    <row r="89" spans="3:16" ht="20.7" customHeight="1">
      <c r="D89" s="575"/>
      <c r="E89" s="325">
        <f>+D89*0.16</f>
        <v>0</v>
      </c>
      <c r="F89" s="325"/>
      <c r="G89" s="325">
        <f>+D89+E89</f>
        <v>0</v>
      </c>
      <c r="K89" s="575"/>
      <c r="L89" s="325">
        <f>+K89*0.16</f>
        <v>0</v>
      </c>
      <c r="M89" s="325"/>
      <c r="N89" s="325">
        <f>+K89+L89</f>
        <v>0</v>
      </c>
      <c r="O89" s="81"/>
      <c r="P89" s="81"/>
    </row>
    <row r="90" spans="3:16" ht="20.7" customHeight="1">
      <c r="D90" s="333">
        <f>+SUM(D86:D89)</f>
        <v>0</v>
      </c>
      <c r="E90" s="333">
        <f>+SUM(E86:E89)</f>
        <v>0</v>
      </c>
      <c r="F90" s="333"/>
      <c r="G90" s="333">
        <f>+SUM(G86:G89)</f>
        <v>0</v>
      </c>
      <c r="K90" s="333">
        <f>+SUM(K86:K89)</f>
        <v>0</v>
      </c>
      <c r="L90" s="333">
        <f>+SUM(L86:L89)</f>
        <v>0</v>
      </c>
      <c r="M90" s="333"/>
      <c r="N90" s="333">
        <f>+SUM(N86:N89)</f>
        <v>0</v>
      </c>
      <c r="O90" s="81"/>
    </row>
    <row r="93" spans="3:16" ht="20.7" customHeight="1">
      <c r="C93" s="43" t="s">
        <v>252</v>
      </c>
      <c r="D93" s="98"/>
      <c r="I93" s="43" t="s">
        <v>252</v>
      </c>
      <c r="J93" s="43"/>
      <c r="K93" s="98"/>
      <c r="P93" s="81"/>
    </row>
    <row r="94" spans="3:16" ht="20.7" customHeight="1">
      <c r="D94" s="574"/>
      <c r="E94" s="325">
        <f>+D94*0.16</f>
        <v>0</v>
      </c>
      <c r="F94" s="325"/>
      <c r="G94" s="325">
        <f>+D94+E94</f>
        <v>0</v>
      </c>
      <c r="K94" s="574"/>
      <c r="L94" s="325">
        <f>+K94*0.16</f>
        <v>0</v>
      </c>
      <c r="M94" s="325"/>
      <c r="N94" s="325">
        <f>+K94+L94</f>
        <v>0</v>
      </c>
      <c r="O94" s="81"/>
      <c r="P94" s="81"/>
    </row>
    <row r="95" spans="3:16" ht="20.7" customHeight="1">
      <c r="D95" s="575"/>
      <c r="E95" s="325">
        <f>+D95*0.16</f>
        <v>0</v>
      </c>
      <c r="F95" s="325"/>
      <c r="G95" s="325">
        <f>+D95+E95</f>
        <v>0</v>
      </c>
      <c r="K95" s="575"/>
      <c r="L95" s="325">
        <f>+K95*0.16</f>
        <v>0</v>
      </c>
      <c r="M95" s="325"/>
      <c r="N95" s="325">
        <f>+K95+L95</f>
        <v>0</v>
      </c>
      <c r="O95" s="81"/>
      <c r="P95" s="81"/>
    </row>
    <row r="96" spans="3:16" ht="20.7" customHeight="1">
      <c r="D96" s="575"/>
      <c r="E96" s="325">
        <f>+D96*0.16</f>
        <v>0</v>
      </c>
      <c r="F96" s="325"/>
      <c r="G96" s="325">
        <f>+D96+E96</f>
        <v>0</v>
      </c>
      <c r="K96" s="575"/>
      <c r="L96" s="325">
        <f>+K96*0.16</f>
        <v>0</v>
      </c>
      <c r="M96" s="325"/>
      <c r="N96" s="325">
        <f>+K96+L96</f>
        <v>0</v>
      </c>
      <c r="O96" s="81"/>
      <c r="P96" s="81"/>
    </row>
    <row r="97" spans="3:16" ht="20.7" customHeight="1">
      <c r="D97" s="575"/>
      <c r="E97" s="325">
        <f>+D97*0.16</f>
        <v>0</v>
      </c>
      <c r="F97" s="325"/>
      <c r="G97" s="325">
        <f>+D97+E97</f>
        <v>0</v>
      </c>
      <c r="K97" s="575"/>
      <c r="L97" s="325">
        <f>+K97*0.16</f>
        <v>0</v>
      </c>
      <c r="M97" s="325"/>
      <c r="N97" s="325">
        <f>+K97+L97</f>
        <v>0</v>
      </c>
      <c r="O97" s="81"/>
      <c r="P97" s="81"/>
    </row>
    <row r="98" spans="3:16" ht="20.7" customHeight="1">
      <c r="D98" s="333">
        <f>+SUM(D94:D97)</f>
        <v>0</v>
      </c>
      <c r="E98" s="333">
        <f>+SUM(E94:E97)</f>
        <v>0</v>
      </c>
      <c r="F98" s="333"/>
      <c r="G98" s="333">
        <f>+SUM(G94:G97)</f>
        <v>0</v>
      </c>
      <c r="K98" s="333">
        <f>+SUM(K94:K97)</f>
        <v>0</v>
      </c>
      <c r="L98" s="333">
        <f>+SUM(L94:L97)</f>
        <v>0</v>
      </c>
      <c r="M98" s="333"/>
      <c r="N98" s="333">
        <f>+SUM(N94:N97)</f>
        <v>0</v>
      </c>
      <c r="O98" s="81"/>
    </row>
    <row r="100" spans="3:16" ht="20.7" customHeight="1">
      <c r="K100" s="98"/>
    </row>
    <row r="101" spans="3:16" ht="20.7" customHeight="1">
      <c r="C101" s="43" t="s">
        <v>255</v>
      </c>
      <c r="D101" s="98"/>
      <c r="I101" s="43" t="s">
        <v>255</v>
      </c>
      <c r="J101" s="43"/>
      <c r="K101" s="98"/>
      <c r="P101" s="81"/>
    </row>
    <row r="102" spans="3:16" ht="20.7" customHeight="1">
      <c r="D102" s="574"/>
      <c r="E102" s="325">
        <f>+D102*0.16</f>
        <v>0</v>
      </c>
      <c r="F102" s="325"/>
      <c r="G102" s="325">
        <f>+D102+E102</f>
        <v>0</v>
      </c>
      <c r="K102" s="574"/>
      <c r="L102" s="325">
        <f>+K102*0.16</f>
        <v>0</v>
      </c>
      <c r="M102" s="325"/>
      <c r="N102" s="325">
        <f>+K102+L102</f>
        <v>0</v>
      </c>
      <c r="O102" s="81"/>
      <c r="P102" s="81"/>
    </row>
    <row r="103" spans="3:16" ht="20.7" customHeight="1">
      <c r="D103" s="575"/>
      <c r="E103" s="325">
        <f>+D103*0.16</f>
        <v>0</v>
      </c>
      <c r="F103" s="325"/>
      <c r="G103" s="325">
        <f>+D103+E103</f>
        <v>0</v>
      </c>
      <c r="K103" s="575"/>
      <c r="L103" s="325">
        <f>+K103*0.16</f>
        <v>0</v>
      </c>
      <c r="M103" s="325"/>
      <c r="N103" s="325">
        <f>+K103+L103</f>
        <v>0</v>
      </c>
      <c r="O103" s="81"/>
      <c r="P103" s="81"/>
    </row>
    <row r="104" spans="3:16" ht="20.7" customHeight="1">
      <c r="D104" s="575"/>
      <c r="E104" s="325">
        <f>+D104*0.16</f>
        <v>0</v>
      </c>
      <c r="F104" s="325"/>
      <c r="G104" s="325">
        <f>+D104+E104</f>
        <v>0</v>
      </c>
      <c r="K104" s="575"/>
      <c r="L104" s="325">
        <f>+K104*0.16</f>
        <v>0</v>
      </c>
      <c r="M104" s="325"/>
      <c r="N104" s="325">
        <f>+K104+L104</f>
        <v>0</v>
      </c>
      <c r="O104" s="81"/>
      <c r="P104" s="81"/>
    </row>
    <row r="105" spans="3:16" ht="20.7" customHeight="1">
      <c r="D105" s="575"/>
      <c r="E105" s="325">
        <f>+D105*0.16</f>
        <v>0</v>
      </c>
      <c r="F105" s="325"/>
      <c r="G105" s="325">
        <f>+D105+E105</f>
        <v>0</v>
      </c>
      <c r="K105" s="575"/>
      <c r="L105" s="325">
        <f>+K105*0.16</f>
        <v>0</v>
      </c>
      <c r="M105" s="325"/>
      <c r="N105" s="325">
        <f>+K105+L105</f>
        <v>0</v>
      </c>
      <c r="O105" s="81"/>
      <c r="P105" s="81"/>
    </row>
    <row r="106" spans="3:16" ht="20.7" customHeight="1">
      <c r="D106" s="333">
        <f>+SUM(D102:D105)</f>
        <v>0</v>
      </c>
      <c r="E106" s="333">
        <f>+SUM(E102:E105)</f>
        <v>0</v>
      </c>
      <c r="F106" s="333"/>
      <c r="G106" s="333">
        <f>+SUM(G102:G105)</f>
        <v>0</v>
      </c>
      <c r="K106" s="333">
        <f>+SUM(K102:K105)</f>
        <v>0</v>
      </c>
      <c r="L106" s="333">
        <f>+SUM(L102:L105)</f>
        <v>0</v>
      </c>
      <c r="M106" s="333"/>
      <c r="N106" s="333">
        <f>+SUM(N102:N105)</f>
        <v>0</v>
      </c>
      <c r="O106" s="81"/>
    </row>
    <row r="109" spans="3:16" ht="20.7" customHeight="1">
      <c r="C109" s="43" t="s">
        <v>258</v>
      </c>
      <c r="D109" s="98"/>
      <c r="I109" s="43" t="s">
        <v>258</v>
      </c>
      <c r="J109" s="43"/>
      <c r="K109" s="98"/>
      <c r="P109" s="81"/>
    </row>
    <row r="110" spans="3:16" ht="20.7" customHeight="1">
      <c r="D110" s="574"/>
      <c r="E110" s="325">
        <f>+D110*0.16</f>
        <v>0</v>
      </c>
      <c r="F110" s="325"/>
      <c r="G110" s="325">
        <f>+D110+E110</f>
        <v>0</v>
      </c>
      <c r="K110" s="574"/>
      <c r="L110" s="325">
        <f>+K110*0.16</f>
        <v>0</v>
      </c>
      <c r="M110" s="325"/>
      <c r="N110" s="325">
        <f>+K110+L110</f>
        <v>0</v>
      </c>
      <c r="O110" s="81"/>
      <c r="P110" s="81"/>
    </row>
    <row r="111" spans="3:16" ht="20.7" customHeight="1">
      <c r="D111" s="575"/>
      <c r="E111" s="325">
        <f>+D111*0.16</f>
        <v>0</v>
      </c>
      <c r="F111" s="325"/>
      <c r="G111" s="325">
        <f>+D111+E111</f>
        <v>0</v>
      </c>
      <c r="K111" s="575"/>
      <c r="L111" s="325">
        <f>+K111*0.16</f>
        <v>0</v>
      </c>
      <c r="M111" s="325"/>
      <c r="N111" s="325">
        <f>+K111+L111</f>
        <v>0</v>
      </c>
      <c r="O111" s="81"/>
      <c r="P111" s="81"/>
    </row>
    <row r="112" spans="3:16" ht="20.7" customHeight="1">
      <c r="D112" s="575"/>
      <c r="E112" s="325">
        <f>+D112*0.16</f>
        <v>0</v>
      </c>
      <c r="F112" s="325"/>
      <c r="G112" s="325">
        <f>+D112+E112</f>
        <v>0</v>
      </c>
      <c r="K112" s="575"/>
      <c r="L112" s="325">
        <f>+K112*0.16</f>
        <v>0</v>
      </c>
      <c r="M112" s="325"/>
      <c r="N112" s="325">
        <f>+K112+L112</f>
        <v>0</v>
      </c>
      <c r="O112" s="81"/>
      <c r="P112" s="81"/>
    </row>
    <row r="113" spans="3:16" ht="20.7" customHeight="1">
      <c r="D113" s="575"/>
      <c r="E113" s="325">
        <f>+D113*0.16</f>
        <v>0</v>
      </c>
      <c r="F113" s="325"/>
      <c r="G113" s="325">
        <f>+D113+E113</f>
        <v>0</v>
      </c>
      <c r="K113" s="575"/>
      <c r="L113" s="325">
        <f>+K113*0.16</f>
        <v>0</v>
      </c>
      <c r="M113" s="325"/>
      <c r="N113" s="325">
        <f>+K113+L113</f>
        <v>0</v>
      </c>
      <c r="O113" s="81"/>
      <c r="P113" s="81"/>
    </row>
    <row r="114" spans="3:16" ht="20.7" customHeight="1">
      <c r="D114" s="333">
        <f>+SUM(D110:D113)</f>
        <v>0</v>
      </c>
      <c r="E114" s="333">
        <f>+SUM(E110:E113)</f>
        <v>0</v>
      </c>
      <c r="F114" s="333"/>
      <c r="G114" s="333">
        <f>+SUM(G110:G113)</f>
        <v>0</v>
      </c>
      <c r="K114" s="333">
        <f>+SUM(K110:K113)</f>
        <v>0</v>
      </c>
      <c r="L114" s="333">
        <f>+SUM(L110:L113)</f>
        <v>0</v>
      </c>
      <c r="M114" s="333"/>
      <c r="N114" s="333">
        <f>+SUM(N110:N113)</f>
        <v>0</v>
      </c>
      <c r="O114" s="81"/>
    </row>
    <row r="117" spans="3:16" ht="20.7" customHeight="1">
      <c r="C117" s="43" t="s">
        <v>261</v>
      </c>
      <c r="D117" s="98"/>
      <c r="I117" s="43" t="s">
        <v>261</v>
      </c>
      <c r="J117" s="43"/>
      <c r="K117" s="98"/>
      <c r="P117" s="81"/>
    </row>
    <row r="118" spans="3:16" ht="20.7" customHeight="1">
      <c r="D118" s="574"/>
      <c r="E118" s="325">
        <f>+D118*0.16</f>
        <v>0</v>
      </c>
      <c r="F118" s="325"/>
      <c r="G118" s="325">
        <f>+D118+E118</f>
        <v>0</v>
      </c>
      <c r="K118" s="574"/>
      <c r="L118" s="325">
        <f>+K118*0.16</f>
        <v>0</v>
      </c>
      <c r="M118" s="325"/>
      <c r="N118" s="325">
        <f>+K118+L118</f>
        <v>0</v>
      </c>
      <c r="O118" s="81"/>
      <c r="P118" s="81"/>
    </row>
    <row r="119" spans="3:16" ht="20.7" customHeight="1">
      <c r="D119" s="575"/>
      <c r="E119" s="325">
        <f>+D119*0.16</f>
        <v>0</v>
      </c>
      <c r="F119" s="325"/>
      <c r="G119" s="325">
        <f>+D119+E119</f>
        <v>0</v>
      </c>
      <c r="K119" s="575"/>
      <c r="L119" s="325">
        <f>+K119*0.16</f>
        <v>0</v>
      </c>
      <c r="M119" s="325"/>
      <c r="N119" s="325">
        <f>+K119+L119</f>
        <v>0</v>
      </c>
      <c r="O119" s="81"/>
      <c r="P119" s="81"/>
    </row>
    <row r="120" spans="3:16" ht="20.7" customHeight="1">
      <c r="D120" s="575"/>
      <c r="E120" s="325">
        <f>+D120*0.16</f>
        <v>0</v>
      </c>
      <c r="F120" s="325"/>
      <c r="G120" s="325">
        <f>+D120+E120</f>
        <v>0</v>
      </c>
      <c r="K120" s="575"/>
      <c r="L120" s="325">
        <f>+K120*0.16</f>
        <v>0</v>
      </c>
      <c r="M120" s="325"/>
      <c r="N120" s="325">
        <f>+K120+L120</f>
        <v>0</v>
      </c>
      <c r="O120" s="81"/>
      <c r="P120" s="81"/>
    </row>
    <row r="121" spans="3:16" ht="20.7" customHeight="1">
      <c r="D121" s="575"/>
      <c r="E121" s="325">
        <f>+D121*0.16</f>
        <v>0</v>
      </c>
      <c r="F121" s="325"/>
      <c r="G121" s="325">
        <f>+D121+E121</f>
        <v>0</v>
      </c>
      <c r="K121" s="575"/>
      <c r="L121" s="325">
        <f>+K121*0.16</f>
        <v>0</v>
      </c>
      <c r="M121" s="325"/>
      <c r="N121" s="325">
        <f>+K121+L121</f>
        <v>0</v>
      </c>
      <c r="O121" s="81"/>
      <c r="P121" s="81"/>
    </row>
    <row r="122" spans="3:16" ht="20.7" customHeight="1">
      <c r="D122" s="333">
        <f>+SUM(D118:D121)</f>
        <v>0</v>
      </c>
      <c r="E122" s="333">
        <f>+SUM(E118:E121)</f>
        <v>0</v>
      </c>
      <c r="F122" s="333"/>
      <c r="G122" s="333">
        <f>+SUM(G118:G121)</f>
        <v>0</v>
      </c>
      <c r="K122" s="333">
        <f>+SUM(K118:K121)</f>
        <v>0</v>
      </c>
      <c r="L122" s="333">
        <f>+SUM(L118:L121)</f>
        <v>0</v>
      </c>
      <c r="M122" s="333"/>
      <c r="N122" s="333">
        <f>+SUM(N118:N121)</f>
        <v>0</v>
      </c>
      <c r="O122" s="81"/>
    </row>
    <row r="125" spans="3:16" ht="20.7" customHeight="1">
      <c r="C125" s="43" t="s">
        <v>264</v>
      </c>
      <c r="D125" s="98"/>
      <c r="I125" s="43" t="s">
        <v>264</v>
      </c>
      <c r="J125" s="43"/>
      <c r="K125" s="98"/>
      <c r="P125" s="81"/>
    </row>
    <row r="126" spans="3:16" ht="20.7" customHeight="1">
      <c r="D126" s="574"/>
      <c r="E126" s="325">
        <f>+D126*0.16</f>
        <v>0</v>
      </c>
      <c r="F126" s="325"/>
      <c r="G126" s="325">
        <f>+D126+E126</f>
        <v>0</v>
      </c>
      <c r="K126" s="574"/>
      <c r="L126" s="325">
        <f>+K126*0.16</f>
        <v>0</v>
      </c>
      <c r="M126" s="325"/>
      <c r="N126" s="325">
        <f>+K126+L126</f>
        <v>0</v>
      </c>
      <c r="O126" s="81"/>
      <c r="P126" s="81"/>
    </row>
    <row r="127" spans="3:16" ht="20.7" customHeight="1">
      <c r="D127" s="575"/>
      <c r="E127" s="325">
        <f>+D127*0.16</f>
        <v>0</v>
      </c>
      <c r="F127" s="325"/>
      <c r="G127" s="325">
        <f>+D127+E127</f>
        <v>0</v>
      </c>
      <c r="K127" s="575"/>
      <c r="L127" s="325">
        <f>+K127*0.16</f>
        <v>0</v>
      </c>
      <c r="M127" s="325"/>
      <c r="N127" s="325">
        <f>+K127+L127</f>
        <v>0</v>
      </c>
      <c r="O127" s="81"/>
      <c r="P127" s="81"/>
    </row>
    <row r="128" spans="3:16" ht="20.7" customHeight="1">
      <c r="D128" s="575"/>
      <c r="E128" s="325">
        <f>+D128*0.16</f>
        <v>0</v>
      </c>
      <c r="F128" s="325"/>
      <c r="G128" s="325">
        <f>+D128+E128</f>
        <v>0</v>
      </c>
      <c r="K128" s="575"/>
      <c r="L128" s="325">
        <f>+K128*0.16</f>
        <v>0</v>
      </c>
      <c r="M128" s="325"/>
      <c r="N128" s="325">
        <f>+K128+L128</f>
        <v>0</v>
      </c>
      <c r="O128" s="81"/>
      <c r="P128" s="81"/>
    </row>
    <row r="129" spans="1:18" ht="20.7" customHeight="1">
      <c r="D129" s="575"/>
      <c r="E129" s="325">
        <f>+D129*0.16</f>
        <v>0</v>
      </c>
      <c r="F129" s="325"/>
      <c r="G129" s="325">
        <f>+D129+E129</f>
        <v>0</v>
      </c>
      <c r="K129" s="575"/>
      <c r="L129" s="325">
        <f>+K129*0.16</f>
        <v>0</v>
      </c>
      <c r="M129" s="325"/>
      <c r="N129" s="325">
        <f>+K129+L129</f>
        <v>0</v>
      </c>
      <c r="O129" s="81"/>
      <c r="P129" s="81"/>
    </row>
    <row r="130" spans="1:18" ht="20.7" customHeight="1">
      <c r="D130" s="333">
        <f>+SUM(D126:D129)</f>
        <v>0</v>
      </c>
      <c r="E130" s="333">
        <f>+SUM(E126:E129)</f>
        <v>0</v>
      </c>
      <c r="F130" s="333"/>
      <c r="G130" s="333">
        <f>+SUM(G126:G129)</f>
        <v>0</v>
      </c>
      <c r="K130" s="333">
        <f>+SUM(K126:K129)</f>
        <v>0</v>
      </c>
      <c r="L130" s="333">
        <f>+SUM(L126:L129)</f>
        <v>0</v>
      </c>
      <c r="M130" s="333"/>
      <c r="N130" s="333">
        <f>+SUM(N126:N129)</f>
        <v>0</v>
      </c>
      <c r="O130" s="81"/>
    </row>
    <row r="132" spans="1:18" ht="20.7" customHeight="1">
      <c r="P132" s="141"/>
    </row>
    <row r="133" spans="1:18" ht="20.7" customHeight="1">
      <c r="C133" s="334" t="s">
        <v>281</v>
      </c>
      <c r="D133" s="335">
        <f>+D38+D46+D54+D62+D70+D78+D90+D98+D106+D114+D122+D130</f>
        <v>0</v>
      </c>
      <c r="E133" s="335">
        <f>+E38+E46+E54+E62+E70+E78+E90+E98+E106+E114+E122+E130</f>
        <v>0</v>
      </c>
      <c r="F133" s="335"/>
      <c r="G133" s="335">
        <f>+G38+G46+G54+G62+G70+G78+G90+G98+G106+G114+G122+G130</f>
        <v>0</v>
      </c>
      <c r="I133" s="334" t="s">
        <v>281</v>
      </c>
      <c r="J133" s="334"/>
      <c r="K133" s="335">
        <f>+K38+K46+K54+K62+K70+K78+K90+K98+K106+K114+K122+K130</f>
        <v>0</v>
      </c>
      <c r="L133" s="335">
        <f>+L38+L46+L54+L62+L70+L78+L90+L98+L106+L114+L122+L130</f>
        <v>0</v>
      </c>
      <c r="M133" s="335"/>
      <c r="N133" s="335">
        <f>+N38+N46+N54+N62+N70+N78+N90+N98+N106+N114+N122+N130</f>
        <v>0</v>
      </c>
      <c r="O133" s="141"/>
    </row>
    <row r="138" spans="1:18" ht="20.7" customHeight="1">
      <c r="B138" s="656" t="s">
        <v>215</v>
      </c>
      <c r="C138" s="656"/>
      <c r="D138" s="656"/>
      <c r="E138" s="656"/>
      <c r="F138" s="656"/>
      <c r="G138" s="656"/>
      <c r="H138" s="656"/>
      <c r="I138" s="656"/>
      <c r="J138" s="656"/>
      <c r="K138" s="656"/>
      <c r="L138" s="656"/>
      <c r="M138" s="656"/>
      <c r="N138" s="656"/>
      <c r="O138" s="656"/>
      <c r="P138" s="656"/>
      <c r="Q138" s="656"/>
      <c r="R138" s="656"/>
    </row>
    <row r="140" spans="1:18" ht="20.7" customHeight="1">
      <c r="D140" s="41" t="s">
        <v>282</v>
      </c>
    </row>
    <row r="141" spans="1:18" ht="20.7" customHeight="1">
      <c r="A141" s="39"/>
      <c r="B141" s="39"/>
      <c r="C141" s="117" t="s">
        <v>283</v>
      </c>
      <c r="D141" s="142">
        <f>C21</f>
        <v>0</v>
      </c>
    </row>
    <row r="142" spans="1:18" ht="20.7" customHeight="1">
      <c r="A142" s="39"/>
      <c r="B142" s="39"/>
      <c r="C142" s="117" t="s">
        <v>284</v>
      </c>
      <c r="D142" s="142"/>
      <c r="E142" s="41" t="s">
        <v>285</v>
      </c>
    </row>
    <row r="143" spans="1:18" ht="20.7" customHeight="1">
      <c r="A143" s="39"/>
      <c r="B143" s="39"/>
      <c r="C143" s="39"/>
      <c r="D143" s="117" t="s">
        <v>286</v>
      </c>
      <c r="E143" s="142">
        <f>D141</f>
        <v>0</v>
      </c>
      <c r="F143" s="39"/>
    </row>
    <row r="144" spans="1:18" ht="20.7" customHeight="1">
      <c r="A144" s="39"/>
      <c r="B144" s="39"/>
      <c r="C144" s="117" t="s">
        <v>287</v>
      </c>
      <c r="D144" s="39"/>
    </row>
    <row r="145" spans="1:4" ht="20.7" customHeight="1">
      <c r="A145" s="39"/>
      <c r="B145" s="39"/>
      <c r="C145" s="117" t="s">
        <v>217</v>
      </c>
      <c r="D145" s="39"/>
    </row>
    <row r="146" spans="1:4" ht="20.7" customHeight="1">
      <c r="A146" s="89"/>
      <c r="B146" s="89"/>
      <c r="C146" s="107" t="s">
        <v>218</v>
      </c>
      <c r="D146" s="116">
        <f>D141+D144+D145</f>
        <v>0</v>
      </c>
    </row>
    <row r="149" spans="1:4" ht="20.7" customHeight="1">
      <c r="D149" s="41" t="s">
        <v>288</v>
      </c>
    </row>
    <row r="150" spans="1:4" ht="20.7" customHeight="1">
      <c r="A150" s="39"/>
      <c r="B150" s="39"/>
      <c r="C150" s="117" t="s">
        <v>289</v>
      </c>
      <c r="D150" s="142">
        <f>G21</f>
        <v>0</v>
      </c>
    </row>
    <row r="151" spans="1:4" ht="20.7" customHeight="1">
      <c r="A151" s="39"/>
      <c r="B151" s="39"/>
      <c r="C151" s="117" t="s">
        <v>290</v>
      </c>
      <c r="D151" s="39"/>
    </row>
    <row r="152" spans="1:4" ht="20.7" customHeight="1">
      <c r="A152" s="89"/>
      <c r="B152" s="89"/>
      <c r="C152" s="107" t="s">
        <v>291</v>
      </c>
      <c r="D152" s="116">
        <f>D150+D151</f>
        <v>0</v>
      </c>
    </row>
    <row r="155" spans="1:4" ht="20.7" customHeight="1">
      <c r="D155" s="41" t="s">
        <v>292</v>
      </c>
    </row>
    <row r="156" spans="1:4" ht="20.7" customHeight="1">
      <c r="A156" s="39"/>
      <c r="B156" s="39"/>
      <c r="C156" s="117" t="s">
        <v>293</v>
      </c>
      <c r="D156" s="142">
        <f>D146-D152</f>
        <v>0</v>
      </c>
    </row>
    <row r="157" spans="1:4" ht="20.7" customHeight="1">
      <c r="A157" s="39"/>
      <c r="B157" s="39"/>
      <c r="C157" s="117" t="s">
        <v>294</v>
      </c>
      <c r="D157" s="39"/>
    </row>
    <row r="158" spans="1:4" ht="40.950000000000003" customHeight="1">
      <c r="A158" s="659" t="s">
        <v>295</v>
      </c>
      <c r="B158" s="659"/>
      <c r="C158" s="659"/>
      <c r="D158" s="39"/>
    </row>
    <row r="159" spans="1:4" ht="20.7" customHeight="1">
      <c r="A159" s="89"/>
      <c r="B159" s="89"/>
      <c r="C159" s="107" t="s">
        <v>296</v>
      </c>
      <c r="D159" s="116">
        <f>D156-D157-D158</f>
        <v>0</v>
      </c>
    </row>
    <row r="162" spans="1:4" ht="20.7" customHeight="1">
      <c r="D162" s="41" t="s">
        <v>297</v>
      </c>
    </row>
    <row r="163" spans="1:4" ht="42" customHeight="1">
      <c r="A163" s="660" t="s">
        <v>298</v>
      </c>
      <c r="B163" s="660"/>
      <c r="C163" s="660"/>
      <c r="D163" s="108">
        <f>L21</f>
        <v>0</v>
      </c>
    </row>
    <row r="166" spans="1:4" ht="20.7" customHeight="1">
      <c r="D166" s="41" t="s">
        <v>299</v>
      </c>
    </row>
    <row r="167" spans="1:4" ht="20.7" customHeight="1">
      <c r="A167" s="89"/>
      <c r="B167" s="89"/>
      <c r="C167" s="107" t="s">
        <v>300</v>
      </c>
      <c r="D167" s="108">
        <f>N21</f>
        <v>0</v>
      </c>
    </row>
  </sheetData>
  <sheetProtection formatCells="0" formatColumns="0" formatRows="0" insertColumns="0" insertRows="0" deleteColumns="0" deleteRows="0"/>
  <mergeCells count="14">
    <mergeCell ref="B138:R138"/>
    <mergeCell ref="A158:C158"/>
    <mergeCell ref="A163:C163"/>
    <mergeCell ref="Q6:V6"/>
    <mergeCell ref="C29:G29"/>
    <mergeCell ref="I29:N29"/>
    <mergeCell ref="C81:G81"/>
    <mergeCell ref="I81:N81"/>
    <mergeCell ref="B2:L2"/>
    <mergeCell ref="B3:L3"/>
    <mergeCell ref="B4:L4"/>
    <mergeCell ref="C6:E6"/>
    <mergeCell ref="G6:I6"/>
    <mergeCell ref="K6:L6"/>
  </mergeCells>
  <phoneticPr fontId="7" type="noConversion"/>
  <printOptions horizontalCentered="1"/>
  <pageMargins left="0.7" right="0.7" top="0.75" bottom="0.75" header="0.3" footer="0.3"/>
  <pageSetup scale="4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Datos</vt:lpstr>
      <vt:lpstr>ISR del Ejercicio</vt:lpstr>
      <vt:lpstr>1 ISR Acum y No Acum</vt:lpstr>
      <vt:lpstr>2 ISR 10% BMV</vt:lpstr>
      <vt:lpstr>3 ISR - REFIPRES</vt:lpstr>
      <vt:lpstr>4 ISR 10% Adicional Div</vt:lpstr>
      <vt:lpstr>Cálculo ISR - Por Capítulo</vt:lpstr>
      <vt:lpstr>Capítulo I - Salarios</vt:lpstr>
      <vt:lpstr>Capítulo II - Actividad Empresa</vt:lpstr>
      <vt:lpstr>Capítulo III - Arrendamiento</vt:lpstr>
      <vt:lpstr>Capítulo IV - Sección I</vt:lpstr>
      <vt:lpstr>Capítulo IV - Sección II BMV</vt:lpstr>
      <vt:lpstr>Capítulo VI - Intereses</vt:lpstr>
      <vt:lpstr>Capítulo VIII - Dividendos Nac</vt:lpstr>
      <vt:lpstr>Capítulo IX - Dividendos </vt:lpstr>
      <vt:lpstr>Capìtulo IX - PE - Otros</vt:lpstr>
      <vt:lpstr>Capítulo IX - OFD</vt:lpstr>
      <vt:lpstr>Capitulo IX - Regalias</vt:lpstr>
      <vt:lpstr>Deducciones Personales</vt:lpstr>
      <vt:lpstr>Datos Informativos</vt:lpstr>
      <vt:lpstr>SAF &amp; Perdidas &amp; Acred</vt:lpstr>
      <vt:lpstr>Tarifa</vt:lpstr>
      <vt:lpstr>Equivalencias</vt:lpstr>
      <vt:lpstr>TC</vt:lpstr>
      <vt:lpstr>INPC</vt:lpstr>
      <vt:lpstr>Recargos</vt:lpstr>
      <vt:lpstr>Normatividad</vt:lpstr>
      <vt:lpstr>'1 ISR Acum y No Acum'!Print_Area</vt:lpstr>
      <vt:lpstr>'2 ISR 10% BMV'!Print_Area</vt:lpstr>
      <vt:lpstr>'3 ISR - REFIPRES'!Print_Area</vt:lpstr>
      <vt:lpstr>'4 ISR 10% Adicional Div'!Print_Area</vt:lpstr>
      <vt:lpstr>'Cálculo ISR - Por Capítulo'!Print_Area</vt:lpstr>
      <vt:lpstr>'Capítulo I - Salarios'!Print_Area</vt:lpstr>
      <vt:lpstr>'Capítulo II - Actividad Empresa'!Print_Area</vt:lpstr>
      <vt:lpstr>'Capítulo III - Arrendamiento'!Print_Area</vt:lpstr>
      <vt:lpstr>'Capítulo IV - Sección I'!Print_Area</vt:lpstr>
      <vt:lpstr>'Capítulo IV - Sección II BMV'!Print_Area</vt:lpstr>
      <vt:lpstr>'Capítulo IX - Dividendos '!Print_Area</vt:lpstr>
      <vt:lpstr>'Capítulo IX - OFD'!Print_Area</vt:lpstr>
      <vt:lpstr>'Capìtulo IX - PE - Otros'!Print_Area</vt:lpstr>
      <vt:lpstr>'Capitulo IX - Regalias'!Print_Area</vt:lpstr>
      <vt:lpstr>'Capítulo VI - Intereses'!Print_Area</vt:lpstr>
      <vt:lpstr>'Capítulo VIII - Dividendos Nac'!Print_Area</vt:lpstr>
      <vt:lpstr>Datos!Print_Area</vt:lpstr>
      <vt:lpstr>'Datos Informativos'!Print_Area</vt:lpstr>
      <vt:lpstr>'Deducciones Personales'!Print_Area</vt:lpstr>
      <vt:lpstr>'ISR del Ejercicio'!Print_Area</vt:lpstr>
      <vt:lpstr>'SAF &amp; Perdidas &amp; Acred'!Print_Area</vt:lpstr>
      <vt:lpstr>'Capítulo II - Actividad Empresa'!Print_Titles</vt:lpstr>
      <vt:lpstr>'Capítulo IX - Dividendos '!Print_Titles</vt:lpstr>
      <vt:lpstr>'Capitulo IX - Regalias'!Print_Titles</vt:lpstr>
      <vt:lpstr>'Deducciones Personales'!Print_Titles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santiago oziel torres</cp:lastModifiedBy>
  <cp:revision/>
  <dcterms:created xsi:type="dcterms:W3CDTF">2016-10-19T16:48:57Z</dcterms:created>
  <dcterms:modified xsi:type="dcterms:W3CDTF">2023-03-14T23:35:12Z</dcterms:modified>
  <cp:category/>
  <cp:contentStatus/>
</cp:coreProperties>
</file>