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3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troduccion" sheetId="1" r:id="rId4"/>
    <sheet state="visible" name="Practica resumen abril" sheetId="2" r:id="rId5"/>
    <sheet state="visible" name="Ej clase" sheetId="3" r:id="rId6"/>
    <sheet state="visible" name="Ej 3" sheetId="4" r:id="rId7"/>
    <sheet state="visible" name="2023 A" sheetId="5" r:id="rId8"/>
    <sheet state="visible" name="2023 B" sheetId="6" r:id="rId9"/>
    <sheet state="visible" name="2025 4" sheetId="7" r:id="rId10"/>
    <sheet state="visible" name="2025 2" sheetId="8" r:id="rId11"/>
    <sheet state="visible" name="1" sheetId="9" r:id="rId12"/>
    <sheet state="visible" name="2" sheetId="10" r:id="rId13"/>
    <sheet state="visible" name="3" sheetId="11" r:id="rId14"/>
    <sheet state="visible" name="4" sheetId="12" r:id="rId15"/>
    <sheet state="visible" name="5" sheetId="13" r:id="rId16"/>
    <sheet state="visible" name="6" sheetId="14" r:id="rId17"/>
    <sheet state="visible" name="7" sheetId="15" r:id="rId18"/>
    <sheet state="visible" name="8" sheetId="16" r:id="rId19"/>
    <sheet state="visible" name="9" sheetId="17" r:id="rId20"/>
    <sheet state="visible" name="10" sheetId="18" r:id="rId21"/>
    <sheet state="visible" name="11" sheetId="19" r:id="rId22"/>
    <sheet state="visible" name="12" sheetId="20" r:id="rId23"/>
    <sheet state="visible" name="13" sheetId="21" r:id="rId24"/>
    <sheet state="visible" name="14" sheetId="22" r:id="rId25"/>
    <sheet state="visible" name="15" sheetId="23" r:id="rId26"/>
    <sheet state="visible" name="16" sheetId="24" r:id="rId27"/>
  </sheets>
  <definedNames/>
  <calcPr/>
  <extLst>
    <ext uri="GoogleSheetsCustomDataVersion2">
      <go:sheetsCustomData xmlns:go="http://customooxmlschemas.google.com/" r:id="rId28" roundtripDataChecksum="l5/A4pG/IxYwwuxsdMyu7ZuMELiWvpgjWinTiFlZGew="/>
    </ext>
  </extLst>
</workbook>
</file>

<file path=xl/sharedStrings.xml><?xml version="1.0" encoding="utf-8"?>
<sst xmlns="http://schemas.openxmlformats.org/spreadsheetml/2006/main" count="1279" uniqueCount="390">
  <si>
    <t>Si hacen los ejericios haganlos aca asi despues los vemos todos, cualquier cosa dejar un comentario. Saludos</t>
  </si>
  <si>
    <t>Unidades</t>
  </si>
  <si>
    <t>Insumos nacionales</t>
  </si>
  <si>
    <t>Insumos importados</t>
  </si>
  <si>
    <t>CIF MPI</t>
  </si>
  <si>
    <t>Esto nos evidencia que algunos de los componentes de la hidrolavadora son importados</t>
  </si>
  <si>
    <t>Draw back</t>
  </si>
  <si>
    <t>Devolución total o parcial que nos hace el Estado Argentino por los derechos de importación que pagamos por esta MP importada.</t>
  </si>
  <si>
    <t>MO</t>
  </si>
  <si>
    <t>Gs Admin</t>
  </si>
  <si>
    <t>Gs Banc</t>
  </si>
  <si>
    <t>Com Banc</t>
  </si>
  <si>
    <t>Desp Aduana</t>
  </si>
  <si>
    <t>Gs Despacho</t>
  </si>
  <si>
    <t>Flete interno</t>
  </si>
  <si>
    <t>Flete que nos lleva las hidrolavadoras hasta la terminal de cargas.</t>
  </si>
  <si>
    <t>UB</t>
  </si>
  <si>
    <t>UN</t>
  </si>
  <si>
    <t>Derecho de expo</t>
  </si>
  <si>
    <t>Reintegro</t>
  </si>
  <si>
    <t>x</t>
  </si>
  <si>
    <t>Costos de produccion</t>
  </si>
  <si>
    <t>Gastos administrativos</t>
  </si>
  <si>
    <t>Gastos de comercializacion internacional</t>
  </si>
  <si>
    <t>Gastos financieros</t>
  </si>
  <si>
    <t>Impuestos</t>
  </si>
  <si>
    <t>No entiendo por qué lo pasa de largo si el impuesto a las ganancias es del 33%</t>
  </si>
  <si>
    <t>Utilidad</t>
  </si>
  <si>
    <t>Gastos directos de exportacion</t>
  </si>
  <si>
    <t>Los que no estan en %</t>
  </si>
  <si>
    <t>Gastos indirectos de exportacion</t>
  </si>
  <si>
    <t>Los que estan en %</t>
  </si>
  <si>
    <t>Gastos por gravamenes</t>
  </si>
  <si>
    <t>Incentivos</t>
  </si>
  <si>
    <t>Costo de exportacion</t>
  </si>
  <si>
    <t>CX</t>
  </si>
  <si>
    <t>FOBo</t>
  </si>
  <si>
    <t>FOB2</t>
  </si>
  <si>
    <t>FOBu</t>
  </si>
  <si>
    <t>Ejercicio de clase (2025)</t>
  </si>
  <si>
    <t>CASO COMBINADO</t>
  </si>
  <si>
    <t>Debemos cotizar una exportaciòn del siguiente producto:</t>
  </si>
  <si>
    <t>Paneles de calefacciòn electricos hasta 2000 w de potencia.</t>
  </si>
  <si>
    <t>La exportación se realizara a Bolivia, via terrestre.</t>
  </si>
  <si>
    <t>La operaciòn total es por 100 unidades embaladas para su exportaciòn.</t>
  </si>
  <si>
    <t>El flete internacinal es collect y la venta se concreta en condiciòn FCA Inc. 2020.</t>
  </si>
  <si>
    <t>Como medio de pago se acordo una cobranza documentaria a 45 dìas fecha de embarque.</t>
  </si>
  <si>
    <t>La venta se concreto gracias a las gestiones de un representante de ventas redicado en la Ciudad de la Paz.</t>
  </si>
  <si>
    <t>DATOS PARA EL COSTEO.-</t>
  </si>
  <si>
    <t>USD TOTALES</t>
  </si>
  <si>
    <t>INSUMOS NACIONALES</t>
  </si>
  <si>
    <t>INSUMOS IMPORTADOS</t>
  </si>
  <si>
    <t>CIF MP M</t>
  </si>
  <si>
    <t>DRAW BACK</t>
  </si>
  <si>
    <t>MANO DE OBRA</t>
  </si>
  <si>
    <t>CARGA FABRIL</t>
  </si>
  <si>
    <t>GASTOS ADMINISTRATIVOS</t>
  </si>
  <si>
    <t>COSTO FINANCIERO</t>
  </si>
  <si>
    <t>MATERIAL PARA EMBALAJE</t>
  </si>
  <si>
    <t>COMISION DE VENTA EN EL EXTERIOR</t>
  </si>
  <si>
    <t>GASTOS BANCARIOS</t>
  </si>
  <si>
    <t>COMISIONES BANCARIAS</t>
  </si>
  <si>
    <t>HONORARIOS DA</t>
  </si>
  <si>
    <t>GASTOS DE DESPACHO</t>
  </si>
  <si>
    <t>GASTOS EN TERMINAL DE CARGAS</t>
  </si>
  <si>
    <t>UTILIDAD BRUTA</t>
  </si>
  <si>
    <t>DERECHOS DE EXPORTACION</t>
  </si>
  <si>
    <t>REINTEGRO</t>
  </si>
  <si>
    <t>A su vez, para poder completar la fabricaciòn de cada placa es necesario importar la placa electrònica de encedido, para</t>
  </si>
  <si>
    <t>los cual se han solicitado varias cotizaciones ne el exterior y se resolvio importar 100 unidades de dichas plaquetas a</t>
  </si>
  <si>
    <t>un proveedor ubicado en Nueva Deli.</t>
  </si>
  <si>
    <t>La importaciòn será via aèra en condiciòn CIP Inc. 2020 y se abona mediante una transferencia a la vista.</t>
  </si>
  <si>
    <t>El valor total de la compra es de USD 1330,00 FCA INC. 2020</t>
  </si>
  <si>
    <t>El flete aéro es de USD 250,00 y el seguro del 1% del CPT.</t>
  </si>
  <si>
    <t>AEC</t>
  </si>
  <si>
    <t>DIE</t>
  </si>
  <si>
    <t>DII</t>
  </si>
  <si>
    <t>DX</t>
  </si>
  <si>
    <t>R</t>
  </si>
  <si>
    <t>TE</t>
  </si>
  <si>
    <t>IVA</t>
  </si>
  <si>
    <t>IVA ADICIONAL</t>
  </si>
  <si>
    <t>IG</t>
  </si>
  <si>
    <t>IB</t>
  </si>
  <si>
    <t>GS BANCARIOS</t>
  </si>
  <si>
    <t>USD 65</t>
  </si>
  <si>
    <t>GS DESPACHO</t>
  </si>
  <si>
    <t>DA</t>
  </si>
  <si>
    <t>2% / CIF - MIN USD 100</t>
  </si>
  <si>
    <t>COM. BANC</t>
  </si>
  <si>
    <t>CORTE DE GUIA</t>
  </si>
  <si>
    <t>USD 60</t>
  </si>
  <si>
    <t>FLETE INTERNO</t>
  </si>
  <si>
    <t>USD 40</t>
  </si>
  <si>
    <t>PUNTO No 1 - DETERMINAR EL VALOR EN ADUANA O BASE IMPONIBLE</t>
  </si>
  <si>
    <t>USD</t>
  </si>
  <si>
    <t>VALOR FCA</t>
  </si>
  <si>
    <t>FLETE MARITIMO</t>
  </si>
  <si>
    <t>CPT</t>
  </si>
  <si>
    <t xml:space="preserve">SEGURO 1% </t>
  </si>
  <si>
    <t>CIF</t>
  </si>
  <si>
    <t>PUNTO No 2 - CALCULO DE LOS TRIBUTOS DE ADUANA</t>
  </si>
  <si>
    <t>AEC 9%</t>
  </si>
  <si>
    <t>TE 3 %</t>
  </si>
  <si>
    <t>B.I.IMPUESTOS</t>
  </si>
  <si>
    <t>PUNTO No 3 - CALCULO DE IMPUESTOS</t>
  </si>
  <si>
    <t>B.I. IMPUESTO</t>
  </si>
  <si>
    <t>IVA 21%</t>
  </si>
  <si>
    <t>IVA ADIC 20%</t>
  </si>
  <si>
    <t>IG 6%</t>
  </si>
  <si>
    <t>IB 3%</t>
  </si>
  <si>
    <t>SUB-TOTAL:</t>
  </si>
  <si>
    <t>PUNTO No 4 - CALCULO DE GASTOS DE LA OPERACIÓN</t>
  </si>
  <si>
    <t>DERECHO DE ADUANA</t>
  </si>
  <si>
    <t>DESPACHO</t>
  </si>
  <si>
    <t xml:space="preserve">COMISION BANCARIA </t>
  </si>
  <si>
    <t>TOTAL DE GASTOS:</t>
  </si>
  <si>
    <t>TOTAL CARGA TRIBUTARIA:</t>
  </si>
  <si>
    <t>TOTAL GENERAL:</t>
  </si>
  <si>
    <t>UTILIDAD NETA DE IMPUESTO</t>
  </si>
  <si>
    <t>%UB - (% IG X % UB)</t>
  </si>
  <si>
    <t>USAMOS ESTE EN AMARILLO PARA EXPO</t>
  </si>
  <si>
    <t>TOTAL GRAL - CARGA TRIBUT + TE + DIE</t>
  </si>
  <si>
    <t>RUBRO 1</t>
  </si>
  <si>
    <t>RUBRO 2</t>
  </si>
  <si>
    <t>RUBRO 3</t>
  </si>
  <si>
    <t>RUBRO 4</t>
  </si>
  <si>
    <t>RUBRO 5</t>
  </si>
  <si>
    <t>COSTOS DE PRODUCCION</t>
  </si>
  <si>
    <t>GS ADMINISTRATIVOS</t>
  </si>
  <si>
    <t>GS COMERCIALES</t>
  </si>
  <si>
    <t>GS FINANCIEROS</t>
  </si>
  <si>
    <t>IMPUESTOS</t>
  </si>
  <si>
    <t>RUBRO 6</t>
  </si>
  <si>
    <t>RUBRO 7 (VALORES)</t>
  </si>
  <si>
    <t>RUBRO 8 (%)</t>
  </si>
  <si>
    <t>RUBRO 9</t>
  </si>
  <si>
    <t>RUBRO 10</t>
  </si>
  <si>
    <t>UTILIDAD</t>
  </si>
  <si>
    <t>GS DIRECTOS DE X</t>
  </si>
  <si>
    <t>GS INDIRECTOS DE X</t>
  </si>
  <si>
    <t>GS DE COMERC. INTERNAC.</t>
  </si>
  <si>
    <t>INCENTIVOS</t>
  </si>
  <si>
    <t>FOB:</t>
  </si>
  <si>
    <t>CX + (R x CIF mpM) - DB</t>
  </si>
  <si>
    <t>Pvta</t>
  </si>
  <si>
    <t>1 - (GXI + GCI + U) + R</t>
  </si>
  <si>
    <t>Precio unitario</t>
  </si>
  <si>
    <t>DETALLE DE CADA MIEMBRO</t>
  </si>
  <si>
    <t>CX:</t>
  </si>
  <si>
    <t>COSTO DE EXPORTACION</t>
  </si>
  <si>
    <t>RUBROS 1+2+3+4+5+7</t>
  </si>
  <si>
    <t>GXI:</t>
  </si>
  <si>
    <t>RUBRO 8</t>
  </si>
  <si>
    <t>GCI:</t>
  </si>
  <si>
    <t>GS COMERC. INTERNAC.</t>
  </si>
  <si>
    <t>U:</t>
  </si>
  <si>
    <t>R:</t>
  </si>
  <si>
    <t>DB:</t>
  </si>
  <si>
    <t>PRECIO DE VENTA:</t>
  </si>
  <si>
    <t>COMO VENDO FCA, SERIA EL FOB QUE CALCULE - EL GASTO DE CARGA</t>
  </si>
  <si>
    <t>EN ESTE CASO:</t>
  </si>
  <si>
    <t>Costos de producción</t>
  </si>
  <si>
    <t>Gastos de Comercialización internacional</t>
  </si>
  <si>
    <t>Frascos de miel</t>
  </si>
  <si>
    <t>u</t>
  </si>
  <si>
    <t>MP imp</t>
  </si>
  <si>
    <t>USD/U</t>
  </si>
  <si>
    <t>CFR</t>
  </si>
  <si>
    <t>MP nac</t>
  </si>
  <si>
    <t>Gastos directos de exportación (suma fija)</t>
  </si>
  <si>
    <t>Envases importados</t>
  </si>
  <si>
    <t>Gastos indirectos de exportación (%)</t>
  </si>
  <si>
    <t>Gastos por gravámenes</t>
  </si>
  <si>
    <t>Carga fabril</t>
  </si>
  <si>
    <t>Incentivos promocionales</t>
  </si>
  <si>
    <t>Gs despacho</t>
  </si>
  <si>
    <t>$</t>
  </si>
  <si>
    <t>Certificado</t>
  </si>
  <si>
    <t>usd</t>
  </si>
  <si>
    <t>Mision comercial</t>
  </si>
  <si>
    <t>prorrateado en lote de 5000</t>
  </si>
  <si>
    <t>Transporte a puerto</t>
  </si>
  <si>
    <t>Gs bancarios</t>
  </si>
  <si>
    <t>FOBo (costo de exportacion)</t>
  </si>
  <si>
    <t>Embalaje</t>
  </si>
  <si>
    <t>una caja tiene 10 frascos y cada una sale 2usd</t>
  </si>
  <si>
    <t>FOB2 (precio de exportacion)</t>
  </si>
  <si>
    <t>Comision bancaria ordenante</t>
  </si>
  <si>
    <t>Si es cobranza se usa la del ordenante</t>
  </si>
  <si>
    <t>Comision bancaria beneficiario</t>
  </si>
  <si>
    <t>Si es transferencia, cheque o carta de credito se usa la del beneficiario</t>
  </si>
  <si>
    <t>Despachante Aduana</t>
  </si>
  <si>
    <t>Transporte internacional</t>
  </si>
  <si>
    <t>DB</t>
  </si>
  <si>
    <t>Tipo de cambio</t>
  </si>
  <si>
    <t>$/usd</t>
  </si>
  <si>
    <t>Productos auditivos</t>
  </si>
  <si>
    <t>MP nacional</t>
  </si>
  <si>
    <t>$/u</t>
  </si>
  <si>
    <t>Gs admin</t>
  </si>
  <si>
    <t>usd/u</t>
  </si>
  <si>
    <t>Gs operat local</t>
  </si>
  <si>
    <t>Flete marit</t>
  </si>
  <si>
    <t>Gs operat destino</t>
  </si>
  <si>
    <t>Flete hasta terminal</t>
  </si>
  <si>
    <t>Comision bancaria por transf</t>
  </si>
  <si>
    <t>Feria</t>
  </si>
  <si>
    <t>prorrateado en 3 expo</t>
  </si>
  <si>
    <t>Latas</t>
  </si>
  <si>
    <t>Despachante aduana</t>
  </si>
  <si>
    <t>Gs operativos local</t>
  </si>
  <si>
    <t>Flete maritimo</t>
  </si>
  <si>
    <t>Gs operativos destino</t>
  </si>
  <si>
    <t>Comision bancaria por carta de credito</t>
  </si>
  <si>
    <t>prorratea en 2 expo</t>
  </si>
  <si>
    <t>cc/u</t>
  </si>
  <si>
    <t>Litros totales</t>
  </si>
  <si>
    <t>CARO</t>
  </si>
  <si>
    <t>Orden de compra</t>
  </si>
  <si>
    <t>MP Nacional</t>
  </si>
  <si>
    <t>usd/kg</t>
  </si>
  <si>
    <t>Rubro1 Costos de produccion</t>
  </si>
  <si>
    <t>Azucar</t>
  </si>
  <si>
    <t>Rubro 2 Administrativo</t>
  </si>
  <si>
    <t>Botellas y etiquetas</t>
  </si>
  <si>
    <t>Rubro 3 Comercializacion internacional</t>
  </si>
  <si>
    <t>MDO</t>
  </si>
  <si>
    <t>Rubro 4 Financiero</t>
  </si>
  <si>
    <t>insumos importados</t>
  </si>
  <si>
    <t>Rubro 5 Impuestos</t>
  </si>
  <si>
    <t>Costo indirecto de prod</t>
  </si>
  <si>
    <t>Rubro 6 UN</t>
  </si>
  <si>
    <t>Salarios admin</t>
  </si>
  <si>
    <t>Rubro 7 Gastos directos de expo</t>
  </si>
  <si>
    <t>Honorarios del enologo</t>
  </si>
  <si>
    <t>$/l</t>
  </si>
  <si>
    <t>Rubro 8 Gastos indirectos de expo</t>
  </si>
  <si>
    <t>CIF MPM</t>
  </si>
  <si>
    <t>Rubro 9 gravamen</t>
  </si>
  <si>
    <t>db</t>
  </si>
  <si>
    <t>Costo financiero total</t>
  </si>
  <si>
    <t>material de embalaje tot</t>
  </si>
  <si>
    <t>Cx</t>
  </si>
  <si>
    <t>Gastos bancarios</t>
  </si>
  <si>
    <t>MPI CIF</t>
  </si>
  <si>
    <t xml:space="preserve">Comisiones bancarias </t>
  </si>
  <si>
    <t>Honotatios del despachante</t>
  </si>
  <si>
    <t>FOB0</t>
  </si>
  <si>
    <t>Gastos del despacho</t>
  </si>
  <si>
    <t>Gastos en terminal/deposito</t>
  </si>
  <si>
    <t>Flete internacional</t>
  </si>
  <si>
    <t>Certificacion unidad embotellada</t>
  </si>
  <si>
    <t>utilidad bruta</t>
  </si>
  <si>
    <t>dx</t>
  </si>
  <si>
    <t>dr</t>
  </si>
  <si>
    <t>TC</t>
  </si>
  <si>
    <t>HACER</t>
  </si>
  <si>
    <t>Botollas y etiquetas</t>
  </si>
  <si>
    <t>compresores para equipos split de aire acondicionado 5000 Watts</t>
  </si>
  <si>
    <t>La exportación se realizara a Honduras, via maritima.</t>
  </si>
  <si>
    <t>El flete internacional es prepaid (filo) y la condicion de venta CIF, puerto de Bs As.</t>
  </si>
  <si>
    <t>La venta se concreto gracias a las gestiones de un representante de ventas radicado en Tegucigalpa</t>
  </si>
  <si>
    <t>FLETE Y SEGURO INTERNACIONAL</t>
  </si>
  <si>
    <t>GASTOS DE CARGA EN ORIGEN</t>
  </si>
  <si>
    <t>Flete</t>
  </si>
  <si>
    <t>El seguro esta incluido en el flete????? O hay que sumarlo?</t>
  </si>
  <si>
    <t>Ejercicio 1: Realice el planteo del cálculo del valor FOB en base a los siguientes datos: para la exportación de 1 tn de alimento vegano para mascotas vía marítima. Utilidad esperada 10% por embarque más U$S 0,70 por kg. Materia prima nacional $ 9 p/kg. Mano de obra $ 2300 p/kg. Gastos administrativos $ 900 p/kg. Gastos de despachante U$S 300. Honorarios del despachante 1%. Gastos bancarios U$S 75. Comisiones bancarias 3%. Transporte hasta el puerto de Bs.As. y gatos de carga: U$S 800. Certificado de origen U$S 10. Tipo de cambio U$S 1 = $ 60/63 AEC: 25%, DII: 0%, DIE: 15% DX: 10% R: 6%</t>
  </si>
  <si>
    <t>$/kg</t>
  </si>
  <si>
    <t>GS admin</t>
  </si>
  <si>
    <t>GS despachante</t>
  </si>
  <si>
    <t>Comision bancaria</t>
  </si>
  <si>
    <t>Transporte</t>
  </si>
  <si>
    <t>Certificado de origen</t>
  </si>
  <si>
    <t>kg</t>
  </si>
  <si>
    <t>Cajas</t>
  </si>
  <si>
    <t>Gs produccion</t>
  </si>
  <si>
    <t>$/caja</t>
  </si>
  <si>
    <t>MP importada</t>
  </si>
  <si>
    <t>usd/caja</t>
  </si>
  <si>
    <t>Envoltorios</t>
  </si>
  <si>
    <t>Etiquetado</t>
  </si>
  <si>
    <t>Certificacion alimentaria</t>
  </si>
  <si>
    <t>Gs aduaneros</t>
  </si>
  <si>
    <t>Gs transporte</t>
  </si>
  <si>
    <t>Gs administrativos</t>
  </si>
  <si>
    <t>Gs operativos locales</t>
  </si>
  <si>
    <t>Ferias</t>
  </si>
  <si>
    <t>se prorratea en 3</t>
  </si>
  <si>
    <t>Comimsion bancaria</t>
  </si>
  <si>
    <t>Prorrateada en 2 expo</t>
  </si>
  <si>
    <t>Acolchados</t>
  </si>
  <si>
    <t>Etiquetas</t>
  </si>
  <si>
    <t>Hilo</t>
  </si>
  <si>
    <t>Gastos operativos locales</t>
  </si>
  <si>
    <t>Gastos operativos destino</t>
  </si>
  <si>
    <t>Planchitas</t>
  </si>
  <si>
    <t xml:space="preserve">Transporte </t>
  </si>
  <si>
    <t xml:space="preserve">Utilidad </t>
  </si>
  <si>
    <t>Comestibles</t>
  </si>
  <si>
    <t>Cost de produccion</t>
  </si>
  <si>
    <t>Gs despachante</t>
  </si>
  <si>
    <t>Manejo de documentacion</t>
  </si>
  <si>
    <t>THC</t>
  </si>
  <si>
    <t>Gastos de produccion</t>
  </si>
  <si>
    <t>Gastos de administracion</t>
  </si>
  <si>
    <t>Gravamenes</t>
  </si>
  <si>
    <t>Burletes</t>
  </si>
  <si>
    <t>Gastos comercializacion internacional</t>
  </si>
  <si>
    <t>Gs fabricacion</t>
  </si>
  <si>
    <t>Gastos directos expo</t>
  </si>
  <si>
    <t>Barco</t>
  </si>
  <si>
    <t>Gastos indirectos expo</t>
  </si>
  <si>
    <t>Publicidad</t>
  </si>
  <si>
    <t>Seguro internacional</t>
  </si>
  <si>
    <t>Flete local</t>
  </si>
  <si>
    <t>Gestions documentos destino</t>
  </si>
  <si>
    <t>Gastos de exportacion</t>
  </si>
  <si>
    <t>Gastos de despacho</t>
  </si>
  <si>
    <t xml:space="preserve">Gs bancarios local </t>
  </si>
  <si>
    <t xml:space="preserve">Gs bancarios destino </t>
  </si>
  <si>
    <t>Seguro</t>
  </si>
  <si>
    <t>CIP</t>
  </si>
  <si>
    <t>DAT</t>
  </si>
  <si>
    <t xml:space="preserve">Latas </t>
  </si>
  <si>
    <t>Envases y embalaje</t>
  </si>
  <si>
    <t xml:space="preserve">MO </t>
  </si>
  <si>
    <t>Gs operativos en destino</t>
  </si>
  <si>
    <t>Com bancaria</t>
  </si>
  <si>
    <t>prorrateo en 2</t>
  </si>
  <si>
    <t>Gastos de comercializacion</t>
  </si>
  <si>
    <t>Gs directo de expo</t>
  </si>
  <si>
    <t>Gs indirecto de expo</t>
  </si>
  <si>
    <t>Gs por gravamenes</t>
  </si>
  <si>
    <t>FOB2u</t>
  </si>
  <si>
    <t>Protectores</t>
  </si>
  <si>
    <t>GS despacho</t>
  </si>
  <si>
    <t>prorratea en 3</t>
  </si>
  <si>
    <t>Costo de produccion</t>
  </si>
  <si>
    <t>Gs comercializacion</t>
  </si>
  <si>
    <t>Gs financieros</t>
  </si>
  <si>
    <t>Gs expo directo</t>
  </si>
  <si>
    <t>Gs expo indirecto</t>
  </si>
  <si>
    <t>Alfajores</t>
  </si>
  <si>
    <t>Com bancarias</t>
  </si>
  <si>
    <t>Transporte local</t>
  </si>
  <si>
    <t xml:space="preserve">Certificado </t>
  </si>
  <si>
    <t>Cambio</t>
  </si>
  <si>
    <t>Telefonos</t>
  </si>
  <si>
    <t>Muestras</t>
  </si>
  <si>
    <t>Certificaciones</t>
  </si>
  <si>
    <t>Transporte interno</t>
  </si>
  <si>
    <t>Estructuras</t>
  </si>
  <si>
    <t>Materiales</t>
  </si>
  <si>
    <t>Costo de fabricacion</t>
  </si>
  <si>
    <t>Gastos comerciales internacionales</t>
  </si>
  <si>
    <t>Utilidades</t>
  </si>
  <si>
    <t>Transporte origen</t>
  </si>
  <si>
    <t>Certificado NIMF</t>
  </si>
  <si>
    <t>FCA MPI</t>
  </si>
  <si>
    <t>FCA</t>
  </si>
  <si>
    <t>Deposito en destino</t>
  </si>
  <si>
    <t>se prorratea en 1000u</t>
  </si>
  <si>
    <t>esto del prorrateo que sean menos de 1500 raro, en el momento le preguntaria pero para mi se equivocaron</t>
  </si>
  <si>
    <t>FOB1</t>
  </si>
  <si>
    <t>Lo hago asi para comparar con el de mari</t>
  </si>
  <si>
    <t>FUBu</t>
  </si>
  <si>
    <t>Rubro 1 Costos de produccion</t>
  </si>
  <si>
    <t>Rubro 2 Costos admin</t>
  </si>
  <si>
    <t>Rubro 3 Gastos comer</t>
  </si>
  <si>
    <t>Rubro 4 costos financieros</t>
  </si>
  <si>
    <t>Rubro 5 Costos impositivos</t>
  </si>
  <si>
    <t>Gastos despacho</t>
  </si>
  <si>
    <t>transporte a depo</t>
  </si>
  <si>
    <t>Rubro 7 Gastos directos</t>
  </si>
  <si>
    <t>Rubro 8 Gastos indirectos</t>
  </si>
  <si>
    <t>MPI FCA</t>
  </si>
  <si>
    <t>Rubro 9 Gravamenes</t>
  </si>
  <si>
    <t>Transporte de MPI</t>
  </si>
  <si>
    <t>Rubro 10 incentivo</t>
  </si>
  <si>
    <t>Costos depo en destino</t>
  </si>
  <si>
    <t>embalaje</t>
  </si>
  <si>
    <t>Gastos comer</t>
  </si>
  <si>
    <t>Envases</t>
  </si>
  <si>
    <t>Certifiaciones</t>
  </si>
  <si>
    <t>Gs transporte destino</t>
  </si>
  <si>
    <t>MP impo</t>
  </si>
  <si>
    <t>Certiciado de origen</t>
  </si>
  <si>
    <t>Gs aduaneros local</t>
  </si>
  <si>
    <t>Gs tranporte local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</si>
</sst>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_-&quot;$&quot;\ * #,##0.00_-;\-&quot;$&quot;\ * #,##0.00_-;_-&quot;$&quot;\ * &quot;-&quot;??_-;_-@"/>
    <numFmt numFmtId="165" formatCode="0.0"/>
    <numFmt numFmtId="166" formatCode="0.00000000"/>
    <numFmt numFmtId="167" formatCode="0.0%"/>
  </numFmts>
  <fonts count="71">
    <font>
      <sz val="11.0"/>
      <color theme="1"/>
      <name val="Aptos Narrow"/>
      <scheme val="minor"/>
    </font>
    <font>
      <sz val="17.0"/>
      <color theme="1"/>
      <name val="Arial"/>
    </font>
    <font>
      <b/>
      <sz val="11.0"/>
      <color theme="1"/>
      <name val="Aptos Narrow"/>
    </font>
    <font>
      <sz val="11.0"/>
      <color theme="1"/>
      <name val="Aptos Narrow"/>
    </font>
    <font>
      <color theme="1"/>
      <name val="Aptos Narrow"/>
      <scheme val="minor"/>
    </font>
    <font/>
    <font>
      <sz val="13.0"/>
      <color theme="1"/>
      <name val="Arial"/>
    </font>
    <font>
      <color theme="1"/>
      <name val="Arial"/>
    </font>
    <font>
      <b/>
      <u/>
      <sz val="11.0"/>
      <color theme="1"/>
      <name val="Batang"/>
    </font>
    <font>
      <sz val="11.0"/>
      <color theme="1"/>
      <name val="Batang"/>
    </font>
    <font>
      <b/>
      <sz val="11.0"/>
      <color theme="1"/>
      <name val="Arial"/>
    </font>
    <font>
      <color rgb="FF000000"/>
      <name val="Arial"/>
    </font>
    <font>
      <b/>
      <sz val="11.0"/>
      <color rgb="FF000000"/>
      <name val="Batang"/>
    </font>
    <font>
      <sz val="11.0"/>
      <color rgb="FF000000"/>
      <name val="Batang"/>
    </font>
    <font>
      <b/>
      <u/>
      <sz val="11.0"/>
      <color theme="1"/>
      <name val="Batang"/>
    </font>
    <font>
      <b/>
      <u/>
      <sz val="11.0"/>
      <color rgb="FF000000"/>
      <name val="Batang"/>
    </font>
    <font>
      <b/>
      <u/>
      <sz val="16.0"/>
      <color rgb="FF000000"/>
      <name val="Batang"/>
    </font>
    <font>
      <b/>
      <sz val="16.0"/>
      <color rgb="FF000000"/>
      <name val="Batang"/>
    </font>
    <font>
      <b/>
      <u/>
      <sz val="11.0"/>
      <color rgb="FF002060"/>
      <name val="Batang"/>
    </font>
    <font>
      <sz val="11.0"/>
      <color rgb="FF002060"/>
      <name val="Batang"/>
    </font>
    <font>
      <b/>
      <u/>
      <sz val="16.0"/>
      <color rgb="FF002060"/>
      <name val="Batang"/>
    </font>
    <font>
      <b/>
      <sz val="16.0"/>
      <color rgb="FF002060"/>
      <name val="Batang"/>
    </font>
    <font>
      <b/>
      <u/>
      <sz val="11.0"/>
      <color theme="1"/>
      <name val="Batang"/>
    </font>
    <font>
      <sz val="11.0"/>
      <color rgb="FF00B050"/>
      <name val="Batang"/>
    </font>
    <font>
      <b/>
      <u/>
      <sz val="16.0"/>
      <color rgb="FF00B050"/>
      <name val="Batang"/>
    </font>
    <font>
      <b/>
      <sz val="16.0"/>
      <color rgb="FF00B050"/>
      <name val="Batang"/>
    </font>
    <font>
      <b/>
      <sz val="11.0"/>
      <color rgb="FF963634"/>
      <name val="Batang"/>
    </font>
    <font>
      <b/>
      <u/>
      <sz val="16.0"/>
      <color rgb="FF963634"/>
      <name val="Batang"/>
    </font>
    <font>
      <b/>
      <sz val="16.0"/>
      <color rgb="FF963634"/>
      <name val="Batang"/>
    </font>
    <font>
      <b/>
      <color theme="1"/>
      <name val="Arial"/>
    </font>
    <font>
      <sz val="14.0"/>
      <color rgb="FFC00000"/>
      <name val="Adobe Heiti Std R"/>
    </font>
    <font>
      <sz val="14.0"/>
      <color rgb="FFC00000"/>
      <name val="Arial"/>
    </font>
    <font>
      <b/>
      <sz val="11.0"/>
      <color theme="1"/>
      <name val="Batang"/>
    </font>
    <font>
      <b/>
      <sz val="18.0"/>
      <color theme="1"/>
      <name val="Batang"/>
    </font>
    <font>
      <b/>
      <u/>
      <sz val="11.0"/>
      <color rgb="FFC00000"/>
      <name val="Adobe Caslon Pro"/>
    </font>
    <font>
      <b/>
      <u/>
      <sz val="11.0"/>
      <color rgb="FF0033CC"/>
      <name val="Adobe Caslon Pro"/>
    </font>
    <font>
      <b/>
      <u/>
      <sz val="11.0"/>
      <color rgb="FFFF0066"/>
      <name val="Adobe Caslon Pro"/>
    </font>
    <font>
      <b/>
      <u/>
      <sz val="11.0"/>
      <color rgb="FF00CC00"/>
      <name val="Adobe Caslon Pro"/>
    </font>
    <font>
      <b/>
      <u/>
      <sz val="11.0"/>
      <color rgb="FF00CCFF"/>
      <name val="Adobe Caslon Pro"/>
    </font>
    <font>
      <b/>
      <u/>
      <sz val="11.0"/>
      <color rgb="FFC00000"/>
      <name val="Arial"/>
    </font>
    <font>
      <b/>
      <u/>
      <sz val="11.0"/>
      <color rgb="FF0033CC"/>
      <name val="Adobe Caslon Pro"/>
    </font>
    <font>
      <b/>
      <u/>
      <sz val="11.0"/>
      <color rgb="FFFF0066"/>
      <name val="Adobe Caslon Pro"/>
    </font>
    <font>
      <b/>
      <u/>
      <sz val="11.0"/>
      <color rgb="FF00CC00"/>
      <name val="Adobe Caslon Pro"/>
    </font>
    <font>
      <b/>
      <u/>
      <sz val="11.0"/>
      <color rgb="FF00CCFF"/>
      <name val="Adobe Caslon Pro"/>
    </font>
    <font>
      <sz val="11.0"/>
      <color rgb="FFC00000"/>
      <name val="Adobe Caslon Pro"/>
    </font>
    <font>
      <b/>
      <sz val="11.0"/>
      <color rgb="FF0070C0"/>
      <name val="Adobe Caslon Pro"/>
    </font>
    <font>
      <b/>
      <sz val="11.0"/>
      <color rgb="FF92D050"/>
      <name val="Adobe Caslon Pro"/>
    </font>
    <font>
      <b/>
      <u/>
      <sz val="11.0"/>
      <color rgb="FF660066"/>
      <name val="Adobe Caslon Pro"/>
    </font>
    <font>
      <b/>
      <u/>
      <sz val="11.0"/>
      <color rgb="FF0070C0"/>
      <name val="Adobe Caslon Pro"/>
    </font>
    <font>
      <b/>
      <u/>
      <sz val="11.0"/>
      <color rgb="FF666699"/>
      <name val="Adobe Caslon Pro"/>
    </font>
    <font>
      <b/>
      <u/>
      <sz val="11.0"/>
      <color rgb="FFE26B0A"/>
      <name val="Adobe Caslon Pro"/>
    </font>
    <font>
      <b/>
      <u/>
      <sz val="11.0"/>
      <color rgb="FF333300"/>
      <name val="Adobe Caslon Pro"/>
    </font>
    <font>
      <b/>
      <u/>
      <sz val="11.0"/>
      <color rgb="FF660066"/>
      <name val="Adobe Caslon Pro"/>
    </font>
    <font>
      <b/>
      <u/>
      <sz val="11.0"/>
      <color rgb="FF0070C0"/>
      <name val="Adobe Caslon Pro"/>
    </font>
    <font>
      <b/>
      <u/>
      <sz val="11.0"/>
      <color rgb="FF666699"/>
      <name val="Adobe Caslon Pro"/>
    </font>
    <font>
      <b/>
      <u/>
      <sz val="11.0"/>
      <color rgb="FFE26B0A"/>
      <name val="Adobe Caslon Pro"/>
    </font>
    <font>
      <b/>
      <u/>
      <sz val="11.0"/>
      <color rgb="FF333300"/>
      <name val="Adobe Caslon Pro"/>
    </font>
    <font>
      <b/>
      <sz val="11.0"/>
      <color rgb="FFFF0000"/>
      <name val="Adobe Caslon Pro"/>
    </font>
    <font>
      <sz val="11.0"/>
      <color rgb="FF0070C0"/>
      <name val="Adobe Caslon Pro"/>
    </font>
    <font>
      <b/>
      <sz val="11.0"/>
      <color rgb="FF002060"/>
      <name val="Adobe Caslon Pro"/>
    </font>
    <font>
      <b/>
      <sz val="11.0"/>
      <color rgb="FFE26B0A"/>
      <name val="Adobe Caslon Pro"/>
    </font>
    <font>
      <sz val="11.0"/>
      <color theme="1"/>
      <name val="Adobe Caslon Pro"/>
    </font>
    <font>
      <sz val="14.0"/>
      <color rgb="FFFF3300"/>
      <name val="Adobe Caslon Pro"/>
    </font>
    <font>
      <u/>
      <sz val="14.0"/>
      <color rgb="FFFF3300"/>
      <name val="Adobe Caslon Pro"/>
    </font>
    <font>
      <b/>
      <u/>
      <sz val="11.0"/>
      <color theme="1"/>
      <name val="Arial"/>
    </font>
    <font>
      <b/>
      <sz val="16.0"/>
      <color theme="1"/>
      <name val="Adobe Caslon Pro"/>
    </font>
    <font>
      <b/>
      <u/>
      <sz val="11.0"/>
      <color theme="1"/>
      <name val="Adobe Caslon Pro"/>
    </font>
    <font>
      <sz val="11.0"/>
      <color theme="1"/>
      <name val="Arial"/>
    </font>
    <font>
      <sz val="11.0"/>
      <color theme="1"/>
      <name val="Calibri"/>
    </font>
    <font>
      <sz val="9.0"/>
      <color theme="1"/>
      <name val="Quattrocento Sans"/>
    </font>
    <font>
      <sz val="10.0"/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FCE5CD"/>
        <bgColor rgb="FFFCE5CD"/>
      </patternFill>
    </fill>
    <fill>
      <patternFill patternType="solid">
        <fgColor rgb="FFC9DAF8"/>
        <bgColor rgb="FFC9DAF8"/>
      </patternFill>
    </fill>
    <fill>
      <patternFill patternType="solid">
        <fgColor rgb="FFA4C2F4"/>
        <bgColor rgb="FFA4C2F4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2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left style="medium">
        <color rgb="FFCCCCCC"/>
      </left>
      <top style="medium">
        <color rgb="FFCCCCCC"/>
      </top>
    </border>
    <border>
      <top style="medium">
        <color rgb="FFCCCCCC"/>
      </top>
    </border>
    <border>
      <right style="medium">
        <color rgb="FFCCCCCC"/>
      </right>
      <top style="medium">
        <color rgb="FFCCCCCC"/>
      </top>
    </border>
    <border>
      <left style="medium">
        <color rgb="FFCCCCCC"/>
      </left>
    </border>
    <border>
      <right style="medium">
        <color rgb="FFCCCCCC"/>
      </right>
    </border>
    <border>
      <left style="medium">
        <color rgb="FFCCCCCC"/>
      </left>
      <bottom style="medium">
        <color rgb="FFCCCCCC"/>
      </bottom>
    </border>
    <border>
      <bottom style="medium">
        <color rgb="FFCCCCCC"/>
      </bottom>
    </border>
    <border>
      <right style="medium">
        <color rgb="FFCCCCCC"/>
      </right>
      <bottom style="medium">
        <color rgb="FFCCCCCC"/>
      </bottom>
    </border>
  </borders>
  <cellStyleXfs count="1">
    <xf borderId="0" fillId="0" fontId="0" numFmtId="0" applyAlignment="1" applyFont="1"/>
  </cellStyleXfs>
  <cellXfs count="15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wrapText="1"/>
    </xf>
    <xf borderId="1" fillId="3" fontId="2" numFmtId="0" xfId="0" applyBorder="1" applyFill="1" applyFont="1"/>
    <xf borderId="1" fillId="0" fontId="3" numFmtId="0" xfId="0" applyBorder="1" applyFont="1"/>
    <xf borderId="0" fillId="0" fontId="4" numFmtId="0" xfId="0" applyFont="1"/>
    <xf borderId="1" fillId="0" fontId="3" numFmtId="9" xfId="0" applyBorder="1" applyFont="1" applyNumberFormat="1"/>
    <xf borderId="1" fillId="0" fontId="3" numFmtId="10" xfId="0" applyBorder="1" applyFont="1" applyNumberFormat="1"/>
    <xf borderId="2" fillId="4" fontId="2" numFmtId="0" xfId="0" applyAlignment="1" applyBorder="1" applyFill="1" applyFont="1">
      <alignment horizontal="left" vertical="center"/>
    </xf>
    <xf borderId="3" fillId="0" fontId="5" numFmtId="0" xfId="0" applyBorder="1" applyFont="1"/>
    <xf borderId="4" fillId="0" fontId="2" numFmtId="0" xfId="0" applyAlignment="1" applyBorder="1" applyFont="1">
      <alignment horizontal="center"/>
    </xf>
    <xf borderId="5" fillId="0" fontId="5" numFmtId="0" xfId="0" applyBorder="1" applyFont="1"/>
    <xf borderId="1" fillId="0" fontId="2" numFmtId="2" xfId="0" applyBorder="1" applyFont="1" applyNumberFormat="1"/>
    <xf borderId="0" fillId="0" fontId="6" numFmtId="0" xfId="0" applyAlignment="1" applyFont="1">
      <alignment vertical="bottom"/>
    </xf>
    <xf borderId="0" fillId="0" fontId="7" numFmtId="0" xfId="0" applyAlignment="1" applyFont="1">
      <alignment vertical="bottom"/>
    </xf>
    <xf borderId="0" fillId="0" fontId="7" numFmtId="0" xfId="0" applyAlignment="1" applyFont="1">
      <alignment vertical="bottom"/>
    </xf>
    <xf borderId="0" fillId="0" fontId="8" numFmtId="0" xfId="0" applyAlignment="1" applyFont="1">
      <alignment vertical="bottom"/>
    </xf>
    <xf borderId="0" fillId="0" fontId="9" numFmtId="0" xfId="0" applyAlignment="1" applyFont="1">
      <alignment vertical="bottom"/>
    </xf>
    <xf borderId="0" fillId="0" fontId="3" numFmtId="0" xfId="0" applyAlignment="1" applyFont="1">
      <alignment horizontal="center"/>
    </xf>
    <xf borderId="1" fillId="3" fontId="10" numFmtId="0" xfId="0" applyAlignment="1" applyBorder="1" applyFont="1">
      <alignment readingOrder="0"/>
    </xf>
    <xf borderId="1" fillId="0" fontId="11" numFmtId="4" xfId="0" applyAlignment="1" applyBorder="1" applyFont="1" applyNumberFormat="1">
      <alignment vertical="bottom"/>
    </xf>
    <xf borderId="0" fillId="0" fontId="3" numFmtId="164" xfId="0" applyFont="1" applyNumberFormat="1"/>
    <xf borderId="1" fillId="0" fontId="12" numFmtId="164" xfId="0" applyAlignment="1" applyBorder="1" applyFont="1" applyNumberFormat="1">
      <alignment horizontal="center" vertical="bottom"/>
    </xf>
    <xf borderId="1" fillId="0" fontId="13" numFmtId="4" xfId="0" applyAlignment="1" applyBorder="1" applyFont="1" applyNumberFormat="1">
      <alignment horizontal="right" vertical="bottom"/>
    </xf>
    <xf borderId="1" fillId="0" fontId="11" numFmtId="0" xfId="0" applyAlignment="1" applyBorder="1" applyFont="1">
      <alignment vertical="bottom"/>
    </xf>
    <xf borderId="1" fillId="0" fontId="13" numFmtId="0" xfId="0" applyAlignment="1" applyBorder="1" applyFont="1">
      <alignment horizontal="right" vertical="bottom"/>
    </xf>
    <xf borderId="0" fillId="0" fontId="3" numFmtId="10" xfId="0" applyFont="1" applyNumberFormat="1"/>
    <xf borderId="0" fillId="0" fontId="3" numFmtId="9" xfId="0" applyFont="1" applyNumberFormat="1"/>
    <xf borderId="1" fillId="0" fontId="13" numFmtId="0" xfId="0" applyAlignment="1" applyBorder="1" applyFont="1">
      <alignment horizontal="right" readingOrder="0" vertical="bottom"/>
    </xf>
    <xf borderId="1" fillId="0" fontId="13" numFmtId="10" xfId="0" applyAlignment="1" applyBorder="1" applyFont="1" applyNumberFormat="1">
      <alignment horizontal="right" vertical="bottom"/>
    </xf>
    <xf borderId="1" fillId="0" fontId="13" numFmtId="9" xfId="0" applyAlignment="1" applyBorder="1" applyFont="1" applyNumberFormat="1">
      <alignment horizontal="right" vertical="bottom"/>
    </xf>
    <xf borderId="0" fillId="0" fontId="7" numFmtId="9" xfId="0" applyAlignment="1" applyFont="1" applyNumberFormat="1">
      <alignment vertical="bottom"/>
    </xf>
    <xf borderId="0" fillId="0" fontId="2" numFmtId="0" xfId="0" applyFont="1"/>
    <xf borderId="0" fillId="0" fontId="3" numFmtId="0" xfId="0" applyFont="1"/>
    <xf borderId="1" fillId="0" fontId="13" numFmtId="0" xfId="0" applyAlignment="1" applyBorder="1" applyFont="1">
      <alignment horizontal="right" vertical="bottom"/>
    </xf>
    <xf borderId="0" fillId="0" fontId="2" numFmtId="164" xfId="0" applyFont="1" applyNumberFormat="1"/>
    <xf borderId="0" fillId="0" fontId="14" numFmtId="0" xfId="0" applyAlignment="1" applyFont="1">
      <alignment vertical="bottom"/>
    </xf>
    <xf borderId="6" fillId="5" fontId="2" numFmtId="164" xfId="0" applyBorder="1" applyFill="1" applyFont="1" applyNumberFormat="1"/>
    <xf borderId="7" fillId="0" fontId="11" numFmtId="0" xfId="0" applyAlignment="1" applyBorder="1" applyFont="1">
      <alignment vertical="bottom"/>
    </xf>
    <xf borderId="8" fillId="0" fontId="15" numFmtId="0" xfId="0" applyAlignment="1" applyBorder="1" applyFont="1">
      <alignment horizontal="center" vertical="bottom"/>
    </xf>
    <xf borderId="9" fillId="0" fontId="13" numFmtId="0" xfId="0" applyAlignment="1" applyBorder="1" applyFont="1">
      <alignment vertical="bottom"/>
    </xf>
    <xf borderId="10" fillId="0" fontId="13" numFmtId="0" xfId="0" applyAlignment="1" applyBorder="1" applyFont="1">
      <alignment horizontal="right" vertical="bottom"/>
    </xf>
    <xf borderId="9" fillId="0" fontId="12" numFmtId="0" xfId="0" applyAlignment="1" applyBorder="1" applyFont="1">
      <alignment vertical="bottom"/>
    </xf>
    <xf borderId="10" fillId="0" fontId="12" numFmtId="0" xfId="0" applyAlignment="1" applyBorder="1" applyFont="1">
      <alignment horizontal="right" vertical="bottom"/>
    </xf>
    <xf borderId="4" fillId="0" fontId="16" numFmtId="0" xfId="0" applyAlignment="1" applyBorder="1" applyFont="1">
      <alignment vertical="bottom"/>
    </xf>
    <xf borderId="5" fillId="0" fontId="17" numFmtId="0" xfId="0" applyAlignment="1" applyBorder="1" applyFont="1">
      <alignment horizontal="right" vertical="bottom"/>
    </xf>
    <xf borderId="0" fillId="0" fontId="13" numFmtId="0" xfId="0" applyAlignment="1" applyFont="1">
      <alignment vertical="bottom"/>
    </xf>
    <xf borderId="7" fillId="0" fontId="7" numFmtId="0" xfId="0" applyAlignment="1" applyBorder="1" applyFont="1">
      <alignment vertical="bottom"/>
    </xf>
    <xf borderId="8" fillId="0" fontId="18" numFmtId="0" xfId="0" applyAlignment="1" applyBorder="1" applyFont="1">
      <alignment horizontal="center" vertical="bottom"/>
    </xf>
    <xf borderId="9" fillId="0" fontId="19" numFmtId="0" xfId="0" applyAlignment="1" applyBorder="1" applyFont="1">
      <alignment vertical="bottom"/>
    </xf>
    <xf borderId="10" fillId="0" fontId="19" numFmtId="0" xfId="0" applyAlignment="1" applyBorder="1" applyFont="1">
      <alignment horizontal="right" vertical="bottom"/>
    </xf>
    <xf borderId="4" fillId="0" fontId="20" numFmtId="0" xfId="0" applyAlignment="1" applyBorder="1" applyFont="1">
      <alignment vertical="bottom"/>
    </xf>
    <xf borderId="5" fillId="0" fontId="21" numFmtId="0" xfId="0" applyAlignment="1" applyBorder="1" applyFont="1">
      <alignment horizontal="right" vertical="bottom"/>
    </xf>
    <xf borderId="0" fillId="0" fontId="22" numFmtId="0" xfId="0" applyAlignment="1" applyFont="1">
      <alignment horizontal="center" vertical="bottom"/>
    </xf>
    <xf borderId="7" fillId="0" fontId="23" numFmtId="0" xfId="0" applyAlignment="1" applyBorder="1" applyFont="1">
      <alignment vertical="bottom"/>
    </xf>
    <xf borderId="8" fillId="0" fontId="23" numFmtId="0" xfId="0" applyAlignment="1" applyBorder="1" applyFont="1">
      <alignment horizontal="right" vertical="bottom"/>
    </xf>
    <xf borderId="9" fillId="0" fontId="23" numFmtId="0" xfId="0" applyAlignment="1" applyBorder="1" applyFont="1">
      <alignment vertical="bottom"/>
    </xf>
    <xf borderId="10" fillId="0" fontId="23" numFmtId="0" xfId="0" applyAlignment="1" applyBorder="1" applyFont="1">
      <alignment horizontal="right" vertical="bottom"/>
    </xf>
    <xf borderId="4" fillId="0" fontId="24" numFmtId="0" xfId="0" applyAlignment="1" applyBorder="1" applyFont="1">
      <alignment vertical="bottom"/>
    </xf>
    <xf borderId="5" fillId="0" fontId="25" numFmtId="0" xfId="0" applyAlignment="1" applyBorder="1" applyFont="1">
      <alignment horizontal="right" vertical="bottom"/>
    </xf>
    <xf borderId="7" fillId="0" fontId="26" numFmtId="0" xfId="0" applyAlignment="1" applyBorder="1" applyFont="1">
      <alignment vertical="bottom"/>
    </xf>
    <xf borderId="8" fillId="0" fontId="26" numFmtId="0" xfId="0" applyAlignment="1" applyBorder="1" applyFont="1">
      <alignment horizontal="right" vertical="bottom"/>
    </xf>
    <xf borderId="9" fillId="0" fontId="26" numFmtId="0" xfId="0" applyAlignment="1" applyBorder="1" applyFont="1">
      <alignment vertical="bottom"/>
    </xf>
    <xf borderId="10" fillId="0" fontId="26" numFmtId="0" xfId="0" applyAlignment="1" applyBorder="1" applyFont="1">
      <alignment horizontal="right" vertical="bottom"/>
    </xf>
    <xf borderId="4" fillId="0" fontId="27" numFmtId="0" xfId="0" applyAlignment="1" applyBorder="1" applyFont="1">
      <alignment vertical="bottom"/>
    </xf>
    <xf borderId="5" fillId="0" fontId="28" numFmtId="0" xfId="0" applyAlignment="1" applyBorder="1" applyFont="1">
      <alignment horizontal="right" vertical="bottom"/>
    </xf>
    <xf borderId="0" fillId="0" fontId="29" numFmtId="0" xfId="0" applyAlignment="1" applyFont="1">
      <alignment vertical="bottom"/>
    </xf>
    <xf borderId="4" fillId="0" fontId="30" numFmtId="0" xfId="0" applyAlignment="1" applyBorder="1" applyFont="1">
      <alignment horizontal="center" vertical="bottom"/>
    </xf>
    <xf borderId="5" fillId="0" fontId="31" numFmtId="0" xfId="0" applyAlignment="1" applyBorder="1" applyFont="1">
      <alignment horizontal="center" vertical="bottom"/>
    </xf>
    <xf borderId="0" fillId="0" fontId="9" numFmtId="0" xfId="0" applyAlignment="1" applyFont="1">
      <alignment vertical="bottom"/>
    </xf>
    <xf borderId="0" fillId="0" fontId="32" numFmtId="0" xfId="0" applyAlignment="1" applyFont="1">
      <alignment horizontal="center" vertical="bottom"/>
    </xf>
    <xf borderId="0" fillId="5" fontId="9" numFmtId="0" xfId="0" applyAlignment="1" applyFont="1">
      <alignment horizontal="right" vertical="bottom"/>
    </xf>
    <xf borderId="1" fillId="0" fontId="33" numFmtId="0" xfId="0" applyAlignment="1" applyBorder="1" applyFont="1">
      <alignment horizontal="center" vertical="bottom"/>
    </xf>
    <xf borderId="1" fillId="0" fontId="7" numFmtId="0" xfId="0" applyAlignment="1" applyBorder="1" applyFont="1">
      <alignment vertical="bottom"/>
    </xf>
    <xf borderId="2" fillId="0" fontId="34" numFmtId="0" xfId="0" applyAlignment="1" applyBorder="1" applyFont="1">
      <alignment horizontal="center" vertical="bottom"/>
    </xf>
    <xf borderId="8" fillId="0" fontId="35" numFmtId="0" xfId="0" applyAlignment="1" applyBorder="1" applyFont="1">
      <alignment horizontal="center" vertical="bottom"/>
    </xf>
    <xf borderId="8" fillId="0" fontId="36" numFmtId="0" xfId="0" applyAlignment="1" applyBorder="1" applyFont="1">
      <alignment horizontal="center" vertical="bottom"/>
    </xf>
    <xf borderId="8" fillId="0" fontId="37" numFmtId="0" xfId="0" applyAlignment="1" applyBorder="1" applyFont="1">
      <alignment horizontal="center" vertical="bottom"/>
    </xf>
    <xf borderId="8" fillId="0" fontId="38" numFmtId="0" xfId="0" applyAlignment="1" applyBorder="1" applyFont="1">
      <alignment horizontal="center" vertical="bottom"/>
    </xf>
    <xf borderId="11" fillId="0" fontId="39" numFmtId="0" xfId="0" applyAlignment="1" applyBorder="1" applyFont="1">
      <alignment horizontal="center" vertical="bottom"/>
    </xf>
    <xf borderId="10" fillId="0" fontId="40" numFmtId="0" xfId="0" applyAlignment="1" applyBorder="1" applyFont="1">
      <alignment horizontal="center" vertical="bottom"/>
    </xf>
    <xf borderId="10" fillId="0" fontId="41" numFmtId="0" xfId="0" applyAlignment="1" applyBorder="1" applyFont="1">
      <alignment horizontal="center" vertical="bottom"/>
    </xf>
    <xf borderId="10" fillId="0" fontId="42" numFmtId="0" xfId="0" applyAlignment="1" applyBorder="1" applyFont="1">
      <alignment horizontal="center" vertical="bottom"/>
    </xf>
    <xf borderId="10" fillId="0" fontId="43" numFmtId="0" xfId="0" applyAlignment="1" applyBorder="1" applyFont="1">
      <alignment horizontal="center" vertical="bottom"/>
    </xf>
    <xf borderId="11" fillId="0" fontId="44" numFmtId="4" xfId="0" applyAlignment="1" applyBorder="1" applyFont="1" applyNumberFormat="1">
      <alignment horizontal="center" vertical="bottom"/>
    </xf>
    <xf borderId="10" fillId="0" fontId="45" numFmtId="0" xfId="0" applyAlignment="1" applyBorder="1" applyFont="1">
      <alignment horizontal="center" vertical="bottom"/>
    </xf>
    <xf borderId="10" fillId="0" fontId="7" numFmtId="0" xfId="0" applyAlignment="1" applyBorder="1" applyFont="1">
      <alignment vertical="bottom"/>
    </xf>
    <xf borderId="10" fillId="0" fontId="46" numFmtId="0" xfId="0" applyAlignment="1" applyBorder="1" applyFont="1">
      <alignment horizontal="center" vertical="bottom"/>
    </xf>
    <xf borderId="2" fillId="0" fontId="47" numFmtId="0" xfId="0" applyAlignment="1" applyBorder="1" applyFont="1">
      <alignment horizontal="center" vertical="bottom"/>
    </xf>
    <xf borderId="8" fillId="0" fontId="48" numFmtId="0" xfId="0" applyAlignment="1" applyBorder="1" applyFont="1">
      <alignment horizontal="center" vertical="bottom"/>
    </xf>
    <xf borderId="8" fillId="0" fontId="49" numFmtId="0" xfId="0" applyAlignment="1" applyBorder="1" applyFont="1">
      <alignment horizontal="center" vertical="bottom"/>
    </xf>
    <xf borderId="8" fillId="0" fontId="50" numFmtId="0" xfId="0" applyAlignment="1" applyBorder="1" applyFont="1">
      <alignment horizontal="center" vertical="bottom"/>
    </xf>
    <xf borderId="8" fillId="0" fontId="51" numFmtId="0" xfId="0" applyAlignment="1" applyBorder="1" applyFont="1">
      <alignment horizontal="center" vertical="bottom"/>
    </xf>
    <xf borderId="11" fillId="0" fontId="52" numFmtId="0" xfId="0" applyAlignment="1" applyBorder="1" applyFont="1">
      <alignment horizontal="center" vertical="bottom"/>
    </xf>
    <xf borderId="10" fillId="0" fontId="53" numFmtId="0" xfId="0" applyAlignment="1" applyBorder="1" applyFont="1">
      <alignment horizontal="center" vertical="bottom"/>
    </xf>
    <xf borderId="10" fillId="0" fontId="54" numFmtId="0" xfId="0" applyAlignment="1" applyBorder="1" applyFont="1">
      <alignment horizontal="center" vertical="bottom"/>
    </xf>
    <xf borderId="10" fillId="0" fontId="55" numFmtId="0" xfId="0" applyAlignment="1" applyBorder="1" applyFont="1">
      <alignment horizontal="center" vertical="bottom"/>
    </xf>
    <xf borderId="10" fillId="0" fontId="56" numFmtId="0" xfId="0" applyAlignment="1" applyBorder="1" applyFont="1">
      <alignment horizontal="center" vertical="bottom"/>
    </xf>
    <xf borderId="11" fillId="0" fontId="57" numFmtId="0" xfId="0" applyAlignment="1" applyBorder="1" applyFont="1">
      <alignment horizontal="center" vertical="bottom"/>
    </xf>
    <xf borderId="10" fillId="0" fontId="58" numFmtId="4" xfId="0" applyAlignment="1" applyBorder="1" applyFont="1" applyNumberFormat="1">
      <alignment horizontal="center" vertical="bottom"/>
    </xf>
    <xf borderId="10" fillId="0" fontId="59" numFmtId="10" xfId="0" applyAlignment="1" applyBorder="1" applyFont="1" applyNumberFormat="1">
      <alignment horizontal="center" vertical="bottom"/>
    </xf>
    <xf borderId="10" fillId="0" fontId="60" numFmtId="9" xfId="0" applyAlignment="1" applyBorder="1" applyFont="1" applyNumberFormat="1">
      <alignment horizontal="center" vertical="bottom"/>
    </xf>
    <xf borderId="10" fillId="0" fontId="61" numFmtId="9" xfId="0" applyAlignment="1" applyBorder="1" applyFont="1" applyNumberFormat="1">
      <alignment horizontal="center" vertical="bottom"/>
    </xf>
    <xf borderId="0" fillId="0" fontId="61" numFmtId="0" xfId="0" applyAlignment="1" applyFont="1">
      <alignment horizontal="center" vertical="bottom"/>
    </xf>
    <xf borderId="12" fillId="0" fontId="7" numFmtId="0" xfId="0" applyAlignment="1" applyBorder="1" applyFont="1">
      <alignment vertical="bottom"/>
    </xf>
    <xf borderId="8" fillId="0" fontId="7" numFmtId="0" xfId="0" applyAlignment="1" applyBorder="1" applyFont="1">
      <alignment vertical="bottom"/>
    </xf>
    <xf borderId="9" fillId="0" fontId="62" numFmtId="0" xfId="0" applyAlignment="1" applyBorder="1" applyFont="1">
      <alignment horizontal="center" vertical="bottom"/>
    </xf>
    <xf borderId="0" fillId="0" fontId="63" numFmtId="0" xfId="0" applyAlignment="1" applyFont="1">
      <alignment horizontal="center" vertical="bottom"/>
    </xf>
    <xf borderId="0" fillId="0" fontId="64" numFmtId="0" xfId="0" applyAlignment="1" applyFont="1">
      <alignment horizontal="center" vertical="bottom"/>
    </xf>
    <xf borderId="1" fillId="0" fontId="65" numFmtId="0" xfId="0" applyAlignment="1" applyBorder="1" applyFont="1">
      <alignment horizontal="center" vertical="bottom"/>
    </xf>
    <xf borderId="13" fillId="0" fontId="7" numFmtId="0" xfId="0" applyAlignment="1" applyBorder="1" applyFont="1">
      <alignment vertical="bottom"/>
    </xf>
    <xf borderId="14" fillId="0" fontId="62" numFmtId="0" xfId="0" applyAlignment="1" applyBorder="1" applyFont="1">
      <alignment horizontal="center" vertical="bottom"/>
    </xf>
    <xf borderId="14" fillId="0" fontId="7" numFmtId="0" xfId="0" applyAlignment="1" applyBorder="1" applyFont="1">
      <alignment horizontal="center" vertical="bottom"/>
    </xf>
    <xf borderId="14" fillId="0" fontId="10" numFmtId="0" xfId="0" applyAlignment="1" applyBorder="1" applyFont="1">
      <alignment horizontal="center" vertical="bottom"/>
    </xf>
    <xf borderId="0" fillId="0" fontId="66" numFmtId="0" xfId="0" applyAlignment="1" applyFont="1">
      <alignment horizontal="center" vertical="bottom"/>
    </xf>
    <xf borderId="0" fillId="0" fontId="61" numFmtId="0" xfId="0" applyAlignment="1" applyFont="1">
      <alignment vertical="bottom"/>
    </xf>
    <xf borderId="0" fillId="0" fontId="67" numFmtId="4" xfId="0" applyAlignment="1" applyFont="1" applyNumberFormat="1">
      <alignment horizontal="right" vertical="bottom"/>
    </xf>
    <xf borderId="0" fillId="0" fontId="61" numFmtId="10" xfId="0" applyAlignment="1" applyFont="1" applyNumberFormat="1">
      <alignment horizontal="right" vertical="bottom"/>
    </xf>
    <xf borderId="0" fillId="0" fontId="61" numFmtId="9" xfId="0" applyAlignment="1" applyFont="1" applyNumberFormat="1">
      <alignment horizontal="right" vertical="bottom"/>
    </xf>
    <xf borderId="0" fillId="0" fontId="68" numFmtId="0" xfId="0" applyAlignment="1" applyFont="1">
      <alignment horizontal="right" vertical="bottom"/>
    </xf>
    <xf borderId="0" fillId="0" fontId="68" numFmtId="9" xfId="0" applyAlignment="1" applyFont="1" applyNumberFormat="1">
      <alignment horizontal="right" vertical="bottom"/>
    </xf>
    <xf borderId="0" fillId="0" fontId="68" numFmtId="0" xfId="0" applyAlignment="1" applyFont="1">
      <alignment vertical="bottom"/>
    </xf>
    <xf borderId="1" fillId="0" fontId="3" numFmtId="1" xfId="0" applyBorder="1" applyFont="1" applyNumberFormat="1"/>
    <xf borderId="0" fillId="0" fontId="69" numFmtId="0" xfId="0" applyAlignment="1" applyFont="1">
      <alignment vertical="center"/>
    </xf>
    <xf borderId="0" fillId="0" fontId="7" numFmtId="0" xfId="0" applyAlignment="1" applyFont="1">
      <alignment readingOrder="0"/>
    </xf>
    <xf borderId="1" fillId="0" fontId="67" numFmtId="0" xfId="0" applyAlignment="1" applyBorder="1" applyFont="1">
      <alignment readingOrder="0"/>
    </xf>
    <xf borderId="1" fillId="0" fontId="3" numFmtId="165" xfId="0" applyBorder="1" applyFont="1" applyNumberFormat="1"/>
    <xf borderId="1" fillId="0" fontId="3" numFmtId="166" xfId="0" applyBorder="1" applyFont="1" applyNumberFormat="1"/>
    <xf borderId="1" fillId="0" fontId="3" numFmtId="2" xfId="0" applyBorder="1" applyFont="1" applyNumberFormat="1"/>
    <xf borderId="0" fillId="0" fontId="3" numFmtId="1" xfId="0" applyFont="1" applyNumberFormat="1"/>
    <xf borderId="0" fillId="0" fontId="7" numFmtId="0" xfId="0" applyAlignment="1" applyFont="1">
      <alignment horizontal="right" vertical="bottom"/>
    </xf>
    <xf borderId="1" fillId="0" fontId="67" numFmtId="1" xfId="0" applyAlignment="1" applyBorder="1" applyFont="1" applyNumberFormat="1">
      <alignment readingOrder="0"/>
    </xf>
    <xf borderId="1" fillId="6" fontId="3" numFmtId="3" xfId="0" applyBorder="1" applyFill="1" applyFont="1" applyNumberFormat="1"/>
    <xf borderId="1" fillId="0" fontId="3" numFmtId="4" xfId="0" applyBorder="1" applyFont="1" applyNumberFormat="1"/>
    <xf borderId="1" fillId="0" fontId="3" numFmtId="167" xfId="0" applyBorder="1" applyFont="1" applyNumberFormat="1"/>
    <xf borderId="1" fillId="6" fontId="3" numFmtId="167" xfId="0" applyBorder="1" applyFont="1" applyNumberFormat="1"/>
    <xf borderId="0" fillId="0" fontId="3" numFmtId="4" xfId="0" applyFont="1" applyNumberFormat="1"/>
    <xf borderId="15" fillId="0" fontId="70" numFmtId="0" xfId="0" applyAlignment="1" applyBorder="1" applyFont="1">
      <alignment shrinkToFit="0" vertical="center" wrapText="1"/>
    </xf>
    <xf borderId="16" fillId="0" fontId="5" numFmtId="0" xfId="0" applyBorder="1" applyFont="1"/>
    <xf borderId="17" fillId="0" fontId="5" numFmtId="0" xfId="0" applyBorder="1" applyFont="1"/>
    <xf borderId="18" fillId="0" fontId="5" numFmtId="0" xfId="0" applyBorder="1" applyFont="1"/>
    <xf borderId="19" fillId="0" fontId="5" numFmtId="0" xfId="0" applyBorder="1" applyFont="1"/>
    <xf borderId="20" fillId="0" fontId="5" numFmtId="0" xfId="0" applyBorder="1" applyFont="1"/>
    <xf borderId="21" fillId="0" fontId="5" numFmtId="0" xfId="0" applyBorder="1" applyFont="1"/>
    <xf borderId="22" fillId="0" fontId="5" numFmtId="0" xfId="0" applyBorder="1" applyFont="1"/>
    <xf borderId="1" fillId="0" fontId="3" numFmtId="3" xfId="0" applyBorder="1" applyFont="1" applyNumberFormat="1"/>
    <xf borderId="1" fillId="0" fontId="67" numFmtId="9" xfId="0" applyAlignment="1" applyBorder="1" applyFont="1" applyNumberFormat="1">
      <alignment readingOrder="0"/>
    </xf>
    <xf borderId="0" fillId="0" fontId="67" numFmtId="10" xfId="0" applyAlignment="1" applyFont="1" applyNumberFormat="1">
      <alignment readingOrder="0"/>
    </xf>
    <xf borderId="0" fillId="0" fontId="4" numFmtId="1" xfId="0" applyFont="1" applyNumberFormat="1"/>
    <xf borderId="0" fillId="0" fontId="3" numFmtId="165" xfId="0" applyFont="1" applyNumberFormat="1"/>
    <xf borderId="0" fillId="0" fontId="67" numFmtId="0" xfId="0" applyAlignment="1" applyFont="1">
      <alignment horizontal="center" readingOrder="0" shrinkToFit="0" vertical="center" wrapText="1"/>
    </xf>
    <xf borderId="0" fillId="0" fontId="7" numFmtId="9" xfId="0" applyAlignment="1" applyFont="1" applyNumberFormat="1">
      <alignment horizontal="right" vertical="bottom"/>
    </xf>
    <xf borderId="0" fillId="0" fontId="7" numFmtId="10" xfId="0" applyAlignment="1" applyFont="1" applyNumberFormat="1">
      <alignment horizontal="right" vertical="bottom"/>
    </xf>
    <xf borderId="0" fillId="0" fontId="3" numFmtId="0" xfId="0" applyAlignment="1" applyFont="1">
      <alignment horizontal="center" vertical="center"/>
    </xf>
    <xf borderId="0" fillId="0" fontId="3" numFmtId="167" xfId="0" applyFont="1" applyNumberFormat="1"/>
    <xf borderId="0" fillId="0" fontId="4" numFmtId="10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customschemas.google.com/relationships/workbookmetadata" Target="metadata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5.png"/><Relationship Id="rId3" Type="http://schemas.openxmlformats.org/officeDocument/2006/relationships/image" Target="../media/image13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Relationship Id="rId3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3.png"/><Relationship Id="rId3" Type="http://schemas.openxmlformats.org/officeDocument/2006/relationships/image" Target="../media/image1.png"/><Relationship Id="rId4" Type="http://schemas.openxmlformats.org/officeDocument/2006/relationships/image" Target="../media/image9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5.jpg"/><Relationship Id="rId3" Type="http://schemas.openxmlformats.org/officeDocument/2006/relationships/image" Target="../media/image6.jpg"/><Relationship Id="rId4" Type="http://schemas.openxmlformats.org/officeDocument/2006/relationships/image" Target="../media/image10.jp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9.png"/><Relationship Id="rId2" Type="http://schemas.openxmlformats.org/officeDocument/2006/relationships/image" Target="../media/image3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16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34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22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33.png"/><Relationship Id="rId2" Type="http://schemas.openxmlformats.org/officeDocument/2006/relationships/image" Target="../media/image2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32.png"/><Relationship Id="rId2" Type="http://schemas.openxmlformats.org/officeDocument/2006/relationships/image" Target="../media/image25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27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24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30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35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2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676275</xdr:colOff>
      <xdr:row>0</xdr:row>
      <xdr:rowOff>0</xdr:rowOff>
    </xdr:from>
    <xdr:ext cx="7353300" cy="5143500"/>
    <xdr:pic>
      <xdr:nvPicPr>
        <xdr:cNvPr id="0" name="image14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133350</xdr:colOff>
      <xdr:row>27</xdr:row>
      <xdr:rowOff>133350</xdr:rowOff>
    </xdr:from>
    <xdr:ext cx="4152900" cy="1295400"/>
    <xdr:pic>
      <xdr:nvPicPr>
        <xdr:cNvPr id="0" name="image15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57150</xdr:colOff>
      <xdr:row>34</xdr:row>
      <xdr:rowOff>161925</xdr:rowOff>
    </xdr:from>
    <xdr:ext cx="4305300" cy="838200"/>
    <xdr:pic>
      <xdr:nvPicPr>
        <xdr:cNvPr id="0" name="image13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7686675" cy="2495550"/>
    <xdr:pic>
      <xdr:nvPicPr>
        <xdr:cNvPr id="0" name="image26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5972175" cy="1743075"/>
    <xdr:pic>
      <xdr:nvPicPr>
        <xdr:cNvPr id="0" name="image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</xdr:row>
      <xdr:rowOff>28575</xdr:rowOff>
    </xdr:from>
    <xdr:ext cx="5819775" cy="3619500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19050</xdr:colOff>
      <xdr:row>34</xdr:row>
      <xdr:rowOff>171450</xdr:rowOff>
    </xdr:from>
    <xdr:ext cx="2371725" cy="904875"/>
    <xdr:pic>
      <xdr:nvPicPr>
        <xdr:cNvPr id="0" name="image1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5095875" cy="1362075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</xdr:row>
      <xdr:rowOff>19050</xdr:rowOff>
    </xdr:from>
    <xdr:ext cx="5095875" cy="4076700"/>
    <xdr:pic>
      <xdr:nvPicPr>
        <xdr:cNvPr id="0" name="image23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609600</xdr:colOff>
      <xdr:row>33</xdr:row>
      <xdr:rowOff>19050</xdr:rowOff>
    </xdr:from>
    <xdr:ext cx="2371725" cy="904875"/>
    <xdr:pic>
      <xdr:nvPicPr>
        <xdr:cNvPr id="0" name="image1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609600</xdr:colOff>
      <xdr:row>37</xdr:row>
      <xdr:rowOff>95250</xdr:rowOff>
    </xdr:from>
    <xdr:ext cx="2371725" cy="790575"/>
    <xdr:pic>
      <xdr:nvPicPr>
        <xdr:cNvPr id="0" name="image9.png" title="Imagen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8734425" cy="3600450"/>
    <xdr:pic>
      <xdr:nvPicPr>
        <xdr:cNvPr id="0" name="image7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752475</xdr:colOff>
      <xdr:row>15</xdr:row>
      <xdr:rowOff>66675</xdr:rowOff>
    </xdr:from>
    <xdr:ext cx="7705725" cy="10267950"/>
    <xdr:pic>
      <xdr:nvPicPr>
        <xdr:cNvPr id="0" name="image5.jp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685800</xdr:colOff>
      <xdr:row>15</xdr:row>
      <xdr:rowOff>19050</xdr:rowOff>
    </xdr:from>
    <xdr:ext cx="7286625" cy="9744075"/>
    <xdr:pic>
      <xdr:nvPicPr>
        <xdr:cNvPr id="0" name="image6.jp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800100</xdr:colOff>
      <xdr:row>8</xdr:row>
      <xdr:rowOff>-209550</xdr:rowOff>
    </xdr:from>
    <xdr:ext cx="4810125" cy="6410325"/>
    <xdr:pic>
      <xdr:nvPicPr>
        <xdr:cNvPr id="0" name="image10.jpg" title="Imagen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7400925" cy="4248150"/>
    <xdr:pic>
      <xdr:nvPicPr>
        <xdr:cNvPr id="0" name="image8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-95250</xdr:colOff>
      <xdr:row>0</xdr:row>
      <xdr:rowOff>0</xdr:rowOff>
    </xdr:from>
    <xdr:ext cx="9105900" cy="4895850"/>
    <xdr:pic>
      <xdr:nvPicPr>
        <xdr:cNvPr id="0" name="image17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5362575" cy="1619250"/>
    <xdr:pic>
      <xdr:nvPicPr>
        <xdr:cNvPr id="0" name="image1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</xdr:row>
      <xdr:rowOff>0</xdr:rowOff>
    </xdr:from>
    <xdr:ext cx="5353050" cy="2771775"/>
    <xdr:pic>
      <xdr:nvPicPr>
        <xdr:cNvPr id="0" name="image1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6477000" cy="1828800"/>
    <xdr:pic>
      <xdr:nvPicPr>
        <xdr:cNvPr id="0" name="image29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</xdr:row>
      <xdr:rowOff>161925</xdr:rowOff>
    </xdr:from>
    <xdr:ext cx="6477000" cy="3686175"/>
    <xdr:pic>
      <xdr:nvPicPr>
        <xdr:cNvPr id="0" name="image31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6972300" cy="2238375"/>
    <xdr:pic>
      <xdr:nvPicPr>
        <xdr:cNvPr id="0" name="image20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12</xdr:row>
      <xdr:rowOff>66675</xdr:rowOff>
    </xdr:from>
    <xdr:ext cx="6791325" cy="2733675"/>
    <xdr:pic>
      <xdr:nvPicPr>
        <xdr:cNvPr id="0" name="image16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8258175" cy="1562100"/>
    <xdr:pic>
      <xdr:nvPicPr>
        <xdr:cNvPr id="0" name="image3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</xdr:row>
      <xdr:rowOff>95250</xdr:rowOff>
    </xdr:from>
    <xdr:ext cx="5848350" cy="1628775"/>
    <xdr:pic>
      <xdr:nvPicPr>
        <xdr:cNvPr id="0" name="image19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10</xdr:row>
      <xdr:rowOff>95250</xdr:rowOff>
    </xdr:from>
    <xdr:ext cx="5848350" cy="2952750"/>
    <xdr:pic>
      <xdr:nvPicPr>
        <xdr:cNvPr id="0" name="image22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4362450" cy="4543425"/>
    <xdr:pic>
      <xdr:nvPicPr>
        <xdr:cNvPr id="0" name="image18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5200650" cy="1676400"/>
    <xdr:pic>
      <xdr:nvPicPr>
        <xdr:cNvPr id="0" name="image33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</xdr:row>
      <xdr:rowOff>180975</xdr:rowOff>
    </xdr:from>
    <xdr:ext cx="5200650" cy="3038475"/>
    <xdr:pic>
      <xdr:nvPicPr>
        <xdr:cNvPr id="0" name="image21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</xdr:row>
      <xdr:rowOff>114300</xdr:rowOff>
    </xdr:from>
    <xdr:ext cx="5114925" cy="1695450"/>
    <xdr:pic>
      <xdr:nvPicPr>
        <xdr:cNvPr id="0" name="image32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10</xdr:row>
      <xdr:rowOff>180975</xdr:rowOff>
    </xdr:from>
    <xdr:ext cx="5114925" cy="2581275"/>
    <xdr:pic>
      <xdr:nvPicPr>
        <xdr:cNvPr id="0" name="image25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7534275" cy="1457325"/>
    <xdr:pic>
      <xdr:nvPicPr>
        <xdr:cNvPr id="0" name="image27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7439025" cy="1352550"/>
    <xdr:pic>
      <xdr:nvPicPr>
        <xdr:cNvPr id="0" name="image2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4991100" cy="2647950"/>
    <xdr:pic>
      <xdr:nvPicPr>
        <xdr:cNvPr id="0" name="image30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38100</xdr:rowOff>
    </xdr:from>
    <xdr:ext cx="7362825" cy="4010025"/>
    <xdr:pic>
      <xdr:nvPicPr>
        <xdr:cNvPr id="0" name="image35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304800" cy="304800"/>
    <xdr:sp>
      <xdr:nvSpPr>
        <xdr:cNvPr id="3" name="Shape 3"/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0</xdr:row>
      <xdr:rowOff>0</xdr:rowOff>
    </xdr:from>
    <xdr:ext cx="304800" cy="304800"/>
    <xdr:sp>
      <xdr:nvSpPr>
        <xdr:cNvPr id="3" name="Shape 3"/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0</xdr:row>
      <xdr:rowOff>0</xdr:rowOff>
    </xdr:from>
    <xdr:ext cx="7543800" cy="4181475"/>
    <xdr:pic>
      <xdr:nvPicPr>
        <xdr:cNvPr id="0" name="image28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1" t="s">
        <v>0</v>
      </c>
    </row>
  </sheetData>
  <mergeCells count="1">
    <mergeCell ref="A1:F6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0.75"/>
    <col customWidth="1" min="2" max="2" width="16.0"/>
    <col customWidth="1" min="3" max="4" width="8.88"/>
    <col customWidth="1" min="5" max="5" width="35.88"/>
    <col customWidth="1" min="6" max="6" width="8.13"/>
    <col customWidth="1" min="7" max="7" width="18.75"/>
    <col customWidth="1" min="8" max="26" width="8.88"/>
  </cols>
  <sheetData>
    <row r="1" ht="14.25" customHeight="1">
      <c r="A1" s="2" t="s">
        <v>1</v>
      </c>
      <c r="B1" s="3">
        <v>50.0</v>
      </c>
    </row>
    <row r="2" ht="14.25" customHeight="1">
      <c r="A2" s="2" t="s">
        <v>2</v>
      </c>
      <c r="B2" s="3">
        <v>3500.0</v>
      </c>
    </row>
    <row r="3" ht="14.25" customHeight="1">
      <c r="A3" s="2" t="s">
        <v>3</v>
      </c>
      <c r="B3" s="3">
        <v>5000.0</v>
      </c>
    </row>
    <row r="4" ht="14.25" customHeight="1">
      <c r="A4" s="2" t="s">
        <v>4</v>
      </c>
      <c r="B4" s="3">
        <v>3000.0</v>
      </c>
      <c r="C4" s="4" t="s">
        <v>5</v>
      </c>
    </row>
    <row r="5" ht="14.25" customHeight="1">
      <c r="A5" s="2" t="s">
        <v>6</v>
      </c>
      <c r="B5" s="3">
        <v>1000.0</v>
      </c>
      <c r="C5" s="4" t="s">
        <v>7</v>
      </c>
    </row>
    <row r="6" ht="14.25" customHeight="1">
      <c r="A6" s="2" t="s">
        <v>8</v>
      </c>
      <c r="B6" s="3">
        <v>60.23</v>
      </c>
    </row>
    <row r="7" ht="14.25" customHeight="1">
      <c r="A7" s="2" t="s">
        <v>9</v>
      </c>
      <c r="B7" s="3">
        <v>33.48</v>
      </c>
    </row>
    <row r="8" ht="14.25" customHeight="1">
      <c r="A8" s="2" t="s">
        <v>10</v>
      </c>
      <c r="B8" s="3">
        <v>38.14</v>
      </c>
    </row>
    <row r="9" ht="14.25" customHeight="1">
      <c r="A9" s="2" t="s">
        <v>11</v>
      </c>
      <c r="B9" s="5">
        <v>0.02</v>
      </c>
    </row>
    <row r="10" ht="14.25" customHeight="1">
      <c r="A10" s="2" t="s">
        <v>12</v>
      </c>
      <c r="B10" s="5">
        <v>0.01</v>
      </c>
    </row>
    <row r="11" ht="14.25" customHeight="1">
      <c r="A11" s="2" t="s">
        <v>13</v>
      </c>
      <c r="B11" s="3">
        <v>300.0</v>
      </c>
    </row>
    <row r="12" ht="14.25" customHeight="1">
      <c r="A12" s="2" t="s">
        <v>14</v>
      </c>
      <c r="B12" s="3">
        <v>720.0</v>
      </c>
      <c r="C12" s="4" t="s">
        <v>15</v>
      </c>
    </row>
    <row r="13" ht="14.25" customHeight="1">
      <c r="A13" s="2" t="s">
        <v>16</v>
      </c>
      <c r="B13" s="5">
        <v>0.3</v>
      </c>
    </row>
    <row r="14" ht="14.25" customHeight="1">
      <c r="A14" s="2" t="s">
        <v>17</v>
      </c>
      <c r="B14" s="6">
        <f>+B13*(1-33%)</f>
        <v>0.201</v>
      </c>
    </row>
    <row r="15" ht="14.25" customHeight="1">
      <c r="A15" s="2" t="s">
        <v>18</v>
      </c>
      <c r="B15" s="5">
        <v>0.07</v>
      </c>
    </row>
    <row r="16" ht="14.25" customHeight="1">
      <c r="A16" s="2" t="s">
        <v>19</v>
      </c>
      <c r="B16" s="5">
        <v>0.05</v>
      </c>
      <c r="D16" s="4" t="s">
        <v>20</v>
      </c>
    </row>
    <row r="17" ht="14.25" customHeight="1">
      <c r="D17" s="4" t="s">
        <v>20</v>
      </c>
    </row>
    <row r="18" ht="14.25" customHeight="1">
      <c r="A18" s="2" t="s">
        <v>21</v>
      </c>
      <c r="B18" s="3">
        <f>+B2+B3+B6</f>
        <v>8560.23</v>
      </c>
    </row>
    <row r="19" ht="14.25" customHeight="1">
      <c r="A19" s="2" t="s">
        <v>22</v>
      </c>
      <c r="B19" s="3">
        <f>+B7</f>
        <v>33.48</v>
      </c>
    </row>
    <row r="20" ht="14.25" customHeight="1">
      <c r="A20" s="2" t="s">
        <v>23</v>
      </c>
      <c r="B20" s="3">
        <v>0.0</v>
      </c>
    </row>
    <row r="21" ht="14.25" customHeight="1">
      <c r="A21" s="2" t="s">
        <v>24</v>
      </c>
      <c r="B21" s="3">
        <v>0.0</v>
      </c>
    </row>
    <row r="22" ht="14.25" customHeight="1">
      <c r="A22" s="2" t="s">
        <v>25</v>
      </c>
      <c r="B22" s="3">
        <v>0.0</v>
      </c>
      <c r="C22" s="4" t="s">
        <v>26</v>
      </c>
    </row>
    <row r="23" ht="14.25" customHeight="1">
      <c r="A23" s="2" t="s">
        <v>27</v>
      </c>
      <c r="B23" s="6">
        <f>+B14</f>
        <v>0.201</v>
      </c>
    </row>
    <row r="24" ht="14.25" customHeight="1">
      <c r="A24" s="2" t="s">
        <v>28</v>
      </c>
      <c r="B24" s="3">
        <f>+B8+B11+B12</f>
        <v>1058.14</v>
      </c>
      <c r="C24" s="4" t="s">
        <v>29</v>
      </c>
    </row>
    <row r="25" ht="14.25" customHeight="1">
      <c r="A25" s="2" t="s">
        <v>30</v>
      </c>
      <c r="B25" s="5">
        <f>+B9+B10</f>
        <v>0.03</v>
      </c>
      <c r="C25" s="4" t="s">
        <v>31</v>
      </c>
    </row>
    <row r="26" ht="14.25" customHeight="1">
      <c r="A26" s="2" t="s">
        <v>32</v>
      </c>
      <c r="B26" s="5">
        <f>+B15</f>
        <v>0.07</v>
      </c>
    </row>
    <row r="27" ht="14.25" customHeight="1">
      <c r="A27" s="7" t="s">
        <v>33</v>
      </c>
      <c r="B27" s="3">
        <f>+B5</f>
        <v>1000</v>
      </c>
    </row>
    <row r="28" ht="14.25" customHeight="1">
      <c r="A28" s="8"/>
      <c r="B28" s="5">
        <f>+B16</f>
        <v>0.05</v>
      </c>
    </row>
    <row r="29" ht="14.25" customHeight="1"/>
    <row r="30" ht="14.25" customHeight="1">
      <c r="A30" s="9" t="s">
        <v>34</v>
      </c>
      <c r="B30" s="10"/>
    </row>
    <row r="31" ht="14.25" customHeight="1">
      <c r="A31" s="2" t="s">
        <v>35</v>
      </c>
      <c r="B31" s="3">
        <f>+B18+B19+B22+B20+B21+B24</f>
        <v>9651.85</v>
      </c>
    </row>
    <row r="32" ht="14.25" customHeight="1">
      <c r="A32" s="2" t="s">
        <v>36</v>
      </c>
      <c r="B32" s="11">
        <f>(B31+(B28*B4)-B5)/(1-(B25+B26)+B28)</f>
        <v>9265.105263</v>
      </c>
    </row>
    <row r="33" ht="14.25" customHeight="1">
      <c r="A33" s="2" t="s">
        <v>37</v>
      </c>
      <c r="B33" s="11">
        <f>(B31+(B28*B4)-B5)/(1-(B25+B26+B23)+B28)</f>
        <v>11751.46862</v>
      </c>
    </row>
    <row r="34" ht="14.25" customHeight="1">
      <c r="A34" s="2" t="s">
        <v>38</v>
      </c>
      <c r="B34" s="11">
        <f>+B33/B1</f>
        <v>235.0293725</v>
      </c>
    </row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A27:A28"/>
    <mergeCell ref="A30:B30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7.75"/>
    <col customWidth="1" min="2" max="2" width="28.25"/>
    <col customWidth="1" min="3" max="3" width="31.75"/>
    <col customWidth="1" min="4" max="4" width="25.5"/>
    <col customWidth="1" min="5" max="5" width="35.88"/>
    <col customWidth="1" min="6" max="6" width="11.13"/>
    <col customWidth="1" min="7" max="26" width="8.63"/>
  </cols>
  <sheetData>
    <row r="1" ht="14.25" customHeight="1">
      <c r="A1" s="12" t="s">
        <v>39</v>
      </c>
      <c r="B1" s="13"/>
      <c r="C1" s="13"/>
      <c r="D1" s="14"/>
      <c r="E1" s="14"/>
    </row>
    <row r="2" ht="14.25" customHeight="1">
      <c r="A2" s="13"/>
      <c r="B2" s="13"/>
      <c r="C2" s="13"/>
      <c r="D2" s="14"/>
      <c r="E2" s="14"/>
    </row>
    <row r="3" ht="14.25" customHeight="1">
      <c r="A3" s="15" t="s">
        <v>40</v>
      </c>
      <c r="B3" s="13"/>
      <c r="C3" s="13"/>
      <c r="D3" s="14"/>
      <c r="E3" s="14"/>
    </row>
    <row r="4" ht="14.25" customHeight="1">
      <c r="A4" s="13"/>
      <c r="B4" s="13"/>
      <c r="C4" s="13"/>
      <c r="D4" s="14"/>
      <c r="E4" s="14"/>
    </row>
    <row r="5" ht="14.25" customHeight="1">
      <c r="A5" s="16" t="s">
        <v>41</v>
      </c>
      <c r="C5" s="13"/>
      <c r="D5" s="14"/>
      <c r="E5" s="14"/>
    </row>
    <row r="6" ht="14.25" customHeight="1">
      <c r="A6" s="16" t="s">
        <v>42</v>
      </c>
      <c r="C6" s="13"/>
      <c r="D6" s="14"/>
      <c r="E6" s="14"/>
    </row>
    <row r="7" ht="14.25" customHeight="1">
      <c r="A7" s="16" t="s">
        <v>43</v>
      </c>
      <c r="C7" s="13"/>
      <c r="D7" s="14"/>
      <c r="E7" s="14"/>
    </row>
    <row r="8" ht="14.25" customHeight="1">
      <c r="A8" s="16" t="s">
        <v>44</v>
      </c>
      <c r="C8" s="13"/>
      <c r="D8" s="14"/>
      <c r="E8" s="14"/>
    </row>
    <row r="9" ht="14.25" customHeight="1">
      <c r="A9" s="16" t="s">
        <v>45</v>
      </c>
      <c r="C9" s="13"/>
      <c r="D9" s="14"/>
      <c r="E9" s="14"/>
    </row>
    <row r="10" ht="14.25" customHeight="1">
      <c r="A10" s="16" t="s">
        <v>46</v>
      </c>
      <c r="D10" s="14"/>
      <c r="E10" s="14"/>
    </row>
    <row r="11" ht="14.25" customHeight="1">
      <c r="A11" s="16" t="s">
        <v>47</v>
      </c>
      <c r="D11" s="14"/>
      <c r="E11" s="14"/>
    </row>
    <row r="12" ht="14.25" customHeight="1">
      <c r="A12" s="13"/>
      <c r="B12" s="13"/>
      <c r="C12" s="13"/>
      <c r="D12" s="14"/>
      <c r="E12" s="13"/>
      <c r="F12" s="17"/>
    </row>
    <row r="13" ht="14.25" customHeight="1">
      <c r="A13" s="18" t="s">
        <v>48</v>
      </c>
      <c r="B13" s="19"/>
      <c r="C13" s="13"/>
      <c r="D13" s="14"/>
      <c r="E13" s="13"/>
      <c r="F13" s="20"/>
    </row>
    <row r="14" ht="14.25" customHeight="1">
      <c r="A14" s="18"/>
      <c r="B14" s="21" t="s">
        <v>49</v>
      </c>
      <c r="C14" s="13"/>
      <c r="D14" s="14"/>
      <c r="E14" s="13"/>
    </row>
    <row r="15" ht="14.25" customHeight="1">
      <c r="A15" s="18" t="s">
        <v>50</v>
      </c>
      <c r="B15" s="22">
        <v>1200.0</v>
      </c>
      <c r="C15" s="13"/>
      <c r="D15" s="14"/>
      <c r="E15" s="13"/>
    </row>
    <row r="16" ht="14.25" customHeight="1">
      <c r="A16" s="18" t="s">
        <v>51</v>
      </c>
      <c r="B16" s="23"/>
      <c r="C16" s="13"/>
      <c r="D16" s="14"/>
      <c r="E16" s="13"/>
    </row>
    <row r="17" ht="14.25" customHeight="1">
      <c r="A17" s="18" t="s">
        <v>52</v>
      </c>
      <c r="B17" s="19"/>
      <c r="C17" s="13"/>
      <c r="D17" s="14"/>
      <c r="E17" s="13"/>
    </row>
    <row r="18" ht="14.25" customHeight="1">
      <c r="A18" s="18" t="s">
        <v>53</v>
      </c>
      <c r="B18" s="24">
        <v>127.0</v>
      </c>
      <c r="C18" s="13"/>
      <c r="D18" s="14"/>
      <c r="E18" s="13"/>
      <c r="F18" s="25"/>
    </row>
    <row r="19" ht="14.25" customHeight="1">
      <c r="A19" s="18" t="s">
        <v>54</v>
      </c>
      <c r="B19" s="22">
        <v>5000.0</v>
      </c>
      <c r="C19" s="13"/>
      <c r="D19" s="14"/>
      <c r="E19" s="13"/>
    </row>
    <row r="20" ht="14.25" customHeight="1">
      <c r="A20" s="18" t="s">
        <v>55</v>
      </c>
      <c r="B20" s="24">
        <v>460.0</v>
      </c>
      <c r="C20" s="13"/>
      <c r="D20" s="14"/>
      <c r="E20" s="13"/>
      <c r="F20" s="25"/>
    </row>
    <row r="21" ht="14.25" customHeight="1">
      <c r="A21" s="18" t="s">
        <v>56</v>
      </c>
      <c r="B21" s="24">
        <v>260.0</v>
      </c>
      <c r="C21" s="13"/>
      <c r="D21" s="14"/>
      <c r="E21" s="13"/>
      <c r="F21" s="26"/>
    </row>
    <row r="22" ht="14.25" customHeight="1">
      <c r="A22" s="18" t="s">
        <v>57</v>
      </c>
      <c r="B22" s="27">
        <v>20000.0</v>
      </c>
      <c r="C22" s="13"/>
      <c r="D22" s="14"/>
      <c r="E22" s="13"/>
      <c r="G22" s="26"/>
    </row>
    <row r="23" ht="14.25" customHeight="1">
      <c r="A23" s="18" t="s">
        <v>58</v>
      </c>
      <c r="B23" s="24">
        <v>456.0</v>
      </c>
      <c r="C23" s="13"/>
      <c r="D23" s="14"/>
      <c r="E23" s="14"/>
    </row>
    <row r="24" ht="14.25" customHeight="1">
      <c r="A24" s="18" t="s">
        <v>59</v>
      </c>
      <c r="B24" s="28">
        <v>0.03</v>
      </c>
      <c r="C24" s="13"/>
      <c r="D24" s="14"/>
      <c r="E24" s="13"/>
    </row>
    <row r="25" ht="14.25" customHeight="1">
      <c r="A25" s="18" t="s">
        <v>60</v>
      </c>
      <c r="B25" s="27">
        <v>8000.0</v>
      </c>
      <c r="C25" s="13"/>
      <c r="D25" s="14"/>
      <c r="E25" s="13"/>
    </row>
    <row r="26" ht="14.25" customHeight="1">
      <c r="A26" s="18" t="s">
        <v>61</v>
      </c>
      <c r="B26" s="28">
        <v>0.018</v>
      </c>
      <c r="C26" s="13"/>
      <c r="D26" s="14"/>
      <c r="E26" s="13"/>
    </row>
    <row r="27" ht="14.25" customHeight="1">
      <c r="A27" s="18" t="s">
        <v>62</v>
      </c>
      <c r="B27" s="28">
        <v>0.01</v>
      </c>
      <c r="C27" s="13"/>
      <c r="D27" s="14"/>
      <c r="E27" s="13"/>
    </row>
    <row r="28" ht="14.25" customHeight="1">
      <c r="A28" s="18" t="s">
        <v>63</v>
      </c>
      <c r="B28" s="27">
        <v>22000.0</v>
      </c>
      <c r="C28" s="13"/>
      <c r="D28" s="14"/>
      <c r="E28" s="13"/>
    </row>
    <row r="29" ht="14.25" customHeight="1">
      <c r="A29" s="18" t="s">
        <v>64</v>
      </c>
      <c r="B29" s="27">
        <v>19000.0</v>
      </c>
      <c r="C29" s="13"/>
      <c r="D29" s="14"/>
      <c r="E29" s="13"/>
    </row>
    <row r="30" ht="14.25" customHeight="1">
      <c r="A30" s="18" t="s">
        <v>65</v>
      </c>
      <c r="B30" s="29">
        <v>0.25</v>
      </c>
      <c r="C30" s="13"/>
      <c r="D30" s="14"/>
      <c r="E30" s="13"/>
    </row>
    <row r="31" ht="14.25" customHeight="1">
      <c r="A31" s="18" t="s">
        <v>66</v>
      </c>
      <c r="B31" s="29">
        <v>0.02</v>
      </c>
      <c r="C31" s="13"/>
      <c r="D31" s="14"/>
      <c r="E31" s="14"/>
    </row>
    <row r="32" ht="14.25" customHeight="1">
      <c r="A32" s="18" t="s">
        <v>67</v>
      </c>
      <c r="B32" s="29">
        <v>0.03</v>
      </c>
      <c r="C32" s="13"/>
      <c r="D32" s="14"/>
      <c r="E32" s="14"/>
    </row>
    <row r="33" ht="14.25" customHeight="1">
      <c r="A33" s="13"/>
      <c r="B33" s="13"/>
      <c r="C33" s="13"/>
      <c r="D33" s="14"/>
      <c r="E33" s="14"/>
    </row>
    <row r="34" ht="14.25" customHeight="1">
      <c r="A34" s="16" t="s">
        <v>68</v>
      </c>
      <c r="D34" s="14"/>
      <c r="E34" s="14"/>
    </row>
    <row r="35" ht="14.25" customHeight="1">
      <c r="A35" s="16" t="s">
        <v>69</v>
      </c>
      <c r="D35" s="14"/>
      <c r="E35" s="14"/>
    </row>
    <row r="36" ht="14.25" customHeight="1">
      <c r="A36" s="16" t="s">
        <v>70</v>
      </c>
      <c r="B36" s="13"/>
      <c r="C36" s="13"/>
      <c r="D36" s="14"/>
      <c r="E36" s="14"/>
    </row>
    <row r="37" ht="14.25" customHeight="1">
      <c r="A37" s="16" t="s">
        <v>71</v>
      </c>
      <c r="D37" s="14"/>
      <c r="E37" s="13"/>
      <c r="F37" s="17"/>
    </row>
    <row r="38" ht="14.25" customHeight="1">
      <c r="A38" s="16" t="s">
        <v>72</v>
      </c>
      <c r="C38" s="13"/>
      <c r="D38" s="14"/>
      <c r="E38" s="14"/>
    </row>
    <row r="39" ht="14.25" customHeight="1">
      <c r="A39" s="16" t="s">
        <v>73</v>
      </c>
      <c r="C39" s="13"/>
      <c r="D39" s="14"/>
      <c r="E39" s="14"/>
    </row>
    <row r="40" ht="14.25" customHeight="1">
      <c r="A40" s="13"/>
      <c r="B40" s="30"/>
      <c r="C40" s="13"/>
      <c r="D40" s="14"/>
      <c r="E40" s="14"/>
    </row>
    <row r="41" ht="14.25" customHeight="1">
      <c r="A41" s="18" t="s">
        <v>74</v>
      </c>
      <c r="B41" s="29">
        <v>0.09</v>
      </c>
      <c r="C41" s="13"/>
      <c r="D41" s="14"/>
      <c r="E41" s="13"/>
      <c r="F41" s="31"/>
    </row>
    <row r="42" ht="14.25" customHeight="1">
      <c r="A42" s="18" t="s">
        <v>75</v>
      </c>
      <c r="B42" s="29">
        <v>0.06</v>
      </c>
      <c r="C42" s="13"/>
      <c r="D42" s="14"/>
      <c r="E42" s="14"/>
    </row>
    <row r="43" ht="14.25" customHeight="1">
      <c r="A43" s="18" t="s">
        <v>76</v>
      </c>
      <c r="B43" s="29">
        <v>0.0</v>
      </c>
      <c r="C43" s="13"/>
      <c r="D43" s="14"/>
      <c r="E43" s="14"/>
    </row>
    <row r="44" ht="14.25" customHeight="1">
      <c r="A44" s="18" t="s">
        <v>77</v>
      </c>
      <c r="B44" s="29">
        <v>0.03</v>
      </c>
      <c r="C44" s="13"/>
      <c r="D44" s="14"/>
      <c r="E44" s="13"/>
      <c r="F44" s="31"/>
    </row>
    <row r="45" ht="14.25" customHeight="1">
      <c r="A45" s="18" t="s">
        <v>78</v>
      </c>
      <c r="B45" s="28">
        <v>0.05</v>
      </c>
      <c r="C45" s="13"/>
      <c r="D45" s="14"/>
      <c r="E45" s="14"/>
    </row>
    <row r="46" ht="14.25" customHeight="1">
      <c r="A46" s="18" t="s">
        <v>79</v>
      </c>
      <c r="B46" s="28">
        <v>0.03</v>
      </c>
      <c r="C46" s="13"/>
      <c r="D46" s="14"/>
      <c r="E46" s="14"/>
      <c r="F46" s="32"/>
    </row>
    <row r="47" ht="14.25" customHeight="1">
      <c r="A47" s="18" t="s">
        <v>80</v>
      </c>
      <c r="B47" s="29">
        <v>0.21</v>
      </c>
      <c r="C47" s="13"/>
      <c r="D47" s="14"/>
      <c r="E47" s="14"/>
      <c r="F47" s="32"/>
    </row>
    <row r="48" ht="14.25" customHeight="1">
      <c r="A48" s="18" t="s">
        <v>81</v>
      </c>
      <c r="B48" s="29">
        <v>0.2</v>
      </c>
      <c r="C48" s="13"/>
      <c r="D48" s="14"/>
      <c r="E48" s="14"/>
      <c r="F48" s="32"/>
    </row>
    <row r="49" ht="14.25" customHeight="1">
      <c r="A49" s="18" t="s">
        <v>82</v>
      </c>
      <c r="B49" s="29">
        <v>0.06</v>
      </c>
      <c r="C49" s="13"/>
      <c r="D49" s="14"/>
      <c r="E49" s="13"/>
      <c r="F49" s="31"/>
    </row>
    <row r="50" ht="14.25" customHeight="1">
      <c r="A50" s="18" t="s">
        <v>83</v>
      </c>
      <c r="B50" s="29">
        <v>0.03</v>
      </c>
      <c r="C50" s="13"/>
      <c r="D50" s="14"/>
      <c r="E50" s="14"/>
    </row>
    <row r="51" ht="14.25" customHeight="1">
      <c r="A51" s="18" t="s">
        <v>84</v>
      </c>
      <c r="B51" s="24" t="s">
        <v>85</v>
      </c>
      <c r="C51" s="13"/>
      <c r="D51" s="14"/>
      <c r="E51" s="14"/>
    </row>
    <row r="52" ht="14.25" customHeight="1">
      <c r="A52" s="18" t="s">
        <v>86</v>
      </c>
      <c r="B52" s="28" t="s">
        <v>85</v>
      </c>
      <c r="C52" s="13"/>
      <c r="D52" s="14"/>
      <c r="E52" s="14"/>
    </row>
    <row r="53" ht="14.25" customHeight="1">
      <c r="A53" s="18" t="s">
        <v>87</v>
      </c>
      <c r="B53" s="24" t="s">
        <v>88</v>
      </c>
      <c r="C53" s="13"/>
      <c r="D53" s="14"/>
      <c r="E53" s="14"/>
    </row>
    <row r="54" ht="14.25" customHeight="1">
      <c r="A54" s="18" t="s">
        <v>89</v>
      </c>
      <c r="B54" s="28">
        <v>0.003</v>
      </c>
      <c r="C54" s="13"/>
      <c r="D54" s="14"/>
      <c r="E54" s="14"/>
    </row>
    <row r="55" ht="14.25" customHeight="1">
      <c r="A55" s="18" t="s">
        <v>90</v>
      </c>
      <c r="B55" s="33" t="s">
        <v>91</v>
      </c>
      <c r="C55" s="14"/>
      <c r="D55" s="14"/>
      <c r="E55" s="14"/>
    </row>
    <row r="56" ht="14.25" customHeight="1">
      <c r="A56" s="18" t="s">
        <v>92</v>
      </c>
      <c r="B56" s="33" t="s">
        <v>93</v>
      </c>
      <c r="C56" s="14"/>
      <c r="D56" s="14"/>
      <c r="E56" s="13"/>
      <c r="F56" s="34"/>
    </row>
    <row r="57" ht="14.25" customHeight="1">
      <c r="A57" s="14"/>
      <c r="B57" s="14"/>
      <c r="C57" s="14"/>
      <c r="D57" s="14"/>
      <c r="E57" s="13"/>
      <c r="F57" s="34"/>
    </row>
    <row r="58" ht="14.25" customHeight="1">
      <c r="A58" s="35" t="s">
        <v>94</v>
      </c>
      <c r="D58" s="14"/>
      <c r="E58" s="13"/>
      <c r="F58" s="36"/>
    </row>
    <row r="59" ht="14.25" customHeight="1">
      <c r="A59" s="14"/>
      <c r="B59" s="14"/>
      <c r="C59" s="14"/>
      <c r="D59" s="14"/>
      <c r="E59" s="14"/>
    </row>
    <row r="60" ht="14.25" customHeight="1">
      <c r="A60" s="37"/>
      <c r="B60" s="38" t="s">
        <v>95</v>
      </c>
      <c r="C60" s="14"/>
      <c r="D60" s="14"/>
      <c r="E60" s="14"/>
    </row>
    <row r="61" ht="14.25" customHeight="1">
      <c r="A61" s="39" t="s">
        <v>96</v>
      </c>
      <c r="B61" s="40">
        <v>1330.0</v>
      </c>
      <c r="C61" s="14"/>
      <c r="D61" s="14"/>
      <c r="E61" s="14"/>
    </row>
    <row r="62" ht="14.25" customHeight="1">
      <c r="A62" s="39" t="s">
        <v>97</v>
      </c>
      <c r="B62" s="40">
        <v>250.0</v>
      </c>
      <c r="C62" s="14"/>
      <c r="D62" s="14"/>
      <c r="E62" s="14"/>
    </row>
    <row r="63" ht="14.25" customHeight="1">
      <c r="A63" s="41" t="s">
        <v>98</v>
      </c>
      <c r="B63" s="42">
        <f>B61+B62</f>
        <v>1580</v>
      </c>
      <c r="C63" s="14"/>
      <c r="D63" s="14"/>
      <c r="E63" s="14"/>
    </row>
    <row r="64" ht="14.25" customHeight="1">
      <c r="A64" s="39" t="s">
        <v>99</v>
      </c>
      <c r="B64" s="40">
        <f>0.01*B63</f>
        <v>15.8</v>
      </c>
      <c r="C64" s="14"/>
      <c r="D64" s="14"/>
      <c r="E64" s="14"/>
    </row>
    <row r="65" ht="14.25" customHeight="1">
      <c r="A65" s="43" t="s">
        <v>100</v>
      </c>
      <c r="B65" s="44">
        <f>B63+B64</f>
        <v>1595.8</v>
      </c>
      <c r="C65" s="14"/>
      <c r="D65" s="14"/>
      <c r="E65" s="14"/>
    </row>
    <row r="66" ht="14.25" customHeight="1">
      <c r="A66" s="14"/>
      <c r="B66" s="14"/>
      <c r="C66" s="14"/>
      <c r="D66" s="14"/>
      <c r="E66" s="14"/>
    </row>
    <row r="67" ht="14.25" customHeight="1">
      <c r="A67" s="14"/>
      <c r="B67" s="14"/>
      <c r="C67" s="14"/>
      <c r="D67" s="14"/>
      <c r="E67" s="14"/>
    </row>
    <row r="68" ht="14.25" customHeight="1">
      <c r="A68" s="35" t="s">
        <v>101</v>
      </c>
      <c r="C68" s="14"/>
      <c r="D68" s="14"/>
      <c r="E68" s="14"/>
    </row>
    <row r="69" ht="14.25" customHeight="1">
      <c r="A69" s="14"/>
      <c r="B69" s="14"/>
      <c r="C69" s="14"/>
      <c r="D69" s="14"/>
      <c r="E69" s="14"/>
    </row>
    <row r="70" ht="14.25" customHeight="1">
      <c r="A70" s="37"/>
      <c r="B70" s="38" t="s">
        <v>95</v>
      </c>
      <c r="C70" s="14"/>
      <c r="D70" s="14"/>
      <c r="E70" s="14"/>
    </row>
    <row r="71" ht="14.25" customHeight="1">
      <c r="A71" s="45" t="s">
        <v>102</v>
      </c>
      <c r="B71" s="40">
        <f>B65*0.09</f>
        <v>143.622</v>
      </c>
      <c r="C71" s="14"/>
      <c r="D71" s="14"/>
      <c r="E71" s="14"/>
    </row>
    <row r="72" ht="14.25" customHeight="1">
      <c r="A72" s="39" t="s">
        <v>103</v>
      </c>
      <c r="B72" s="40">
        <f>B65*0.03</f>
        <v>47.874</v>
      </c>
      <c r="C72" s="14"/>
      <c r="D72" s="14"/>
      <c r="E72" s="14"/>
    </row>
    <row r="73" ht="14.25" customHeight="1">
      <c r="A73" s="43" t="s">
        <v>104</v>
      </c>
      <c r="B73" s="44">
        <f>B71+B72+B65</f>
        <v>1787.296</v>
      </c>
      <c r="C73" s="14"/>
      <c r="D73" s="14"/>
      <c r="E73" s="14"/>
    </row>
    <row r="74" ht="14.25" customHeight="1">
      <c r="A74" s="14"/>
      <c r="B74" s="14"/>
      <c r="C74" s="14"/>
      <c r="D74" s="14"/>
      <c r="E74" s="14"/>
    </row>
    <row r="75" ht="14.25" customHeight="1">
      <c r="A75" s="14"/>
      <c r="B75" s="14"/>
      <c r="C75" s="14"/>
      <c r="D75" s="14"/>
      <c r="E75" s="14"/>
    </row>
    <row r="76" ht="14.25" customHeight="1">
      <c r="A76" s="35" t="s">
        <v>105</v>
      </c>
      <c r="C76" s="14"/>
      <c r="D76" s="14"/>
      <c r="E76" s="14"/>
    </row>
    <row r="77" ht="14.25" customHeight="1">
      <c r="A77" s="14"/>
      <c r="B77" s="14"/>
      <c r="C77" s="14"/>
      <c r="D77" s="14"/>
      <c r="E77" s="14"/>
    </row>
    <row r="78" ht="14.25" customHeight="1">
      <c r="A78" s="46"/>
      <c r="B78" s="47" t="s">
        <v>95</v>
      </c>
      <c r="C78" s="14"/>
      <c r="D78" s="14"/>
      <c r="E78" s="14"/>
    </row>
    <row r="79" ht="14.25" customHeight="1">
      <c r="A79" s="48" t="s">
        <v>106</v>
      </c>
      <c r="B79" s="49">
        <f>B73</f>
        <v>1787.296</v>
      </c>
      <c r="C79" s="14"/>
      <c r="D79" s="14"/>
      <c r="E79" s="14"/>
    </row>
    <row r="80" ht="14.25" customHeight="1">
      <c r="A80" s="48" t="s">
        <v>107</v>
      </c>
      <c r="B80" s="49">
        <f>B73*0.21</f>
        <v>375.33216</v>
      </c>
      <c r="C80" s="14"/>
      <c r="D80" s="14"/>
      <c r="E80" s="14"/>
    </row>
    <row r="81" ht="14.25" customHeight="1">
      <c r="A81" s="48" t="s">
        <v>108</v>
      </c>
      <c r="B81" s="49">
        <f>B79*0.2</f>
        <v>357.4592</v>
      </c>
      <c r="C81" s="14"/>
      <c r="D81" s="14"/>
      <c r="E81" s="14"/>
    </row>
    <row r="82" ht="14.25" customHeight="1">
      <c r="A82" s="48" t="s">
        <v>109</v>
      </c>
      <c r="B82" s="49">
        <f>B73*0.06</f>
        <v>107.23776</v>
      </c>
      <c r="C82" s="14"/>
      <c r="D82" s="14"/>
      <c r="E82" s="14"/>
    </row>
    <row r="83" ht="14.25" customHeight="1">
      <c r="A83" s="48" t="s">
        <v>110</v>
      </c>
      <c r="B83" s="49">
        <f>B73*0.03</f>
        <v>53.61888</v>
      </c>
      <c r="C83" s="14"/>
      <c r="D83" s="14"/>
      <c r="E83" s="14"/>
    </row>
    <row r="84" ht="14.25" customHeight="1">
      <c r="A84" s="50" t="s">
        <v>111</v>
      </c>
      <c r="B84" s="51">
        <f>SUM(B79:B83)</f>
        <v>2680.944</v>
      </c>
      <c r="C84" s="14"/>
      <c r="D84" s="14"/>
      <c r="E84" s="14"/>
    </row>
    <row r="85" ht="14.25" customHeight="1">
      <c r="A85" s="14"/>
      <c r="B85" s="14"/>
      <c r="C85" s="14"/>
      <c r="D85" s="14"/>
      <c r="E85" s="14"/>
    </row>
    <row r="86" ht="14.25" customHeight="1">
      <c r="A86" s="14"/>
      <c r="B86" s="14"/>
      <c r="C86" s="14"/>
      <c r="D86" s="14"/>
      <c r="E86" s="14"/>
    </row>
    <row r="87" ht="14.25" customHeight="1">
      <c r="A87" s="35" t="s">
        <v>112</v>
      </c>
      <c r="C87" s="14"/>
      <c r="D87" s="14"/>
      <c r="E87" s="14"/>
    </row>
    <row r="88" ht="14.25" customHeight="1">
      <c r="A88" s="14"/>
      <c r="B88" s="14"/>
      <c r="C88" s="14"/>
      <c r="D88" s="14"/>
      <c r="E88" s="14"/>
    </row>
    <row r="89" ht="14.25" customHeight="1">
      <c r="A89" s="14"/>
      <c r="B89" s="52" t="s">
        <v>95</v>
      </c>
      <c r="C89" s="14"/>
      <c r="D89" s="14"/>
      <c r="E89" s="14"/>
    </row>
    <row r="90" ht="14.25" customHeight="1">
      <c r="A90" s="53" t="s">
        <v>84</v>
      </c>
      <c r="B90" s="54">
        <v>65.0</v>
      </c>
      <c r="C90" s="14"/>
      <c r="D90" s="14"/>
      <c r="E90" s="14"/>
    </row>
    <row r="91" ht="14.25" customHeight="1">
      <c r="A91" s="55" t="s">
        <v>113</v>
      </c>
      <c r="B91" s="56">
        <v>100.0</v>
      </c>
      <c r="C91" s="14"/>
      <c r="D91" s="14"/>
      <c r="E91" s="14"/>
    </row>
    <row r="92" ht="14.25" customHeight="1">
      <c r="A92" s="55" t="s">
        <v>114</v>
      </c>
      <c r="B92" s="56">
        <v>65.0</v>
      </c>
      <c r="C92" s="14"/>
      <c r="D92" s="14"/>
      <c r="E92" s="14"/>
    </row>
    <row r="93" ht="14.25" customHeight="1">
      <c r="A93" s="55" t="s">
        <v>115</v>
      </c>
      <c r="B93" s="56">
        <f>B61*0.003</f>
        <v>3.99</v>
      </c>
      <c r="C93" s="14"/>
      <c r="D93" s="14"/>
      <c r="E93" s="14"/>
    </row>
    <row r="94" ht="14.25" customHeight="1">
      <c r="A94" s="55" t="s">
        <v>92</v>
      </c>
      <c r="B94" s="56">
        <v>40.0</v>
      </c>
      <c r="C94" s="14"/>
      <c r="D94" s="14"/>
      <c r="E94" s="14"/>
    </row>
    <row r="95" ht="14.25" customHeight="1">
      <c r="A95" s="55" t="s">
        <v>90</v>
      </c>
      <c r="B95" s="56">
        <v>60.0</v>
      </c>
      <c r="C95" s="14"/>
      <c r="D95" s="14"/>
      <c r="E95" s="14"/>
    </row>
    <row r="96" ht="14.25" customHeight="1">
      <c r="A96" s="57" t="s">
        <v>116</v>
      </c>
      <c r="B96" s="58">
        <f>SUM(B90:B95)</f>
        <v>333.99</v>
      </c>
      <c r="C96" s="14"/>
      <c r="D96" s="14"/>
      <c r="E96" s="14"/>
    </row>
    <row r="97" ht="14.25" customHeight="1">
      <c r="A97" s="14"/>
      <c r="B97" s="14"/>
      <c r="C97" s="14"/>
      <c r="D97" s="14"/>
      <c r="E97" s="14"/>
    </row>
    <row r="98" ht="14.25" customHeight="1">
      <c r="A98" s="14"/>
      <c r="B98" s="14"/>
      <c r="C98" s="14"/>
      <c r="D98" s="14"/>
      <c r="E98" s="14"/>
    </row>
    <row r="99" ht="14.25" customHeight="1">
      <c r="A99" s="59" t="s">
        <v>117</v>
      </c>
      <c r="B99" s="60">
        <f>B84</f>
        <v>2680.944</v>
      </c>
      <c r="C99" s="14"/>
      <c r="D99" s="14"/>
      <c r="E99" s="14"/>
    </row>
    <row r="100" ht="14.25" customHeight="1">
      <c r="A100" s="61" t="s">
        <v>116</v>
      </c>
      <c r="B100" s="62">
        <f>B96</f>
        <v>333.99</v>
      </c>
      <c r="C100" s="14"/>
      <c r="D100" s="14"/>
      <c r="E100" s="14"/>
    </row>
    <row r="101" ht="14.25" customHeight="1">
      <c r="A101" s="63" t="s">
        <v>118</v>
      </c>
      <c r="B101" s="64">
        <f>B99+B100</f>
        <v>3014.934</v>
      </c>
      <c r="C101" s="14"/>
      <c r="D101" s="14"/>
      <c r="E101" s="14"/>
    </row>
    <row r="102" ht="14.25" customHeight="1">
      <c r="A102" s="14"/>
      <c r="B102" s="14"/>
      <c r="C102" s="14"/>
      <c r="D102" s="14"/>
      <c r="E102" s="14"/>
    </row>
    <row r="103" ht="14.25" customHeight="1">
      <c r="A103" s="35" t="s">
        <v>119</v>
      </c>
      <c r="B103" s="14"/>
      <c r="C103" s="14"/>
      <c r="D103" s="65"/>
      <c r="E103" s="14"/>
    </row>
    <row r="104" ht="14.25" customHeight="1">
      <c r="A104" s="14"/>
      <c r="B104" s="14"/>
      <c r="C104" s="14"/>
      <c r="D104" s="14"/>
      <c r="E104" s="14"/>
    </row>
    <row r="105" ht="14.25" customHeight="1">
      <c r="A105" s="66" t="s">
        <v>17</v>
      </c>
      <c r="B105" s="67" t="s">
        <v>120</v>
      </c>
      <c r="C105" s="14"/>
      <c r="D105" s="14"/>
      <c r="E105" s="14"/>
    </row>
    <row r="106" ht="14.25" customHeight="1">
      <c r="A106" s="14"/>
      <c r="B106" s="14"/>
      <c r="C106" s="68" t="s">
        <v>121</v>
      </c>
      <c r="E106" s="14"/>
    </row>
    <row r="107" ht="14.25" customHeight="1">
      <c r="A107" s="69" t="s">
        <v>17</v>
      </c>
      <c r="B107" s="14"/>
      <c r="C107" s="70">
        <f>B101-1085+B72+B71</f>
        <v>2121.43</v>
      </c>
      <c r="D107" s="14"/>
      <c r="E107" s="14"/>
    </row>
    <row r="108" ht="14.25" customHeight="1">
      <c r="A108" s="14"/>
      <c r="B108" s="14"/>
      <c r="C108" s="68" t="s">
        <v>122</v>
      </c>
      <c r="E108" s="14"/>
    </row>
    <row r="109" ht="14.25" customHeight="1">
      <c r="A109" s="71" t="s">
        <v>17</v>
      </c>
      <c r="B109" s="72"/>
      <c r="C109" s="14"/>
      <c r="D109" s="14"/>
      <c r="E109" s="14"/>
    </row>
    <row r="110" ht="14.25" customHeight="1">
      <c r="A110" s="14"/>
      <c r="B110" s="14"/>
      <c r="C110" s="14"/>
      <c r="D110" s="14"/>
      <c r="E110" s="14"/>
    </row>
    <row r="111" ht="14.25" customHeight="1">
      <c r="A111" s="14"/>
      <c r="B111" s="14"/>
      <c r="C111" s="14"/>
      <c r="D111" s="14"/>
      <c r="E111" s="14"/>
    </row>
    <row r="112" ht="14.25" customHeight="1">
      <c r="A112" s="73" t="s">
        <v>123</v>
      </c>
      <c r="B112" s="74" t="s">
        <v>124</v>
      </c>
      <c r="C112" s="75" t="s">
        <v>125</v>
      </c>
      <c r="D112" s="76" t="s">
        <v>126</v>
      </c>
      <c r="E112" s="77" t="s">
        <v>127</v>
      </c>
    </row>
    <row r="113" ht="14.25" customHeight="1">
      <c r="A113" s="78" t="s">
        <v>128</v>
      </c>
      <c r="B113" s="79" t="s">
        <v>129</v>
      </c>
      <c r="C113" s="80" t="s">
        <v>130</v>
      </c>
      <c r="D113" s="81" t="s">
        <v>131</v>
      </c>
      <c r="E113" s="82" t="s">
        <v>132</v>
      </c>
    </row>
    <row r="114" ht="14.25" customHeight="1">
      <c r="A114" s="83">
        <f>B15+B19+B20+C107+B23</f>
        <v>9237.43</v>
      </c>
      <c r="B114" s="84">
        <f>B21</f>
        <v>260</v>
      </c>
      <c r="C114" s="85"/>
      <c r="D114" s="86">
        <f>B22</f>
        <v>20000</v>
      </c>
      <c r="E114" s="85"/>
    </row>
    <row r="115" ht="14.25" customHeight="1">
      <c r="A115" s="14"/>
      <c r="B115" s="14"/>
      <c r="C115" s="14"/>
      <c r="D115" s="14"/>
      <c r="E115" s="14"/>
    </row>
    <row r="116" ht="14.25" customHeight="1">
      <c r="A116" s="87" t="s">
        <v>133</v>
      </c>
      <c r="B116" s="88" t="s">
        <v>134</v>
      </c>
      <c r="C116" s="89" t="s">
        <v>135</v>
      </c>
      <c r="D116" s="90" t="s">
        <v>136</v>
      </c>
      <c r="E116" s="91" t="s">
        <v>137</v>
      </c>
    </row>
    <row r="117" ht="14.25" customHeight="1">
      <c r="A117" s="92" t="s">
        <v>138</v>
      </c>
      <c r="B117" s="93" t="s">
        <v>139</v>
      </c>
      <c r="C117" s="94" t="s">
        <v>140</v>
      </c>
      <c r="D117" s="95" t="s">
        <v>141</v>
      </c>
      <c r="E117" s="96" t="s">
        <v>142</v>
      </c>
    </row>
    <row r="118" ht="14.25" customHeight="1">
      <c r="A118" s="97">
        <f>0.25-(0.35*0.25)</f>
        <v>0.1625</v>
      </c>
      <c r="B118" s="98">
        <f>B25+B29+B28</f>
        <v>49000</v>
      </c>
      <c r="C118" s="99">
        <f>B27+B26+B31</f>
        <v>0.048</v>
      </c>
      <c r="D118" s="100">
        <f>B50</f>
        <v>0.03</v>
      </c>
      <c r="E118" s="101">
        <f>B32</f>
        <v>0.03</v>
      </c>
    </row>
    <row r="119" ht="14.25" customHeight="1">
      <c r="A119" s="14"/>
      <c r="B119" s="14"/>
      <c r="C119" s="14"/>
      <c r="D119" s="14"/>
      <c r="E119" s="102">
        <f>B18</f>
        <v>127</v>
      </c>
    </row>
    <row r="120" ht="14.25" customHeight="1">
      <c r="A120" s="14"/>
      <c r="B120" s="14"/>
      <c r="C120" s="14"/>
      <c r="D120" s="14"/>
      <c r="E120" s="14"/>
    </row>
    <row r="121" ht="14.25" customHeight="1">
      <c r="A121" s="46"/>
      <c r="B121" s="103"/>
      <c r="C121" s="103"/>
      <c r="D121" s="103"/>
      <c r="E121" s="104"/>
    </row>
    <row r="122" ht="14.25" customHeight="1">
      <c r="A122" s="105" t="s">
        <v>143</v>
      </c>
      <c r="B122" s="106" t="s">
        <v>144</v>
      </c>
      <c r="C122" s="107">
        <v>12804.15</v>
      </c>
      <c r="D122" s="107" t="s">
        <v>145</v>
      </c>
      <c r="E122" s="108">
        <f>C122</f>
        <v>12804.15</v>
      </c>
    </row>
    <row r="123" ht="14.25" customHeight="1">
      <c r="A123" s="109"/>
      <c r="B123" s="110" t="s">
        <v>146</v>
      </c>
      <c r="C123" s="111">
        <f>(D126+(D130*B65)-D131)/(1-(D127+D128+D129)+D130)</f>
        <v>99326.54085</v>
      </c>
      <c r="D123" s="112" t="s">
        <v>147</v>
      </c>
      <c r="E123" s="108">
        <f>E122/100</f>
        <v>128.0415</v>
      </c>
    </row>
    <row r="124" ht="14.25" customHeight="1">
      <c r="A124" s="14"/>
      <c r="B124" s="14"/>
      <c r="C124" s="14"/>
      <c r="D124" s="14"/>
      <c r="E124" s="14"/>
    </row>
    <row r="125" ht="14.25" customHeight="1">
      <c r="A125" s="113" t="s">
        <v>148</v>
      </c>
      <c r="B125" s="14"/>
      <c r="C125" s="14"/>
      <c r="D125" s="14"/>
      <c r="E125" s="14"/>
    </row>
    <row r="126" ht="14.25" customHeight="1">
      <c r="A126" s="114" t="s">
        <v>149</v>
      </c>
      <c r="B126" s="102" t="s">
        <v>150</v>
      </c>
      <c r="C126" s="102" t="s">
        <v>151</v>
      </c>
      <c r="D126" s="115">
        <f>A114+B114+C114+D114+E114+B118</f>
        <v>78497.43</v>
      </c>
      <c r="E126" s="14"/>
    </row>
    <row r="127" ht="14.25" customHeight="1">
      <c r="A127" s="114" t="s">
        <v>152</v>
      </c>
      <c r="B127" s="102" t="s">
        <v>140</v>
      </c>
      <c r="C127" s="102" t="s">
        <v>153</v>
      </c>
      <c r="D127" s="116">
        <f>C118</f>
        <v>0.048</v>
      </c>
      <c r="E127" s="14"/>
    </row>
    <row r="128" ht="14.25" customHeight="1">
      <c r="A128" s="114" t="s">
        <v>154</v>
      </c>
      <c r="B128" s="102" t="s">
        <v>155</v>
      </c>
      <c r="C128" s="102" t="s">
        <v>136</v>
      </c>
      <c r="D128" s="117">
        <f>D118</f>
        <v>0.03</v>
      </c>
      <c r="E128" s="14"/>
    </row>
    <row r="129" ht="14.25" customHeight="1">
      <c r="A129" s="114" t="s">
        <v>156</v>
      </c>
      <c r="B129" s="102" t="s">
        <v>138</v>
      </c>
      <c r="C129" s="102" t="s">
        <v>133</v>
      </c>
      <c r="D129" s="118">
        <f>A118</f>
        <v>0.1625</v>
      </c>
      <c r="E129" s="14"/>
    </row>
    <row r="130" ht="14.25" customHeight="1">
      <c r="A130" s="114" t="s">
        <v>157</v>
      </c>
      <c r="B130" s="102" t="s">
        <v>67</v>
      </c>
      <c r="C130" s="102" t="s">
        <v>137</v>
      </c>
      <c r="D130" s="119">
        <f t="shared" ref="D130:D131" si="1">E118</f>
        <v>0.03</v>
      </c>
      <c r="E130" s="14"/>
    </row>
    <row r="131" ht="14.25" customHeight="1">
      <c r="A131" s="114" t="s">
        <v>158</v>
      </c>
      <c r="B131" s="102" t="s">
        <v>53</v>
      </c>
      <c r="C131" s="102" t="s">
        <v>137</v>
      </c>
      <c r="D131" s="118">
        <f t="shared" si="1"/>
        <v>127</v>
      </c>
      <c r="E131" s="14"/>
    </row>
    <row r="132" ht="14.25" customHeight="1">
      <c r="A132" s="14"/>
      <c r="B132" s="14"/>
      <c r="C132" s="14"/>
      <c r="D132" s="14"/>
      <c r="E132" s="14"/>
    </row>
    <row r="133" ht="14.25" customHeight="1">
      <c r="A133" s="120" t="s">
        <v>159</v>
      </c>
      <c r="B133" s="14"/>
      <c r="C133" s="14"/>
      <c r="D133" s="14"/>
      <c r="E133" s="14"/>
    </row>
    <row r="134" ht="14.25" customHeight="1">
      <c r="A134" s="120" t="s">
        <v>160</v>
      </c>
      <c r="B134" s="14"/>
      <c r="C134" s="14"/>
      <c r="D134" s="14"/>
      <c r="E134" s="14"/>
    </row>
    <row r="135" ht="14.25" customHeight="1">
      <c r="A135" s="120" t="s">
        <v>161</v>
      </c>
      <c r="B135" s="14"/>
      <c r="C135" s="14"/>
      <c r="D135" s="14"/>
      <c r="E135" s="14"/>
    </row>
    <row r="136" ht="14.25" customHeight="1">
      <c r="A136" s="120" t="s">
        <v>64</v>
      </c>
      <c r="B136" s="14"/>
      <c r="C136" s="14"/>
      <c r="D136" s="14"/>
      <c r="E136" s="14"/>
    </row>
    <row r="137" ht="14.25" customHeight="1">
      <c r="A137" s="14"/>
      <c r="B137" s="14"/>
      <c r="C137" s="14"/>
      <c r="D137" s="14"/>
      <c r="E137" s="14"/>
    </row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8">
    <mergeCell ref="A5:B5"/>
    <mergeCell ref="A6:B6"/>
    <mergeCell ref="A7:B7"/>
    <mergeCell ref="A8:B8"/>
    <mergeCell ref="A9:B9"/>
    <mergeCell ref="A10:C10"/>
    <mergeCell ref="A11:C11"/>
    <mergeCell ref="A76:B76"/>
    <mergeCell ref="A87:B87"/>
    <mergeCell ref="C106:D106"/>
    <mergeCell ref="C108:D108"/>
    <mergeCell ref="A34:C34"/>
    <mergeCell ref="A35:C35"/>
    <mergeCell ref="A37:C37"/>
    <mergeCell ref="A38:B38"/>
    <mergeCell ref="A39:B39"/>
    <mergeCell ref="A58:C58"/>
    <mergeCell ref="A68:B68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31.25"/>
    <col customWidth="1" min="3" max="4" width="8.63"/>
    <col customWidth="1" min="5" max="5" width="42.38"/>
    <col customWidth="1" min="6" max="6" width="8.63"/>
    <col customWidth="1" min="7" max="7" width="38.5"/>
    <col customWidth="1" min="8" max="8" width="14.13"/>
    <col customWidth="1" min="9" max="26" width="8.63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>
      <c r="G11" s="2" t="s">
        <v>162</v>
      </c>
      <c r="H11" s="3">
        <f>+(C17+C18+C19+C20)*C15+C27</f>
        <v>1710</v>
      </c>
    </row>
    <row r="12" ht="14.25" customHeight="1">
      <c r="G12" s="2" t="s">
        <v>22</v>
      </c>
      <c r="H12" s="3">
        <f>C23</f>
        <v>80</v>
      </c>
    </row>
    <row r="13" ht="14.25" customHeight="1">
      <c r="G13" s="2" t="s">
        <v>163</v>
      </c>
      <c r="H13" s="3">
        <f>+C24</f>
        <v>210</v>
      </c>
    </row>
    <row r="14" ht="14.25" customHeight="1">
      <c r="G14" s="2" t="s">
        <v>24</v>
      </c>
      <c r="H14" s="3">
        <v>0.0</v>
      </c>
    </row>
    <row r="15" ht="14.25" customHeight="1">
      <c r="B15" s="2" t="s">
        <v>164</v>
      </c>
      <c r="C15" s="3">
        <v>1500.0</v>
      </c>
      <c r="D15" s="3" t="s">
        <v>165</v>
      </c>
      <c r="G15" s="2" t="s">
        <v>25</v>
      </c>
      <c r="H15" s="3">
        <v>0.0</v>
      </c>
    </row>
    <row r="16" ht="14.25" customHeight="1">
      <c r="B16" s="2" t="s">
        <v>166</v>
      </c>
      <c r="C16" s="3">
        <v>0.18</v>
      </c>
      <c r="D16" s="3" t="s">
        <v>167</v>
      </c>
      <c r="E16" s="4" t="s">
        <v>168</v>
      </c>
      <c r="G16" s="2" t="s">
        <v>27</v>
      </c>
      <c r="H16" s="5">
        <f>+C21</f>
        <v>0.15</v>
      </c>
    </row>
    <row r="17" ht="14.25" customHeight="1">
      <c r="B17" s="2" t="s">
        <v>169</v>
      </c>
      <c r="C17" s="3">
        <v>0.35</v>
      </c>
      <c r="D17" s="3" t="s">
        <v>167</v>
      </c>
      <c r="G17" s="2" t="s">
        <v>170</v>
      </c>
      <c r="H17" s="121">
        <f>+C25+(C22+C26)/C35</f>
        <v>229.8125</v>
      </c>
    </row>
    <row r="18" ht="14.25" customHeight="1">
      <c r="B18" s="2" t="s">
        <v>171</v>
      </c>
      <c r="C18" s="3">
        <v>0.25</v>
      </c>
      <c r="D18" s="3" t="s">
        <v>167</v>
      </c>
      <c r="G18" s="2" t="s">
        <v>172</v>
      </c>
      <c r="H18" s="5">
        <f>+C28+C30</f>
        <v>0.0215</v>
      </c>
    </row>
    <row r="19" ht="14.25" customHeight="1">
      <c r="B19" s="2" t="s">
        <v>8</v>
      </c>
      <c r="C19" s="3">
        <v>0.19</v>
      </c>
      <c r="D19" s="3" t="s">
        <v>167</v>
      </c>
      <c r="G19" s="2" t="s">
        <v>173</v>
      </c>
      <c r="H19" s="5">
        <f>+C34</f>
        <v>0.04</v>
      </c>
    </row>
    <row r="20" ht="14.25" customHeight="1">
      <c r="B20" s="2" t="s">
        <v>174</v>
      </c>
      <c r="C20" s="3">
        <v>0.15</v>
      </c>
      <c r="D20" s="3" t="s">
        <v>167</v>
      </c>
      <c r="G20" s="2" t="s">
        <v>175</v>
      </c>
      <c r="H20" s="3">
        <f>+C32*C15</f>
        <v>45</v>
      </c>
      <c r="I20" s="26">
        <f>+C33</f>
        <v>0.05</v>
      </c>
    </row>
    <row r="21" ht="14.25" customHeight="1">
      <c r="B21" s="2" t="s">
        <v>17</v>
      </c>
      <c r="C21" s="5">
        <v>0.15</v>
      </c>
      <c r="D21" s="3"/>
    </row>
    <row r="22" ht="14.25" customHeight="1">
      <c r="B22" s="2" t="s">
        <v>176</v>
      </c>
      <c r="C22" s="3">
        <v>2895.0</v>
      </c>
      <c r="D22" s="3" t="s">
        <v>177</v>
      </c>
      <c r="G22" s="2" t="s">
        <v>4</v>
      </c>
      <c r="H22" s="3">
        <f>+C16*C15*1.01</f>
        <v>272.7</v>
      </c>
    </row>
    <row r="23" ht="14.25" customHeight="1">
      <c r="B23" s="2" t="s">
        <v>178</v>
      </c>
      <c r="C23" s="3">
        <v>80.0</v>
      </c>
      <c r="D23" s="3" t="s">
        <v>179</v>
      </c>
    </row>
    <row r="24" ht="14.25" customHeight="1">
      <c r="B24" s="2" t="s">
        <v>180</v>
      </c>
      <c r="C24" s="3">
        <f>700/5000*C15</f>
        <v>210</v>
      </c>
      <c r="D24" s="3" t="s">
        <v>179</v>
      </c>
      <c r="E24" s="122" t="s">
        <v>181</v>
      </c>
      <c r="G24" s="2" t="s">
        <v>35</v>
      </c>
      <c r="H24" s="121">
        <f>+H11+H12+H13+H14+H15+H17</f>
        <v>2229.8125</v>
      </c>
    </row>
    <row r="25" ht="14.25" customHeight="1">
      <c r="B25" s="2" t="s">
        <v>182</v>
      </c>
      <c r="C25" s="3">
        <v>200.0</v>
      </c>
      <c r="D25" s="3" t="s">
        <v>179</v>
      </c>
      <c r="G25" s="2"/>
    </row>
    <row r="26" ht="14.25" customHeight="1">
      <c r="B26" s="2" t="s">
        <v>183</v>
      </c>
      <c r="C26" s="3">
        <v>1875.0</v>
      </c>
      <c r="D26" s="3" t="s">
        <v>177</v>
      </c>
      <c r="G26" s="2" t="s">
        <v>184</v>
      </c>
      <c r="H26" s="3">
        <f>(H24+(I20*H22)-H20)/(1-(H18+H19)+I20)</f>
        <v>2224.023773</v>
      </c>
    </row>
    <row r="27" ht="14.25" customHeight="1">
      <c r="B27" s="2" t="s">
        <v>185</v>
      </c>
      <c r="C27" s="3">
        <f>+C15/10*2</f>
        <v>300</v>
      </c>
      <c r="D27" s="3" t="s">
        <v>179</v>
      </c>
      <c r="E27" s="122" t="s">
        <v>186</v>
      </c>
      <c r="G27" s="2" t="s">
        <v>187</v>
      </c>
      <c r="H27" s="3">
        <f>(H24+(I20*H22)-H20)/(1-(H18+H19+H16)+I20)</f>
        <v>2621.881336</v>
      </c>
    </row>
    <row r="28" ht="14.25" customHeight="1">
      <c r="B28" s="2" t="s">
        <v>188</v>
      </c>
      <c r="C28" s="6">
        <v>0.012</v>
      </c>
      <c r="D28" s="3"/>
      <c r="E28" s="122" t="s">
        <v>189</v>
      </c>
      <c r="G28" s="2" t="s">
        <v>38</v>
      </c>
      <c r="H28" s="3">
        <f>+H27/C15</f>
        <v>1.74792089</v>
      </c>
    </row>
    <row r="29" ht="14.25" customHeight="1">
      <c r="B29" s="2" t="s">
        <v>190</v>
      </c>
      <c r="C29" s="5">
        <v>0.01</v>
      </c>
      <c r="D29" s="3"/>
      <c r="E29" s="122" t="s">
        <v>191</v>
      </c>
    </row>
    <row r="30" ht="14.25" customHeight="1">
      <c r="B30" s="2" t="s">
        <v>192</v>
      </c>
      <c r="C30" s="6">
        <v>0.0095</v>
      </c>
      <c r="D30" s="3"/>
    </row>
    <row r="31" ht="14.25" customHeight="1">
      <c r="B31" s="2" t="s">
        <v>193</v>
      </c>
      <c r="C31" s="3">
        <v>750.0</v>
      </c>
      <c r="D31" s="3" t="s">
        <v>179</v>
      </c>
    </row>
    <row r="32" ht="14.25" customHeight="1">
      <c r="B32" s="2" t="s">
        <v>194</v>
      </c>
      <c r="C32" s="3">
        <v>0.03</v>
      </c>
      <c r="D32" s="3" t="s">
        <v>167</v>
      </c>
    </row>
    <row r="33" ht="14.25" customHeight="1">
      <c r="B33" s="2" t="s">
        <v>78</v>
      </c>
      <c r="C33" s="5">
        <v>0.05</v>
      </c>
      <c r="D33" s="3"/>
    </row>
    <row r="34" ht="14.25" customHeight="1">
      <c r="B34" s="2" t="s">
        <v>77</v>
      </c>
      <c r="C34" s="5">
        <v>0.04</v>
      </c>
      <c r="D34" s="3"/>
    </row>
    <row r="35" ht="14.25" customHeight="1">
      <c r="B35" s="2" t="s">
        <v>195</v>
      </c>
      <c r="C35" s="3">
        <v>160.0</v>
      </c>
      <c r="D35" s="3" t="s">
        <v>196</v>
      </c>
    </row>
    <row r="36" ht="14.25" customHeight="1"/>
    <row r="37" ht="14.25" customHeight="1">
      <c r="B37" s="18" t="s">
        <v>166</v>
      </c>
      <c r="C37" s="123" t="s">
        <v>168</v>
      </c>
      <c r="D37" s="4">
        <f>C16*C15</f>
        <v>270</v>
      </c>
    </row>
    <row r="38" ht="14.25" customHeight="1">
      <c r="C38" s="123" t="s">
        <v>100</v>
      </c>
      <c r="D38" s="4">
        <f>D37*(1+1%)</f>
        <v>272.7</v>
      </c>
    </row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0" width="8.63"/>
    <col customWidth="1" min="11" max="11" width="40.5"/>
    <col customWidth="1" min="12" max="12" width="11.88"/>
    <col customWidth="1" min="13" max="14" width="8.63"/>
    <col customWidth="1" min="15" max="15" width="38.5"/>
    <col customWidth="1" min="16" max="16" width="16.13"/>
    <col customWidth="1" min="17" max="26" width="8.63"/>
  </cols>
  <sheetData>
    <row r="1" ht="14.25" customHeight="1"/>
    <row r="2" ht="14.25" customHeight="1">
      <c r="K2" s="2" t="s">
        <v>197</v>
      </c>
      <c r="L2" s="3">
        <v>850.0</v>
      </c>
      <c r="M2" s="3"/>
    </row>
    <row r="3" ht="14.25" customHeight="1">
      <c r="K3" s="2" t="s">
        <v>198</v>
      </c>
      <c r="L3" s="3">
        <v>120000.0</v>
      </c>
      <c r="M3" s="3" t="s">
        <v>177</v>
      </c>
    </row>
    <row r="4" ht="14.25" customHeight="1">
      <c r="K4" s="2" t="s">
        <v>185</v>
      </c>
      <c r="L4" s="3">
        <v>50000.0</v>
      </c>
      <c r="M4" s="3" t="s">
        <v>177</v>
      </c>
    </row>
    <row r="5" ht="14.25" customHeight="1">
      <c r="K5" s="2" t="s">
        <v>3</v>
      </c>
      <c r="L5" s="124">
        <v>300.0</v>
      </c>
      <c r="M5" s="3" t="s">
        <v>179</v>
      </c>
    </row>
    <row r="6" ht="14.25" customHeight="1">
      <c r="K6" s="2" t="s">
        <v>8</v>
      </c>
      <c r="L6" s="3">
        <v>2700.0</v>
      </c>
      <c r="M6" s="3" t="s">
        <v>199</v>
      </c>
    </row>
    <row r="7" ht="14.25" customHeight="1">
      <c r="K7" s="2" t="s">
        <v>174</v>
      </c>
      <c r="L7" s="3">
        <v>50000.0</v>
      </c>
      <c r="M7" s="3" t="s">
        <v>177</v>
      </c>
    </row>
    <row r="8" ht="14.25" customHeight="1">
      <c r="K8" s="2" t="s">
        <v>200</v>
      </c>
      <c r="L8" s="3">
        <v>45000.0</v>
      </c>
      <c r="M8" s="3" t="s">
        <v>177</v>
      </c>
    </row>
    <row r="9" ht="14.25" customHeight="1">
      <c r="K9" s="2" t="s">
        <v>77</v>
      </c>
      <c r="L9" s="5">
        <v>0.05</v>
      </c>
      <c r="M9" s="3"/>
    </row>
    <row r="10" ht="14.25" customHeight="1">
      <c r="K10" s="2" t="s">
        <v>78</v>
      </c>
      <c r="L10" s="5">
        <v>0.04</v>
      </c>
      <c r="M10" s="3"/>
    </row>
    <row r="11" ht="14.25" customHeight="1">
      <c r="K11" s="2" t="s">
        <v>194</v>
      </c>
      <c r="L11" s="3">
        <v>0.1</v>
      </c>
      <c r="M11" s="3" t="s">
        <v>201</v>
      </c>
    </row>
    <row r="12" ht="14.25" customHeight="1">
      <c r="K12" s="2" t="s">
        <v>12</v>
      </c>
      <c r="L12" s="6">
        <v>0.013</v>
      </c>
      <c r="M12" s="3"/>
    </row>
    <row r="13" ht="14.25" customHeight="1">
      <c r="K13" s="2" t="s">
        <v>176</v>
      </c>
      <c r="L13" s="3">
        <v>100.0</v>
      </c>
      <c r="M13" s="3" t="s">
        <v>179</v>
      </c>
    </row>
    <row r="14" ht="14.25" customHeight="1">
      <c r="K14" s="2" t="s">
        <v>202</v>
      </c>
      <c r="L14" s="3">
        <v>285.0</v>
      </c>
      <c r="M14" s="3" t="s">
        <v>179</v>
      </c>
    </row>
    <row r="15" ht="14.25" customHeight="1">
      <c r="K15" s="2" t="s">
        <v>203</v>
      </c>
      <c r="L15" s="3">
        <v>2000.0</v>
      </c>
      <c r="M15" s="3" t="s">
        <v>179</v>
      </c>
    </row>
    <row r="16" ht="14.25" customHeight="1">
      <c r="K16" s="2" t="s">
        <v>204</v>
      </c>
      <c r="L16" s="3">
        <v>1750.0</v>
      </c>
      <c r="M16" s="3" t="s">
        <v>179</v>
      </c>
    </row>
    <row r="17" ht="14.25" customHeight="1">
      <c r="K17" s="2" t="s">
        <v>205</v>
      </c>
      <c r="L17" s="3">
        <v>45000.0</v>
      </c>
      <c r="M17" s="3" t="s">
        <v>177</v>
      </c>
    </row>
    <row r="18" ht="14.25" customHeight="1">
      <c r="K18" s="2" t="s">
        <v>206</v>
      </c>
      <c r="L18" s="6">
        <v>0.0055</v>
      </c>
      <c r="M18" s="3"/>
    </row>
    <row r="19" ht="14.25" customHeight="1">
      <c r="K19" s="2" t="s">
        <v>17</v>
      </c>
      <c r="L19" s="5">
        <v>0.21</v>
      </c>
      <c r="M19" s="3"/>
    </row>
    <row r="20" ht="14.25" customHeight="1">
      <c r="K20" s="2" t="s">
        <v>183</v>
      </c>
      <c r="L20" s="3">
        <v>195.0</v>
      </c>
      <c r="M20" s="3"/>
    </row>
    <row r="21" ht="14.25" customHeight="1">
      <c r="K21" s="2" t="s">
        <v>207</v>
      </c>
      <c r="L21" s="124">
        <v>145000.0</v>
      </c>
      <c r="M21" s="3" t="s">
        <v>177</v>
      </c>
      <c r="N21" s="4" t="s">
        <v>208</v>
      </c>
    </row>
    <row r="22" ht="14.25" customHeight="1">
      <c r="K22" s="2" t="s">
        <v>195</v>
      </c>
      <c r="L22" s="3">
        <v>348.0</v>
      </c>
      <c r="M22" s="3"/>
    </row>
    <row r="23" ht="14.25" customHeight="1"/>
    <row r="24" ht="14.25" customHeight="1">
      <c r="K24" s="2" t="s">
        <v>162</v>
      </c>
      <c r="L24" s="125">
        <f>+((L3+L4+L7+L6)*L2)/L22+L5</f>
        <v>544251.1494</v>
      </c>
    </row>
    <row r="25" ht="14.25" customHeight="1">
      <c r="K25" s="2" t="s">
        <v>22</v>
      </c>
      <c r="L25" s="125">
        <f>+L8/L22</f>
        <v>129.3103448</v>
      </c>
    </row>
    <row r="26" ht="14.25" customHeight="1">
      <c r="K26" s="2" t="s">
        <v>163</v>
      </c>
      <c r="L26" s="125">
        <f>+L21/L22/3</f>
        <v>138.8888889</v>
      </c>
    </row>
    <row r="27" ht="14.25" customHeight="1">
      <c r="K27" s="2" t="s">
        <v>24</v>
      </c>
      <c r="L27" s="3">
        <v>0.0</v>
      </c>
    </row>
    <row r="28" ht="14.25" customHeight="1">
      <c r="K28" s="2" t="s">
        <v>25</v>
      </c>
      <c r="L28" s="3">
        <v>0.0</v>
      </c>
    </row>
    <row r="29" ht="14.25" customHeight="1">
      <c r="K29" s="2" t="s">
        <v>27</v>
      </c>
      <c r="L29" s="5">
        <f>+L19/(1-0.35)</f>
        <v>0.3230769231</v>
      </c>
    </row>
    <row r="30" ht="14.25" customHeight="1">
      <c r="K30" s="2" t="s">
        <v>170</v>
      </c>
      <c r="L30" s="126">
        <f>+L13+L14+L17/L22+L20</f>
        <v>709.3103448</v>
      </c>
    </row>
    <row r="31" ht="14.25" customHeight="1">
      <c r="K31" s="2" t="s">
        <v>172</v>
      </c>
      <c r="L31" s="6">
        <f>+L12+L18</f>
        <v>0.0185</v>
      </c>
    </row>
    <row r="32" ht="14.25" customHeight="1">
      <c r="K32" s="2" t="s">
        <v>173</v>
      </c>
      <c r="L32" s="5">
        <f>+L9</f>
        <v>0.05</v>
      </c>
    </row>
    <row r="33" ht="14.25" customHeight="1">
      <c r="K33" s="2" t="s">
        <v>175</v>
      </c>
      <c r="L33" s="3">
        <f>0.1*L2</f>
        <v>85</v>
      </c>
      <c r="M33" s="26">
        <v>0.04</v>
      </c>
    </row>
    <row r="34" ht="14.25" customHeight="1"/>
    <row r="35" ht="14.25" customHeight="1">
      <c r="K35" s="2" t="s">
        <v>4</v>
      </c>
      <c r="L35" s="123">
        <v>0.0</v>
      </c>
    </row>
    <row r="36" ht="14.25" customHeight="1">
      <c r="K36" s="32"/>
      <c r="L36" s="32"/>
    </row>
    <row r="37" ht="14.25" customHeight="1">
      <c r="K37" s="2" t="s">
        <v>35</v>
      </c>
      <c r="L37" s="127">
        <f>+L24+L25+L26+L27+L28+L30</f>
        <v>545228.659</v>
      </c>
    </row>
    <row r="38" ht="14.25" customHeight="1">
      <c r="K38" s="32"/>
      <c r="L38" s="32"/>
    </row>
    <row r="39" ht="14.25" customHeight="1">
      <c r="K39" s="2" t="s">
        <v>184</v>
      </c>
      <c r="L39" s="127">
        <f>(L37+(M33*L35)-L33)/(1-(L31+L32)+M33)</f>
        <v>561136.036</v>
      </c>
    </row>
    <row r="40" ht="14.25" customHeight="1">
      <c r="K40" s="2" t="s">
        <v>187</v>
      </c>
      <c r="L40" s="3">
        <f>(L37+(M33*L35)-L33)/(1-(L31+L32+L29)+M33)</f>
        <v>840722.1742</v>
      </c>
    </row>
    <row r="41" ht="14.25" customHeight="1">
      <c r="K41" s="2" t="s">
        <v>38</v>
      </c>
      <c r="L41" s="3">
        <f>+L40/L2</f>
        <v>989.0849108</v>
      </c>
    </row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9" width="8.63"/>
    <col customWidth="1" min="10" max="10" width="39.88"/>
    <col customWidth="1" min="11" max="11" width="11.88"/>
    <col customWidth="1" min="12" max="14" width="8.63"/>
    <col customWidth="1" min="15" max="15" width="38.88"/>
    <col customWidth="1" min="16" max="16" width="20.38"/>
    <col customWidth="1" min="17" max="26" width="8.63"/>
  </cols>
  <sheetData>
    <row r="1" ht="14.25" customHeight="1"/>
    <row r="2" ht="14.25" customHeight="1">
      <c r="J2" s="2" t="s">
        <v>209</v>
      </c>
      <c r="K2" s="3">
        <v>750.0</v>
      </c>
      <c r="L2" s="3" t="s">
        <v>165</v>
      </c>
    </row>
    <row r="3" ht="14.25" customHeight="1">
      <c r="J3" s="2" t="s">
        <v>198</v>
      </c>
      <c r="K3" s="3">
        <v>720000.0</v>
      </c>
      <c r="L3" s="3" t="s">
        <v>177</v>
      </c>
    </row>
    <row r="4" ht="14.25" customHeight="1">
      <c r="J4" s="2" t="s">
        <v>185</v>
      </c>
      <c r="K4" s="3">
        <v>150000.0</v>
      </c>
      <c r="L4" s="3" t="s">
        <v>177</v>
      </c>
    </row>
    <row r="5" ht="14.25" customHeight="1">
      <c r="J5" s="2" t="s">
        <v>3</v>
      </c>
      <c r="K5" s="3">
        <v>200.0</v>
      </c>
      <c r="L5" s="3" t="s">
        <v>179</v>
      </c>
    </row>
    <row r="6" ht="14.25" customHeight="1">
      <c r="J6" s="2" t="s">
        <v>8</v>
      </c>
      <c r="K6" s="3">
        <v>3700.0</v>
      </c>
      <c r="L6" s="3" t="s">
        <v>199</v>
      </c>
    </row>
    <row r="7" ht="14.25" customHeight="1">
      <c r="J7" s="2" t="s">
        <v>174</v>
      </c>
      <c r="K7" s="3">
        <v>150000.0</v>
      </c>
      <c r="L7" s="3" t="s">
        <v>177</v>
      </c>
    </row>
    <row r="8" ht="14.25" customHeight="1">
      <c r="J8" s="2" t="s">
        <v>200</v>
      </c>
      <c r="K8" s="3">
        <v>75000.0</v>
      </c>
      <c r="L8" s="3" t="s">
        <v>177</v>
      </c>
    </row>
    <row r="9" ht="14.25" customHeight="1">
      <c r="J9" s="2" t="s">
        <v>77</v>
      </c>
      <c r="K9" s="5">
        <v>0.06</v>
      </c>
      <c r="L9" s="3"/>
    </row>
    <row r="10" ht="14.25" customHeight="1">
      <c r="J10" s="2" t="s">
        <v>78</v>
      </c>
      <c r="K10" s="5">
        <v>0.04</v>
      </c>
      <c r="L10" s="3"/>
    </row>
    <row r="11" ht="14.25" customHeight="1">
      <c r="J11" s="2" t="s">
        <v>194</v>
      </c>
      <c r="K11" s="3">
        <v>0.1</v>
      </c>
      <c r="L11" s="3" t="s">
        <v>201</v>
      </c>
    </row>
    <row r="12" ht="14.25" customHeight="1">
      <c r="J12" s="2" t="s">
        <v>210</v>
      </c>
      <c r="K12" s="6">
        <v>0.015</v>
      </c>
      <c r="L12" s="3"/>
    </row>
    <row r="13" ht="14.25" customHeight="1">
      <c r="J13" s="2" t="s">
        <v>176</v>
      </c>
      <c r="K13" s="3">
        <v>200.0</v>
      </c>
      <c r="L13" s="3" t="s">
        <v>179</v>
      </c>
    </row>
    <row r="14" ht="14.25" customHeight="1">
      <c r="J14" s="2" t="s">
        <v>211</v>
      </c>
      <c r="K14" s="3">
        <v>485.0</v>
      </c>
      <c r="L14" s="3" t="s">
        <v>179</v>
      </c>
    </row>
    <row r="15" ht="14.25" customHeight="1">
      <c r="J15" s="2" t="s">
        <v>212</v>
      </c>
      <c r="K15" s="3">
        <v>1850.0</v>
      </c>
      <c r="L15" s="3" t="s">
        <v>179</v>
      </c>
    </row>
    <row r="16" ht="14.25" customHeight="1">
      <c r="J16" s="2" t="s">
        <v>213</v>
      </c>
      <c r="K16" s="3">
        <v>1550.0</v>
      </c>
      <c r="L16" s="3" t="s">
        <v>179</v>
      </c>
    </row>
    <row r="17" ht="14.25" customHeight="1">
      <c r="J17" s="2" t="s">
        <v>205</v>
      </c>
      <c r="K17" s="3">
        <v>55000.0</v>
      </c>
      <c r="L17" s="3" t="s">
        <v>177</v>
      </c>
    </row>
    <row r="18" ht="14.25" customHeight="1">
      <c r="J18" s="2" t="s">
        <v>214</v>
      </c>
      <c r="K18" s="6">
        <v>0.0065</v>
      </c>
      <c r="L18" s="3"/>
    </row>
    <row r="19" ht="14.25" customHeight="1">
      <c r="J19" s="2" t="s">
        <v>17</v>
      </c>
      <c r="K19" s="5">
        <v>0.2</v>
      </c>
      <c r="L19" s="3"/>
    </row>
    <row r="20" ht="14.25" customHeight="1">
      <c r="J20" s="2" t="s">
        <v>183</v>
      </c>
      <c r="K20" s="3">
        <v>205.0</v>
      </c>
      <c r="L20" s="3" t="s">
        <v>179</v>
      </c>
    </row>
    <row r="21" ht="14.25" customHeight="1">
      <c r="J21" s="2" t="s">
        <v>207</v>
      </c>
      <c r="K21" s="3">
        <v>145000.0</v>
      </c>
      <c r="L21" s="3" t="s">
        <v>177</v>
      </c>
      <c r="M21" s="4" t="s">
        <v>215</v>
      </c>
    </row>
    <row r="22" ht="14.25" customHeight="1">
      <c r="J22" s="2" t="s">
        <v>195</v>
      </c>
      <c r="K22" s="3">
        <v>348.0</v>
      </c>
      <c r="L22" s="3" t="s">
        <v>196</v>
      </c>
    </row>
    <row r="23" ht="14.25" customHeight="1"/>
    <row r="24" ht="14.25" customHeight="1">
      <c r="J24" s="2" t="s">
        <v>162</v>
      </c>
      <c r="K24" s="121">
        <f>+(K3+K4+K7+K6*K2)/K22+K5</f>
        <v>11105.17241</v>
      </c>
    </row>
    <row r="25" ht="14.25" customHeight="1">
      <c r="J25" s="2" t="s">
        <v>22</v>
      </c>
      <c r="K25" s="121">
        <f>+K8/K22</f>
        <v>215.5172414</v>
      </c>
    </row>
    <row r="26" ht="14.25" customHeight="1">
      <c r="J26" s="2" t="s">
        <v>163</v>
      </c>
      <c r="K26" s="121">
        <f>+K21/K22/2</f>
        <v>208.3333333</v>
      </c>
    </row>
    <row r="27" ht="14.25" customHeight="1">
      <c r="J27" s="2" t="s">
        <v>24</v>
      </c>
      <c r="K27" s="3">
        <v>0.0</v>
      </c>
    </row>
    <row r="28" ht="14.25" customHeight="1">
      <c r="J28" s="2" t="s">
        <v>25</v>
      </c>
      <c r="K28" s="3">
        <v>0.0</v>
      </c>
    </row>
    <row r="29" ht="14.25" customHeight="1">
      <c r="J29" s="2" t="s">
        <v>27</v>
      </c>
      <c r="K29" s="6">
        <f>+K19/(1-0.35)</f>
        <v>0.3076923077</v>
      </c>
    </row>
    <row r="30" ht="14.25" customHeight="1">
      <c r="J30" s="2" t="s">
        <v>170</v>
      </c>
      <c r="K30" s="121">
        <f>+K13+K14+K17/K22+K20</f>
        <v>1048.045977</v>
      </c>
    </row>
    <row r="31" ht="14.25" customHeight="1">
      <c r="J31" s="2" t="s">
        <v>172</v>
      </c>
      <c r="K31" s="6">
        <f>+K12+K18</f>
        <v>0.0215</v>
      </c>
    </row>
    <row r="32" ht="14.25" customHeight="1">
      <c r="J32" s="2" t="s">
        <v>173</v>
      </c>
      <c r="K32" s="6">
        <f>+K9</f>
        <v>0.06</v>
      </c>
    </row>
    <row r="33" ht="14.25" customHeight="1">
      <c r="J33" s="2" t="s">
        <v>175</v>
      </c>
      <c r="K33" s="3">
        <f>+K11*K2</f>
        <v>75</v>
      </c>
      <c r="L33" s="5">
        <f>+K10</f>
        <v>0.04</v>
      </c>
    </row>
    <row r="34" ht="14.25" customHeight="1"/>
    <row r="35" ht="14.25" customHeight="1">
      <c r="J35" s="2" t="s">
        <v>4</v>
      </c>
      <c r="K35" s="3">
        <v>0.0</v>
      </c>
    </row>
    <row r="36" ht="14.25" customHeight="1">
      <c r="J36" s="32"/>
      <c r="K36" s="32"/>
    </row>
    <row r="37" ht="14.25" customHeight="1">
      <c r="J37" s="2" t="s">
        <v>35</v>
      </c>
      <c r="K37" s="121">
        <f>+K24+K25+K26+K27+K28+K30</f>
        <v>12577.06897</v>
      </c>
    </row>
    <row r="38" ht="14.25" customHeight="1">
      <c r="J38" s="32"/>
      <c r="K38" s="128"/>
    </row>
    <row r="39" ht="14.25" customHeight="1">
      <c r="J39" s="2" t="s">
        <v>184</v>
      </c>
      <c r="K39" s="121">
        <f>(K37+(L33*K35)-K33)/(1-(K31+K32)+L33)</f>
        <v>13043.36877</v>
      </c>
    </row>
    <row r="40" ht="14.25" customHeight="1">
      <c r="J40" s="2" t="s">
        <v>187</v>
      </c>
      <c r="K40" s="121">
        <f>(K37+(L33*K35)-K33)/(1-(K31+K32+K29)+L33)</f>
        <v>19210.08174</v>
      </c>
    </row>
    <row r="41" ht="14.25" customHeight="1">
      <c r="J41" s="2" t="s">
        <v>38</v>
      </c>
      <c r="K41" s="121">
        <f>+K40/K2</f>
        <v>25.61344232</v>
      </c>
    </row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0.13"/>
    <col customWidth="1" min="2" max="2" width="15.75"/>
    <col customWidth="1" min="4" max="4" width="35.63"/>
    <col customWidth="1" min="7" max="7" width="13.5"/>
    <col customWidth="1" min="8" max="8" width="11.88"/>
  </cols>
  <sheetData>
    <row r="2">
      <c r="G2" s="123"/>
    </row>
    <row r="20">
      <c r="A20" s="14"/>
      <c r="B20" s="14"/>
      <c r="C20" s="14"/>
      <c r="D20" s="18" t="s">
        <v>216</v>
      </c>
      <c r="E20" s="18" t="s">
        <v>217</v>
      </c>
      <c r="G20" s="18" t="s">
        <v>218</v>
      </c>
    </row>
    <row r="21">
      <c r="A21" s="18" t="s">
        <v>219</v>
      </c>
      <c r="B21" s="3">
        <v>500.0</v>
      </c>
      <c r="C21" s="14" t="s">
        <v>165</v>
      </c>
      <c r="D21" s="129">
        <v>750.0</v>
      </c>
      <c r="E21" s="129">
        <f>B21*D21/1000</f>
        <v>375</v>
      </c>
    </row>
    <row r="22">
      <c r="A22" s="18" t="s">
        <v>220</v>
      </c>
      <c r="B22" s="3">
        <v>36.0</v>
      </c>
      <c r="C22" s="14" t="s">
        <v>221</v>
      </c>
      <c r="D22" s="18" t="s">
        <v>222</v>
      </c>
      <c r="E22" s="121">
        <f>B22*E21+B23*E21+B24+B25*B21+B26*B21+(B27/B44)+B33/B44</f>
        <v>38928.63235</v>
      </c>
      <c r="G22" s="121">
        <f>(B22+B23)*E21+B24+B25*B21+B26*B21+B27/1360+B33/1360</f>
        <v>38928.63235</v>
      </c>
    </row>
    <row r="23">
      <c r="A23" s="18" t="s">
        <v>223</v>
      </c>
      <c r="B23" s="3">
        <v>0.85</v>
      </c>
      <c r="C23" s="14" t="s">
        <v>221</v>
      </c>
      <c r="D23" s="18" t="s">
        <v>224</v>
      </c>
      <c r="E23" s="121">
        <f>B28/B44+B29*E21/B44</f>
        <v>8088.235294</v>
      </c>
      <c r="G23" s="121">
        <f>B28/B44+B29*E21/B44+B40*B21</f>
        <v>8918.235294</v>
      </c>
    </row>
    <row r="24">
      <c r="A24" s="18" t="s">
        <v>225</v>
      </c>
      <c r="B24" s="3">
        <v>4.0</v>
      </c>
      <c r="C24" s="14" t="s">
        <v>179</v>
      </c>
      <c r="D24" s="18" t="s">
        <v>226</v>
      </c>
      <c r="E24" s="124">
        <v>0.0</v>
      </c>
      <c r="G24" s="121">
        <v>0.0</v>
      </c>
    </row>
    <row r="25">
      <c r="A25" s="18" t="s">
        <v>227</v>
      </c>
      <c r="B25" s="3">
        <v>45.0</v>
      </c>
      <c r="C25" s="14" t="s">
        <v>201</v>
      </c>
      <c r="D25" s="18" t="s">
        <v>228</v>
      </c>
      <c r="E25" s="121">
        <f>SUM(E22:E24)*B32</f>
        <v>2821.012059</v>
      </c>
      <c r="G25" s="121">
        <f>SUM(E22:E24)*B32</f>
        <v>2821.012059</v>
      </c>
    </row>
    <row r="26">
      <c r="A26" s="18" t="s">
        <v>229</v>
      </c>
      <c r="B26" s="3">
        <v>0.8</v>
      </c>
      <c r="C26" s="14" t="s">
        <v>201</v>
      </c>
      <c r="D26" s="18" t="s">
        <v>230</v>
      </c>
      <c r="E26" s="124">
        <v>0.0</v>
      </c>
      <c r="G26" s="121">
        <v>0.0</v>
      </c>
    </row>
    <row r="27">
      <c r="A27" s="18" t="s">
        <v>231</v>
      </c>
      <c r="B27" s="124">
        <v>1200000.0</v>
      </c>
      <c r="C27" s="14" t="s">
        <v>177</v>
      </c>
      <c r="D27" s="18" t="s">
        <v>232</v>
      </c>
      <c r="E27" s="6">
        <f>B41*(1-0.35)</f>
        <v>0.117</v>
      </c>
      <c r="G27" s="6">
        <f>B41*(1-0.35)</f>
        <v>0.117</v>
      </c>
    </row>
    <row r="28">
      <c r="A28" s="18" t="s">
        <v>233</v>
      </c>
      <c r="B28" s="3">
        <v>6500000.0</v>
      </c>
      <c r="C28" s="14"/>
      <c r="D28" s="18" t="s">
        <v>234</v>
      </c>
      <c r="E28" s="121">
        <f>B34/B44+B37/B44+B38/B44+B40*B21</f>
        <v>1354.852941</v>
      </c>
      <c r="G28" s="121">
        <f>(B34+B37+B38)/B44</f>
        <v>524.8529412</v>
      </c>
    </row>
    <row r="29">
      <c r="A29" s="18" t="s">
        <v>235</v>
      </c>
      <c r="B29" s="3">
        <v>12000.0</v>
      </c>
      <c r="C29" s="14" t="s">
        <v>236</v>
      </c>
      <c r="D29" s="18" t="s">
        <v>237</v>
      </c>
      <c r="E29" s="6">
        <f>B35+B36</f>
        <v>0.0225</v>
      </c>
      <c r="G29" s="6">
        <f>B36+B35</f>
        <v>0.0225</v>
      </c>
    </row>
    <row r="30">
      <c r="A30" s="18" t="s">
        <v>238</v>
      </c>
      <c r="B30" s="3">
        <v>120.0</v>
      </c>
      <c r="C30" s="14" t="s">
        <v>179</v>
      </c>
      <c r="D30" s="18" t="s">
        <v>239</v>
      </c>
      <c r="E30" s="6">
        <f t="shared" ref="E30:E31" si="1">B42</f>
        <v>0.03</v>
      </c>
      <c r="G30" s="6">
        <f>B42</f>
        <v>0.03</v>
      </c>
    </row>
    <row r="31">
      <c r="A31" s="18" t="s">
        <v>240</v>
      </c>
      <c r="B31" s="3">
        <v>55.0</v>
      </c>
      <c r="C31" s="14" t="s">
        <v>179</v>
      </c>
      <c r="D31" s="18" t="s">
        <v>33</v>
      </c>
      <c r="E31" s="6">
        <f t="shared" si="1"/>
        <v>0.03</v>
      </c>
      <c r="F31" s="130">
        <v>55.0</v>
      </c>
      <c r="G31" s="121">
        <f>B31</f>
        <v>55</v>
      </c>
      <c r="H31" s="6">
        <f>B43</f>
        <v>0.03</v>
      </c>
    </row>
    <row r="32">
      <c r="A32" s="18" t="s">
        <v>241</v>
      </c>
      <c r="B32" s="6">
        <v>0.06</v>
      </c>
      <c r="C32" s="14"/>
      <c r="D32" s="14"/>
      <c r="E32" s="14"/>
    </row>
    <row r="33">
      <c r="A33" s="18" t="s">
        <v>242</v>
      </c>
      <c r="B33" s="124">
        <v>1800000.0</v>
      </c>
      <c r="C33" s="14" t="s">
        <v>177</v>
      </c>
      <c r="D33" s="18" t="s">
        <v>243</v>
      </c>
      <c r="E33" s="121">
        <f>SUM(E22:E26)+E28</f>
        <v>51192.73265</v>
      </c>
      <c r="G33" s="121">
        <f>SUM(G22:G26)+G28</f>
        <v>51192.73265</v>
      </c>
    </row>
    <row r="34">
      <c r="A34" s="18" t="s">
        <v>244</v>
      </c>
      <c r="B34" s="3">
        <v>373000.0</v>
      </c>
      <c r="C34" s="14" t="s">
        <v>177</v>
      </c>
      <c r="D34" s="18" t="s">
        <v>245</v>
      </c>
      <c r="E34" s="3">
        <f>B30</f>
        <v>120</v>
      </c>
      <c r="G34" s="121">
        <f>B30</f>
        <v>120</v>
      </c>
    </row>
    <row r="35">
      <c r="A35" s="18" t="s">
        <v>246</v>
      </c>
      <c r="B35" s="6">
        <v>0.01</v>
      </c>
      <c r="C35" s="14"/>
      <c r="D35" s="14"/>
    </row>
    <row r="36">
      <c r="A36" s="18" t="s">
        <v>247</v>
      </c>
      <c r="B36" s="6">
        <v>0.0125</v>
      </c>
      <c r="C36" s="14"/>
      <c r="D36" s="18" t="s">
        <v>248</v>
      </c>
      <c r="E36" s="121">
        <f>(E33+(E34*E31)-F31)/(1-(E29+E30)+E31)</f>
        <v>52318.49887</v>
      </c>
      <c r="G36" s="121">
        <f>(G33+(G34*H31)-G31)/(1-(G30+G29)+H31)</f>
        <v>52318.49887</v>
      </c>
    </row>
    <row r="37">
      <c r="A37" s="18" t="s">
        <v>249</v>
      </c>
      <c r="B37" s="3">
        <v>205800.0</v>
      </c>
      <c r="C37" s="14" t="s">
        <v>177</v>
      </c>
      <c r="D37" s="18" t="s">
        <v>37</v>
      </c>
      <c r="E37" s="121">
        <f>(E33+(E34*E31)-Q59)/(1-(E29+E30+E27)+E31)</f>
        <v>59496.02864</v>
      </c>
      <c r="G37" s="121">
        <f>(G33+(G34*H31)-G31)/(1-(G30+G29+E27)+H31)</f>
        <v>59432.11232</v>
      </c>
      <c r="J37" s="4" t="str">
        <f>+I23</f>
        <v/>
      </c>
    </row>
    <row r="38">
      <c r="A38" s="18" t="s">
        <v>250</v>
      </c>
      <c r="B38" s="3">
        <v>135000.0</v>
      </c>
      <c r="C38" s="14"/>
      <c r="D38" s="18" t="s">
        <v>38</v>
      </c>
      <c r="E38" s="121">
        <f>E37/B21</f>
        <v>118.9920573</v>
      </c>
      <c r="G38" s="121">
        <f>G37/B21</f>
        <v>118.8642246</v>
      </c>
    </row>
    <row r="39">
      <c r="A39" s="18" t="s">
        <v>251</v>
      </c>
      <c r="B39" s="3">
        <v>1500.0</v>
      </c>
      <c r="C39" s="14" t="s">
        <v>179</v>
      </c>
      <c r="D39" s="14"/>
      <c r="E39" s="14"/>
    </row>
    <row r="40">
      <c r="A40" s="18" t="s">
        <v>252</v>
      </c>
      <c r="B40" s="3">
        <v>1.66</v>
      </c>
      <c r="C40" s="14" t="s">
        <v>201</v>
      </c>
      <c r="D40" s="14"/>
      <c r="E40" s="14"/>
    </row>
    <row r="41">
      <c r="A41" s="18" t="s">
        <v>253</v>
      </c>
      <c r="B41" s="6">
        <v>0.18</v>
      </c>
      <c r="C41" s="14"/>
      <c r="D41" s="14"/>
      <c r="E41" s="14"/>
    </row>
    <row r="42">
      <c r="A42" s="18" t="s">
        <v>254</v>
      </c>
      <c r="B42" s="6">
        <v>0.03</v>
      </c>
      <c r="C42" s="14"/>
      <c r="D42" s="14"/>
      <c r="E42" s="14"/>
    </row>
    <row r="43">
      <c r="A43" s="18" t="s">
        <v>255</v>
      </c>
      <c r="B43" s="6">
        <v>0.03</v>
      </c>
      <c r="C43" s="14"/>
      <c r="D43" s="14"/>
      <c r="E43" s="14"/>
    </row>
    <row r="44">
      <c r="A44" s="18" t="s">
        <v>256</v>
      </c>
      <c r="B44" s="3">
        <v>1360.0</v>
      </c>
      <c r="C44" s="14"/>
      <c r="D44" s="14"/>
      <c r="E44" s="14"/>
    </row>
    <row r="49">
      <c r="M49" s="14"/>
      <c r="N49" s="14"/>
      <c r="O49" s="14"/>
      <c r="P49" s="14"/>
    </row>
    <row r="50">
      <c r="M50" s="14"/>
      <c r="N50" s="14"/>
    </row>
    <row r="51">
      <c r="M51" s="14"/>
      <c r="N51" s="14"/>
    </row>
    <row r="52">
      <c r="M52" s="14"/>
      <c r="N52" s="14"/>
    </row>
    <row r="53">
      <c r="M53" s="14"/>
      <c r="N53" s="14"/>
    </row>
    <row r="54">
      <c r="M54" s="14"/>
      <c r="N54" s="14"/>
    </row>
    <row r="55">
      <c r="M55" s="14"/>
      <c r="N55" s="14"/>
    </row>
    <row r="56">
      <c r="M56" s="14"/>
      <c r="N56" s="14"/>
    </row>
    <row r="57">
      <c r="M57" s="14"/>
      <c r="N57" s="14"/>
    </row>
    <row r="58">
      <c r="M58" s="14"/>
      <c r="N58" s="14"/>
    </row>
    <row r="59">
      <c r="M59" s="14"/>
      <c r="N59" s="14"/>
    </row>
    <row r="60">
      <c r="M60" s="14"/>
      <c r="N60" s="14"/>
    </row>
    <row r="61">
      <c r="M61" s="14"/>
      <c r="N61" s="14"/>
    </row>
    <row r="62">
      <c r="M62" s="14"/>
      <c r="N62" s="14"/>
    </row>
    <row r="63">
      <c r="M63" s="14"/>
      <c r="N63" s="14"/>
    </row>
    <row r="64">
      <c r="M64" s="14"/>
      <c r="N64" s="14"/>
    </row>
    <row r="65">
      <c r="M65" s="14"/>
      <c r="N65" s="14"/>
    </row>
    <row r="66">
      <c r="M66" s="14"/>
      <c r="N66" s="14"/>
    </row>
    <row r="67">
      <c r="M67" s="14"/>
      <c r="N67" s="14"/>
      <c r="O67" s="14"/>
      <c r="P67" s="14"/>
    </row>
    <row r="68">
      <c r="M68" s="14"/>
      <c r="N68" s="14"/>
      <c r="O68" s="14"/>
      <c r="P68" s="14"/>
    </row>
    <row r="69">
      <c r="M69" s="14"/>
      <c r="N69" s="14"/>
      <c r="O69" s="14"/>
      <c r="P69" s="14"/>
    </row>
    <row r="70">
      <c r="M70" s="14"/>
      <c r="N70" s="14"/>
      <c r="O70" s="14"/>
      <c r="P70" s="14"/>
    </row>
    <row r="71">
      <c r="M71" s="14"/>
      <c r="N71" s="14"/>
      <c r="O71" s="14"/>
      <c r="P71" s="14"/>
    </row>
    <row r="72">
      <c r="M72" s="14"/>
      <c r="N72" s="14"/>
      <c r="O72" s="14"/>
      <c r="P72" s="14"/>
    </row>
    <row r="73">
      <c r="M73" s="14"/>
      <c r="N73" s="14"/>
      <c r="O73" s="14"/>
      <c r="P73" s="14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9" max="9" width="34.38"/>
    <col customWidth="1" min="12" max="12" width="36.75"/>
    <col customWidth="1" min="13" max="13" width="16.38"/>
  </cols>
  <sheetData>
    <row r="1">
      <c r="I1" s="14"/>
      <c r="J1" s="14"/>
      <c r="K1" s="14"/>
      <c r="L1" s="18" t="s">
        <v>257</v>
      </c>
      <c r="M1" s="18"/>
    </row>
    <row r="2">
      <c r="I2" s="18" t="s">
        <v>219</v>
      </c>
      <c r="J2" s="3"/>
      <c r="K2" s="14" t="s">
        <v>165</v>
      </c>
      <c r="L2" s="129"/>
      <c r="M2" s="129"/>
    </row>
    <row r="3">
      <c r="I3" s="18" t="s">
        <v>220</v>
      </c>
      <c r="J3" s="3"/>
      <c r="K3" s="14" t="s">
        <v>221</v>
      </c>
      <c r="L3" s="18" t="s">
        <v>222</v>
      </c>
      <c r="M3" s="121"/>
    </row>
    <row r="4">
      <c r="I4" s="18" t="s">
        <v>223</v>
      </c>
      <c r="J4" s="3"/>
      <c r="K4" s="14" t="s">
        <v>221</v>
      </c>
      <c r="L4" s="18" t="s">
        <v>224</v>
      </c>
      <c r="M4" s="121"/>
    </row>
    <row r="5">
      <c r="I5" s="18" t="s">
        <v>258</v>
      </c>
      <c r="J5" s="3"/>
      <c r="K5" s="14" t="s">
        <v>179</v>
      </c>
      <c r="L5" s="18" t="s">
        <v>226</v>
      </c>
      <c r="M5" s="3"/>
    </row>
    <row r="6">
      <c r="I6" s="18" t="s">
        <v>227</v>
      </c>
      <c r="J6" s="3"/>
      <c r="K6" s="14" t="s">
        <v>201</v>
      </c>
      <c r="L6" s="18" t="s">
        <v>228</v>
      </c>
      <c r="M6" s="121"/>
    </row>
    <row r="7">
      <c r="I7" s="18" t="s">
        <v>229</v>
      </c>
      <c r="J7" s="3"/>
      <c r="K7" s="14" t="s">
        <v>201</v>
      </c>
      <c r="L7" s="18" t="s">
        <v>230</v>
      </c>
      <c r="M7" s="3"/>
    </row>
    <row r="8">
      <c r="I8" s="18" t="s">
        <v>231</v>
      </c>
      <c r="J8" s="3"/>
      <c r="K8" s="14" t="s">
        <v>177</v>
      </c>
      <c r="L8" s="18" t="s">
        <v>232</v>
      </c>
      <c r="M8" s="6"/>
    </row>
    <row r="9">
      <c r="I9" s="18" t="s">
        <v>233</v>
      </c>
      <c r="J9" s="3"/>
      <c r="K9" s="14"/>
      <c r="L9" s="18" t="s">
        <v>234</v>
      </c>
      <c r="M9" s="121"/>
    </row>
    <row r="10">
      <c r="I10" s="18" t="s">
        <v>235</v>
      </c>
      <c r="J10" s="3"/>
      <c r="K10" s="14" t="s">
        <v>236</v>
      </c>
      <c r="L10" s="18" t="s">
        <v>237</v>
      </c>
      <c r="M10" s="6"/>
    </row>
    <row r="11">
      <c r="I11" s="18" t="s">
        <v>238</v>
      </c>
      <c r="J11" s="3"/>
      <c r="K11" s="14" t="s">
        <v>179</v>
      </c>
      <c r="L11" s="18" t="s">
        <v>239</v>
      </c>
      <c r="M11" s="6"/>
    </row>
    <row r="12">
      <c r="I12" s="18" t="s">
        <v>240</v>
      </c>
      <c r="J12" s="3"/>
      <c r="K12" s="14" t="s">
        <v>179</v>
      </c>
      <c r="L12" s="18" t="s">
        <v>33</v>
      </c>
      <c r="M12" s="6"/>
    </row>
    <row r="13">
      <c r="I13" s="18" t="s">
        <v>241</v>
      </c>
      <c r="J13" s="6"/>
      <c r="K13" s="14"/>
      <c r="L13" s="14"/>
      <c r="M13" s="14"/>
    </row>
    <row r="14">
      <c r="I14" s="18" t="s">
        <v>242</v>
      </c>
      <c r="J14" s="3"/>
      <c r="K14" s="14" t="s">
        <v>177</v>
      </c>
      <c r="L14" s="18" t="s">
        <v>243</v>
      </c>
      <c r="M14" s="3"/>
    </row>
    <row r="15">
      <c r="I15" s="18" t="s">
        <v>244</v>
      </c>
      <c r="J15" s="3"/>
      <c r="K15" s="14" t="s">
        <v>177</v>
      </c>
      <c r="L15" s="18" t="s">
        <v>245</v>
      </c>
      <c r="M15" s="3"/>
    </row>
    <row r="16">
      <c r="I16" s="18" t="s">
        <v>246</v>
      </c>
      <c r="J16" s="6"/>
      <c r="K16" s="14"/>
      <c r="L16" s="14"/>
    </row>
    <row r="17">
      <c r="I17" s="18" t="s">
        <v>247</v>
      </c>
      <c r="J17" s="6"/>
      <c r="K17" s="14"/>
      <c r="L17" s="18" t="s">
        <v>248</v>
      </c>
      <c r="M17" s="121"/>
    </row>
    <row r="18">
      <c r="I18" s="18" t="s">
        <v>249</v>
      </c>
      <c r="J18" s="3"/>
      <c r="K18" s="14" t="s">
        <v>177</v>
      </c>
      <c r="L18" s="18" t="s">
        <v>37</v>
      </c>
      <c r="M18" s="121"/>
    </row>
    <row r="19">
      <c r="I19" s="18" t="s">
        <v>250</v>
      </c>
      <c r="J19" s="3"/>
      <c r="K19" s="14"/>
      <c r="L19" s="18" t="s">
        <v>38</v>
      </c>
      <c r="M19" s="121"/>
    </row>
    <row r="20">
      <c r="I20" s="18" t="s">
        <v>251</v>
      </c>
      <c r="J20" s="3"/>
      <c r="K20" s="14" t="s">
        <v>179</v>
      </c>
      <c r="L20" s="14"/>
      <c r="M20" s="14"/>
    </row>
    <row r="21">
      <c r="I21" s="18" t="s">
        <v>252</v>
      </c>
      <c r="J21" s="3"/>
      <c r="K21" s="14" t="s">
        <v>201</v>
      </c>
      <c r="L21" s="14"/>
      <c r="M21" s="14"/>
    </row>
    <row r="22">
      <c r="I22" s="18" t="s">
        <v>253</v>
      </c>
      <c r="J22" s="6"/>
      <c r="K22" s="14"/>
      <c r="L22" s="14"/>
      <c r="M22" s="14"/>
    </row>
    <row r="23">
      <c r="I23" s="18" t="s">
        <v>254</v>
      </c>
      <c r="J23" s="6"/>
      <c r="K23" s="14"/>
      <c r="L23" s="14"/>
      <c r="M23" s="14"/>
    </row>
    <row r="24">
      <c r="I24" s="18" t="s">
        <v>255</v>
      </c>
      <c r="J24" s="6"/>
      <c r="K24" s="14"/>
      <c r="L24" s="14"/>
      <c r="M24" s="14"/>
    </row>
    <row r="25">
      <c r="I25" s="18" t="s">
        <v>256</v>
      </c>
      <c r="J25" s="3"/>
      <c r="K25" s="14"/>
      <c r="L25" s="14"/>
      <c r="M25" s="14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2.13"/>
    <col customWidth="1" min="2" max="2" width="14.75"/>
    <col customWidth="1" min="3" max="3" width="8.63"/>
    <col customWidth="1" min="4" max="4" width="40.0"/>
    <col customWidth="1" min="5" max="5" width="14.13"/>
    <col customWidth="1" min="6" max="26" width="8.63"/>
  </cols>
  <sheetData>
    <row r="1" ht="14.25" customHeight="1">
      <c r="A1" s="32" t="s">
        <v>41</v>
      </c>
      <c r="B1" s="32"/>
      <c r="C1" s="32"/>
      <c r="D1" s="32"/>
      <c r="E1" s="32"/>
      <c r="F1" s="32"/>
      <c r="G1" s="32"/>
    </row>
    <row r="2" ht="14.25" customHeight="1">
      <c r="A2" s="32" t="s">
        <v>259</v>
      </c>
      <c r="B2" s="32"/>
      <c r="C2" s="32"/>
      <c r="D2" s="32"/>
      <c r="E2" s="32"/>
      <c r="F2" s="32"/>
      <c r="G2" s="32"/>
    </row>
    <row r="3" ht="14.25" customHeight="1">
      <c r="A3" s="32" t="s">
        <v>260</v>
      </c>
      <c r="B3" s="32"/>
      <c r="C3" s="32"/>
      <c r="D3" s="32"/>
      <c r="E3" s="32"/>
      <c r="F3" s="32"/>
      <c r="G3" s="32"/>
    </row>
    <row r="4" ht="14.25" customHeight="1">
      <c r="A4" s="32" t="s">
        <v>44</v>
      </c>
      <c r="B4" s="32"/>
      <c r="C4" s="32"/>
      <c r="D4" s="32"/>
      <c r="E4" s="32"/>
      <c r="F4" s="32"/>
      <c r="G4" s="32"/>
    </row>
    <row r="5" ht="14.25" customHeight="1">
      <c r="A5" s="32" t="s">
        <v>261</v>
      </c>
      <c r="B5" s="32"/>
      <c r="C5" s="32"/>
      <c r="D5" s="32"/>
      <c r="E5" s="32"/>
      <c r="F5" s="32"/>
      <c r="G5" s="32"/>
    </row>
    <row r="6" ht="14.25" customHeight="1">
      <c r="A6" s="32" t="s">
        <v>46</v>
      </c>
      <c r="B6" s="32"/>
      <c r="C6" s="32"/>
      <c r="D6" s="32"/>
      <c r="E6" s="32"/>
      <c r="F6" s="32"/>
      <c r="G6" s="32"/>
    </row>
    <row r="7" ht="14.25" customHeight="1">
      <c r="A7" s="32" t="s">
        <v>262</v>
      </c>
      <c r="B7" s="32"/>
      <c r="C7" s="32"/>
      <c r="D7" s="32"/>
      <c r="E7" s="32"/>
      <c r="F7" s="32"/>
      <c r="G7" s="32"/>
    </row>
    <row r="8" ht="14.25" customHeight="1"/>
    <row r="9" ht="14.25" customHeight="1">
      <c r="A9" s="32" t="s">
        <v>48</v>
      </c>
      <c r="B9" s="32"/>
    </row>
    <row r="10" ht="14.25" customHeight="1">
      <c r="A10" s="32"/>
      <c r="B10" s="31" t="s">
        <v>49</v>
      </c>
    </row>
    <row r="11" ht="14.25" customHeight="1">
      <c r="A11" s="2" t="s">
        <v>50</v>
      </c>
      <c r="B11" s="131">
        <v>12000.0</v>
      </c>
      <c r="D11" s="2" t="s">
        <v>162</v>
      </c>
      <c r="E11" s="132">
        <f>+B11+B12+B15+B16+B19</f>
        <v>26200</v>
      </c>
    </row>
    <row r="12" ht="14.25" customHeight="1">
      <c r="A12" s="2" t="s">
        <v>51</v>
      </c>
      <c r="B12" s="131">
        <v>6500.0</v>
      </c>
      <c r="D12" s="2" t="s">
        <v>22</v>
      </c>
      <c r="E12" s="132">
        <f>+B17</f>
        <v>800</v>
      </c>
    </row>
    <row r="13" ht="14.25" customHeight="1">
      <c r="A13" s="2" t="s">
        <v>52</v>
      </c>
      <c r="B13" s="131">
        <v>5000.0</v>
      </c>
      <c r="D13" s="2" t="s">
        <v>163</v>
      </c>
      <c r="E13" s="132">
        <v>0.0</v>
      </c>
    </row>
    <row r="14" ht="14.25" customHeight="1">
      <c r="A14" s="2" t="s">
        <v>53</v>
      </c>
      <c r="B14" s="131">
        <v>550.0</v>
      </c>
      <c r="D14" s="2" t="s">
        <v>24</v>
      </c>
      <c r="E14" s="132">
        <f>+B18</f>
        <v>350</v>
      </c>
    </row>
    <row r="15" ht="14.25" customHeight="1">
      <c r="A15" s="2" t="s">
        <v>54</v>
      </c>
      <c r="B15" s="131">
        <v>5000.0</v>
      </c>
      <c r="D15" s="2" t="s">
        <v>25</v>
      </c>
      <c r="E15" s="132">
        <v>0.0</v>
      </c>
    </row>
    <row r="16" ht="14.25" customHeight="1">
      <c r="A16" s="2" t="s">
        <v>55</v>
      </c>
      <c r="B16" s="131">
        <v>1200.0</v>
      </c>
      <c r="D16" s="2" t="s">
        <v>27</v>
      </c>
      <c r="E16" s="133">
        <f>+B27*(1-0.35)</f>
        <v>0.1625</v>
      </c>
    </row>
    <row r="17" ht="14.25" customHeight="1">
      <c r="A17" s="2" t="s">
        <v>56</v>
      </c>
      <c r="B17" s="131">
        <v>800.0</v>
      </c>
      <c r="D17" s="2" t="s">
        <v>170</v>
      </c>
      <c r="E17" s="132">
        <f>+B21+B24+B26</f>
        <v>1470</v>
      </c>
    </row>
    <row r="18" ht="14.25" customHeight="1">
      <c r="A18" s="2" t="s">
        <v>57</v>
      </c>
      <c r="B18" s="131">
        <v>350.0</v>
      </c>
      <c r="D18" s="2" t="s">
        <v>172</v>
      </c>
      <c r="E18" s="133">
        <f>+B20+B22+B23</f>
        <v>0.048</v>
      </c>
    </row>
    <row r="19" ht="14.25" customHeight="1">
      <c r="A19" s="2" t="s">
        <v>58</v>
      </c>
      <c r="B19" s="131">
        <v>1500.0</v>
      </c>
      <c r="D19" s="2" t="s">
        <v>173</v>
      </c>
      <c r="E19" s="5">
        <f>+B28</f>
        <v>0.02</v>
      </c>
    </row>
    <row r="20" ht="14.25" customHeight="1">
      <c r="A20" s="2" t="s">
        <v>59</v>
      </c>
      <c r="B20" s="134">
        <v>0.03</v>
      </c>
      <c r="D20" s="2" t="s">
        <v>175</v>
      </c>
      <c r="E20" s="132">
        <f>+B14</f>
        <v>550</v>
      </c>
      <c r="F20" s="26">
        <f>+B29</f>
        <v>0.03</v>
      </c>
    </row>
    <row r="21" ht="14.25" customHeight="1">
      <c r="A21" s="2" t="s">
        <v>60</v>
      </c>
      <c r="B21" s="131">
        <v>120.0</v>
      </c>
    </row>
    <row r="22" ht="14.25" customHeight="1">
      <c r="A22" s="2" t="s">
        <v>61</v>
      </c>
      <c r="B22" s="134">
        <v>0.008</v>
      </c>
      <c r="D22" s="2" t="s">
        <v>4</v>
      </c>
      <c r="E22" s="132">
        <f>+B13</f>
        <v>5000</v>
      </c>
    </row>
    <row r="23" ht="14.25" customHeight="1">
      <c r="A23" s="2" t="s">
        <v>62</v>
      </c>
      <c r="B23" s="134">
        <v>0.01</v>
      </c>
      <c r="D23" s="32"/>
      <c r="E23" s="32"/>
    </row>
    <row r="24" ht="14.25" customHeight="1">
      <c r="A24" s="2" t="s">
        <v>63</v>
      </c>
      <c r="B24" s="131">
        <v>500.0</v>
      </c>
      <c r="D24" s="2" t="s">
        <v>35</v>
      </c>
      <c r="E24" s="127">
        <f>+E11+E12+E13+E14+E15+E17</f>
        <v>28820</v>
      </c>
    </row>
    <row r="25" ht="14.25" customHeight="1">
      <c r="A25" s="2" t="s">
        <v>263</v>
      </c>
      <c r="B25" s="131">
        <v>4600.0</v>
      </c>
      <c r="D25" s="32"/>
      <c r="E25" s="32"/>
    </row>
    <row r="26" ht="14.25" customHeight="1">
      <c r="A26" s="2" t="s">
        <v>264</v>
      </c>
      <c r="B26" s="131">
        <v>850.0</v>
      </c>
      <c r="D26" s="2" t="s">
        <v>184</v>
      </c>
      <c r="E26" s="121">
        <f>(E24+(F20*E22)-E20)/(1-(E18+E19)+F20)</f>
        <v>29542.61954</v>
      </c>
    </row>
    <row r="27" ht="14.25" customHeight="1">
      <c r="A27" s="2" t="s">
        <v>65</v>
      </c>
      <c r="B27" s="134">
        <v>0.25</v>
      </c>
      <c r="D27" s="2" t="s">
        <v>187</v>
      </c>
      <c r="E27" s="121">
        <f>(E24+(F20*E22)-E20)/(1-(E18+E19+E16)+F20)</f>
        <v>35547.21701</v>
      </c>
    </row>
    <row r="28" ht="14.25" customHeight="1">
      <c r="A28" s="2" t="s">
        <v>66</v>
      </c>
      <c r="B28" s="134">
        <v>0.02</v>
      </c>
      <c r="D28" s="2" t="s">
        <v>38</v>
      </c>
      <c r="E28" s="121">
        <f>+E27/100</f>
        <v>355.4721701</v>
      </c>
    </row>
    <row r="29" ht="14.25" customHeight="1">
      <c r="A29" s="2" t="s">
        <v>67</v>
      </c>
      <c r="B29" s="134">
        <v>0.03</v>
      </c>
    </row>
    <row r="30" ht="14.25" customHeight="1">
      <c r="D30" s="32" t="s">
        <v>265</v>
      </c>
      <c r="E30" s="135">
        <f>+B25</f>
        <v>4600</v>
      </c>
      <c r="F30" s="4" t="s">
        <v>266</v>
      </c>
    </row>
    <row r="31" ht="14.25" customHeight="1">
      <c r="D31" s="31" t="s">
        <v>100</v>
      </c>
      <c r="E31" s="135">
        <f>+E30+E27</f>
        <v>40147.21701</v>
      </c>
    </row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0.38"/>
    <col customWidth="1" min="2" max="4" width="8.63"/>
    <col customWidth="1" min="5" max="5" width="40.88"/>
    <col customWidth="1" min="6" max="6" width="12.25"/>
    <col customWidth="1" min="7" max="26" width="8.63"/>
  </cols>
  <sheetData>
    <row r="1" ht="41.25" customHeight="1">
      <c r="A1" s="136" t="s">
        <v>267</v>
      </c>
      <c r="B1" s="137"/>
      <c r="C1" s="137"/>
      <c r="D1" s="137"/>
      <c r="E1" s="137"/>
      <c r="F1" s="137"/>
      <c r="G1" s="137"/>
      <c r="H1" s="138"/>
    </row>
    <row r="2" ht="14.25" customHeight="1">
      <c r="A2" s="139"/>
      <c r="H2" s="140"/>
    </row>
    <row r="3" ht="14.25" customHeight="1">
      <c r="A3" s="139"/>
      <c r="H3" s="140"/>
    </row>
    <row r="4" ht="14.25" customHeight="1">
      <c r="A4" s="139"/>
      <c r="H4" s="140"/>
    </row>
    <row r="5" ht="14.25" customHeight="1">
      <c r="A5" s="141"/>
      <c r="B5" s="142"/>
      <c r="C5" s="142"/>
      <c r="D5" s="142"/>
      <c r="E5" s="142"/>
      <c r="F5" s="142"/>
      <c r="G5" s="142"/>
      <c r="H5" s="143"/>
    </row>
    <row r="6" ht="14.25" customHeight="1"/>
    <row r="7" ht="14.25" customHeight="1">
      <c r="A7" s="2" t="s">
        <v>198</v>
      </c>
      <c r="B7" s="121">
        <v>9.0</v>
      </c>
      <c r="C7" s="4" t="s">
        <v>268</v>
      </c>
      <c r="E7" s="2" t="s">
        <v>162</v>
      </c>
      <c r="F7" s="121">
        <f>+(B7+B8)*A21/B16</f>
        <v>38483.33333</v>
      </c>
    </row>
    <row r="8" ht="14.25" customHeight="1">
      <c r="A8" s="2" t="s">
        <v>8</v>
      </c>
      <c r="B8" s="121">
        <v>2300.0</v>
      </c>
      <c r="C8" s="4" t="s">
        <v>268</v>
      </c>
      <c r="E8" s="2" t="s">
        <v>22</v>
      </c>
      <c r="F8" s="121">
        <f>+B9*A21/B16</f>
        <v>15000</v>
      </c>
    </row>
    <row r="9" ht="14.25" customHeight="1">
      <c r="A9" s="2" t="s">
        <v>269</v>
      </c>
      <c r="B9" s="121">
        <v>900.0</v>
      </c>
      <c r="C9" s="4" t="s">
        <v>268</v>
      </c>
      <c r="E9" s="2" t="s">
        <v>163</v>
      </c>
      <c r="F9" s="121">
        <v>0.0</v>
      </c>
    </row>
    <row r="10" ht="14.25" customHeight="1">
      <c r="A10" s="2" t="s">
        <v>270</v>
      </c>
      <c r="B10" s="121">
        <v>300.0</v>
      </c>
      <c r="C10" s="4" t="s">
        <v>179</v>
      </c>
      <c r="E10" s="2" t="s">
        <v>24</v>
      </c>
      <c r="F10" s="121">
        <v>0.0</v>
      </c>
    </row>
    <row r="11" ht="14.25" customHeight="1">
      <c r="A11" s="2" t="s">
        <v>87</v>
      </c>
      <c r="B11" s="5">
        <v>0.01</v>
      </c>
      <c r="E11" s="2" t="s">
        <v>25</v>
      </c>
      <c r="F11" s="121">
        <v>0.0</v>
      </c>
      <c r="H11" s="4" t="s">
        <v>16</v>
      </c>
      <c r="I11" s="4">
        <f>+B20*A21</f>
        <v>700</v>
      </c>
    </row>
    <row r="12" ht="14.25" customHeight="1">
      <c r="A12" s="2" t="s">
        <v>183</v>
      </c>
      <c r="B12" s="121">
        <v>75.0</v>
      </c>
      <c r="C12" s="4" t="s">
        <v>179</v>
      </c>
      <c r="E12" s="2" t="s">
        <v>27</v>
      </c>
      <c r="F12" s="121"/>
      <c r="H12" s="4" t="s">
        <v>16</v>
      </c>
      <c r="I12" s="25">
        <f>0.1</f>
        <v>0.1</v>
      </c>
    </row>
    <row r="13" ht="14.25" customHeight="1">
      <c r="A13" s="2" t="s">
        <v>271</v>
      </c>
      <c r="B13" s="5">
        <v>0.03</v>
      </c>
      <c r="E13" s="2" t="s">
        <v>170</v>
      </c>
      <c r="F13" s="121">
        <f>+B10+B12+B15+B14</f>
        <v>1185</v>
      </c>
    </row>
    <row r="14" ht="14.25" customHeight="1">
      <c r="A14" s="2" t="s">
        <v>272</v>
      </c>
      <c r="B14" s="121">
        <v>800.0</v>
      </c>
      <c r="C14" s="4" t="s">
        <v>179</v>
      </c>
      <c r="E14" s="2" t="s">
        <v>172</v>
      </c>
      <c r="F14" s="5">
        <f>+B11+B13</f>
        <v>0.04</v>
      </c>
    </row>
    <row r="15" ht="14.25" customHeight="1">
      <c r="A15" s="2" t="s">
        <v>273</v>
      </c>
      <c r="B15" s="130">
        <v>10.0</v>
      </c>
      <c r="C15" s="4" t="s">
        <v>179</v>
      </c>
      <c r="E15" s="2" t="s">
        <v>173</v>
      </c>
      <c r="F15" s="5">
        <f>+B17</f>
        <v>0.1</v>
      </c>
    </row>
    <row r="16" ht="14.25" customHeight="1">
      <c r="A16" s="2" t="s">
        <v>195</v>
      </c>
      <c r="B16" s="121">
        <v>60.0</v>
      </c>
      <c r="C16" s="4" t="s">
        <v>196</v>
      </c>
      <c r="E16" s="2" t="s">
        <v>175</v>
      </c>
      <c r="F16" s="121">
        <v>0.0</v>
      </c>
      <c r="G16" s="26">
        <v>0.06</v>
      </c>
    </row>
    <row r="17" ht="14.25" customHeight="1">
      <c r="A17" s="2" t="s">
        <v>77</v>
      </c>
      <c r="B17" s="5">
        <v>0.1</v>
      </c>
    </row>
    <row r="18" ht="14.25" customHeight="1">
      <c r="A18" s="2" t="s">
        <v>78</v>
      </c>
      <c r="B18" s="5">
        <v>0.06</v>
      </c>
      <c r="E18" s="2" t="s">
        <v>4</v>
      </c>
      <c r="F18" s="132">
        <v>0.0</v>
      </c>
    </row>
    <row r="19" ht="14.25" customHeight="1">
      <c r="A19" s="2" t="s">
        <v>17</v>
      </c>
      <c r="B19" s="5">
        <v>0.1</v>
      </c>
      <c r="E19" s="32"/>
      <c r="F19" s="32"/>
    </row>
    <row r="20" ht="14.25" customHeight="1">
      <c r="B20" s="32">
        <v>0.7</v>
      </c>
      <c r="C20" s="4" t="s">
        <v>221</v>
      </c>
      <c r="E20" s="2" t="s">
        <v>35</v>
      </c>
      <c r="F20" s="121">
        <f>+F7+F8+F9+F10+F11+F13</f>
        <v>54668.33333</v>
      </c>
    </row>
    <row r="21" ht="14.25" customHeight="1">
      <c r="A21" s="4">
        <v>1000.0</v>
      </c>
      <c r="B21" s="4" t="s">
        <v>274</v>
      </c>
      <c r="E21" s="32"/>
      <c r="F21" s="32"/>
    </row>
    <row r="22" ht="14.25" customHeight="1">
      <c r="E22" s="2" t="s">
        <v>184</v>
      </c>
      <c r="F22" s="121">
        <f>(F20+(G16*F18)-F16)/(1-(F14+F15)+G16)</f>
        <v>59422.10145</v>
      </c>
    </row>
    <row r="23" ht="14.25" customHeight="1">
      <c r="E23" s="2" t="s">
        <v>187</v>
      </c>
      <c r="F23" s="121">
        <f>(F20+I11+(G16*F18)-F16)/(1-(F14+F15+I12)+G16)</f>
        <v>67522.35772</v>
      </c>
    </row>
    <row r="24" ht="14.25" customHeight="1">
      <c r="E24" s="2" t="s">
        <v>38</v>
      </c>
      <c r="F24" s="121">
        <f>+F23/1000</f>
        <v>67.52235772</v>
      </c>
    </row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1:H5"/>
  </mergeCells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5" width="8.63"/>
    <col customWidth="1" min="16" max="16" width="27.75"/>
    <col customWidth="1" min="17" max="17" width="12.88"/>
    <col customWidth="1" min="18" max="19" width="8.63"/>
    <col customWidth="1" min="20" max="20" width="39.0"/>
    <col customWidth="1" min="21" max="21" width="14.88"/>
    <col customWidth="1" min="22" max="26" width="8.63"/>
  </cols>
  <sheetData>
    <row r="1" ht="14.25" customHeight="1"/>
    <row r="2" ht="14.25" customHeight="1">
      <c r="P2" s="2" t="s">
        <v>275</v>
      </c>
      <c r="Q2" s="121">
        <v>500.0</v>
      </c>
      <c r="T2" s="2" t="s">
        <v>162</v>
      </c>
      <c r="U2" s="121">
        <f>+(Q4*Q3+(Q5+Q6+Q9+Q10)*Q2)/Q22+Q7*Q2</f>
        <v>58472.22222</v>
      </c>
    </row>
    <row r="3" ht="14.25" customHeight="1">
      <c r="P3" s="2" t="s">
        <v>1</v>
      </c>
      <c r="Q3" s="121">
        <f>24*Q2</f>
        <v>12000</v>
      </c>
      <c r="T3" s="2" t="s">
        <v>22</v>
      </c>
      <c r="U3" s="121">
        <v>0.0</v>
      </c>
    </row>
    <row r="4" ht="14.25" customHeight="1">
      <c r="P4" s="2" t="s">
        <v>8</v>
      </c>
      <c r="Q4" s="121">
        <v>100.0</v>
      </c>
      <c r="R4" s="4" t="s">
        <v>199</v>
      </c>
      <c r="T4" s="2" t="s">
        <v>163</v>
      </c>
      <c r="U4" s="121">
        <v>0.0</v>
      </c>
    </row>
    <row r="5" ht="14.25" customHeight="1">
      <c r="P5" s="2" t="s">
        <v>276</v>
      </c>
      <c r="Q5" s="121">
        <v>300.0</v>
      </c>
      <c r="R5" s="4" t="s">
        <v>277</v>
      </c>
      <c r="T5" s="2" t="s">
        <v>24</v>
      </c>
      <c r="U5" s="121">
        <v>0.0</v>
      </c>
    </row>
    <row r="6" ht="14.25" customHeight="1">
      <c r="P6" s="2" t="s">
        <v>198</v>
      </c>
      <c r="Q6" s="121">
        <v>1500.0</v>
      </c>
      <c r="R6" s="4" t="s">
        <v>277</v>
      </c>
      <c r="T6" s="2" t="s">
        <v>25</v>
      </c>
      <c r="U6" s="130">
        <v>0.0</v>
      </c>
    </row>
    <row r="7" ht="14.25" customHeight="1">
      <c r="P7" s="2" t="s">
        <v>278</v>
      </c>
      <c r="Q7" s="121">
        <v>90.0</v>
      </c>
      <c r="R7" s="4" t="s">
        <v>279</v>
      </c>
      <c r="T7" s="2" t="s">
        <v>27</v>
      </c>
      <c r="U7" s="121">
        <f>+Q19*Q3</f>
        <v>24000</v>
      </c>
    </row>
    <row r="8" ht="14.25" customHeight="1">
      <c r="P8" s="2" t="s">
        <v>4</v>
      </c>
      <c r="Q8" s="121">
        <v>25.0</v>
      </c>
      <c r="R8" s="4" t="s">
        <v>279</v>
      </c>
      <c r="T8" s="2" t="s">
        <v>170</v>
      </c>
      <c r="U8" s="121">
        <f>+Q11+Q12+Q14+Q17+Q18/Q22</f>
        <v>387.7777778</v>
      </c>
    </row>
    <row r="9" ht="14.25" customHeight="1">
      <c r="P9" s="2" t="s">
        <v>280</v>
      </c>
      <c r="Q9" s="121">
        <v>500.0</v>
      </c>
      <c r="R9" s="4" t="s">
        <v>277</v>
      </c>
      <c r="T9" s="2" t="s">
        <v>172</v>
      </c>
      <c r="U9" s="5">
        <f>+Q15+Q16</f>
        <v>0.03</v>
      </c>
    </row>
    <row r="10" ht="14.25" customHeight="1">
      <c r="P10" s="2" t="s">
        <v>281</v>
      </c>
      <c r="Q10" s="121">
        <v>150.0</v>
      </c>
      <c r="R10" s="4" t="s">
        <v>277</v>
      </c>
      <c r="T10" s="2" t="s">
        <v>173</v>
      </c>
      <c r="U10" s="5">
        <f>+Q20</f>
        <v>0.06</v>
      </c>
    </row>
    <row r="11" ht="14.25" customHeight="1">
      <c r="P11" s="2" t="s">
        <v>282</v>
      </c>
      <c r="Q11" s="121">
        <v>50.0</v>
      </c>
      <c r="R11" s="4" t="s">
        <v>179</v>
      </c>
      <c r="T11" s="2" t="s">
        <v>175</v>
      </c>
      <c r="U11" s="121">
        <f>+Q13*Q3</f>
        <v>4800</v>
      </c>
      <c r="V11" s="26">
        <f>+Q21</f>
        <v>0.04</v>
      </c>
    </row>
    <row r="12" ht="14.25" customHeight="1">
      <c r="P12" s="2" t="s">
        <v>273</v>
      </c>
      <c r="Q12" s="121">
        <v>30.0</v>
      </c>
      <c r="R12" s="4" t="s">
        <v>179</v>
      </c>
    </row>
    <row r="13" ht="14.25" customHeight="1">
      <c r="P13" s="2" t="s">
        <v>194</v>
      </c>
      <c r="Q13" s="121">
        <v>0.4</v>
      </c>
      <c r="R13" s="4" t="s">
        <v>201</v>
      </c>
      <c r="T13" s="2" t="s">
        <v>4</v>
      </c>
      <c r="U13" s="144">
        <f>+Q8*Q2</f>
        <v>12500</v>
      </c>
    </row>
    <row r="14" ht="14.25" customHeight="1">
      <c r="P14" s="2" t="s">
        <v>283</v>
      </c>
      <c r="Q14" s="121">
        <v>250.0</v>
      </c>
      <c r="R14" s="4" t="s">
        <v>179</v>
      </c>
      <c r="T14" s="32"/>
      <c r="U14" s="32"/>
    </row>
    <row r="15" ht="14.25" customHeight="1">
      <c r="P15" s="2" t="s">
        <v>87</v>
      </c>
      <c r="Q15" s="145">
        <v>0.01</v>
      </c>
      <c r="T15" s="2" t="s">
        <v>35</v>
      </c>
      <c r="U15" s="127">
        <f>+U2+U3+U4+U5+U6+U8</f>
        <v>58860</v>
      </c>
    </row>
    <row r="16" ht="14.25" customHeight="1">
      <c r="P16" s="2" t="s">
        <v>183</v>
      </c>
      <c r="Q16" s="5">
        <v>0.02</v>
      </c>
      <c r="T16" s="32"/>
      <c r="U16" s="32"/>
    </row>
    <row r="17" ht="14.25" customHeight="1">
      <c r="P17" s="2" t="s">
        <v>183</v>
      </c>
      <c r="Q17" s="121">
        <v>30.0</v>
      </c>
      <c r="R17" s="4" t="s">
        <v>179</v>
      </c>
      <c r="T17" s="2" t="s">
        <v>184</v>
      </c>
      <c r="U17" s="121">
        <f>(U15+(V11*U13)-U11)/(1-(U9+U10)+V11)</f>
        <v>57431.57895</v>
      </c>
    </row>
    <row r="18" ht="14.25" customHeight="1">
      <c r="P18" s="2" t="s">
        <v>284</v>
      </c>
      <c r="Q18" s="121">
        <v>5000.0</v>
      </c>
      <c r="R18" s="4" t="s">
        <v>177</v>
      </c>
      <c r="T18" s="2" t="s">
        <v>187</v>
      </c>
      <c r="U18" s="121">
        <f>(U15+U7+(V11*U13)-U11)/(1-(U9+U10)+V11)</f>
        <v>82694.73684</v>
      </c>
    </row>
    <row r="19" ht="14.25" customHeight="1">
      <c r="P19" s="2" t="s">
        <v>17</v>
      </c>
      <c r="Q19" s="121">
        <v>2.0</v>
      </c>
      <c r="R19" s="4" t="s">
        <v>201</v>
      </c>
      <c r="T19" s="2" t="s">
        <v>38</v>
      </c>
      <c r="U19" s="121">
        <f>+U18/Q3</f>
        <v>6.89122807</v>
      </c>
    </row>
    <row r="20" ht="14.25" customHeight="1">
      <c r="P20" s="2" t="s">
        <v>77</v>
      </c>
      <c r="Q20" s="5">
        <v>0.06</v>
      </c>
    </row>
    <row r="21" ht="14.25" customHeight="1">
      <c r="P21" s="2" t="s">
        <v>78</v>
      </c>
      <c r="Q21" s="5">
        <v>0.04</v>
      </c>
    </row>
    <row r="22" ht="14.25" customHeight="1">
      <c r="P22" s="2" t="s">
        <v>195</v>
      </c>
      <c r="Q22" s="121">
        <v>180.0</v>
      </c>
      <c r="R22" s="4" t="s">
        <v>196</v>
      </c>
    </row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9" width="8.63"/>
    <col customWidth="1" min="10" max="10" width="36.63"/>
    <col customWidth="1" min="11" max="11" width="11.88"/>
    <col customWidth="1" min="12" max="26" width="8.63"/>
  </cols>
  <sheetData>
    <row r="1" ht="14.25" customHeight="1">
      <c r="A1" s="123">
        <v>4.0</v>
      </c>
    </row>
    <row r="2" ht="14.25" customHeight="1">
      <c r="J2" s="2" t="s">
        <v>1</v>
      </c>
      <c r="K2" s="144">
        <v>850.0</v>
      </c>
    </row>
    <row r="3" ht="14.25" customHeight="1">
      <c r="J3" s="2" t="s">
        <v>198</v>
      </c>
      <c r="K3" s="144">
        <v>120000.0</v>
      </c>
      <c r="L3" s="4" t="s">
        <v>177</v>
      </c>
    </row>
    <row r="4" ht="14.25" customHeight="1">
      <c r="J4" s="2" t="s">
        <v>185</v>
      </c>
      <c r="K4" s="144">
        <v>50000.0</v>
      </c>
      <c r="L4" s="4" t="s">
        <v>177</v>
      </c>
    </row>
    <row r="5" ht="14.25" customHeight="1">
      <c r="J5" s="2" t="s">
        <v>3</v>
      </c>
      <c r="K5" s="144">
        <v>300.0</v>
      </c>
      <c r="L5" s="4" t="s">
        <v>179</v>
      </c>
    </row>
    <row r="6" ht="14.25" customHeight="1">
      <c r="J6" s="2" t="s">
        <v>8</v>
      </c>
      <c r="K6" s="144">
        <v>2700.0</v>
      </c>
      <c r="L6" s="4" t="s">
        <v>199</v>
      </c>
    </row>
    <row r="7" ht="14.25" customHeight="1">
      <c r="J7" s="2" t="s">
        <v>174</v>
      </c>
      <c r="K7" s="144">
        <v>50000.0</v>
      </c>
      <c r="L7" s="4" t="s">
        <v>177</v>
      </c>
    </row>
    <row r="8" ht="14.25" customHeight="1">
      <c r="J8" s="2" t="s">
        <v>285</v>
      </c>
      <c r="K8" s="144">
        <v>45000.0</v>
      </c>
      <c r="L8" s="4" t="s">
        <v>177</v>
      </c>
    </row>
    <row r="9" ht="14.25" customHeight="1">
      <c r="J9" s="2" t="s">
        <v>87</v>
      </c>
      <c r="K9" s="144">
        <v>0.013</v>
      </c>
    </row>
    <row r="10" ht="14.25" customHeight="1">
      <c r="J10" s="2" t="s">
        <v>176</v>
      </c>
      <c r="K10" s="144">
        <v>100.0</v>
      </c>
      <c r="L10" s="4" t="s">
        <v>179</v>
      </c>
    </row>
    <row r="11" ht="14.25" customHeight="1">
      <c r="J11" s="2" t="s">
        <v>286</v>
      </c>
      <c r="K11" s="144">
        <v>285.0</v>
      </c>
      <c r="L11" s="4" t="s">
        <v>179</v>
      </c>
    </row>
    <row r="12" ht="14.25" customHeight="1">
      <c r="J12" s="2" t="s">
        <v>212</v>
      </c>
      <c r="K12" s="144">
        <v>2000.0</v>
      </c>
      <c r="L12" s="4" t="s">
        <v>179</v>
      </c>
    </row>
    <row r="13" ht="14.25" customHeight="1">
      <c r="J13" s="2" t="s">
        <v>213</v>
      </c>
      <c r="K13" s="144">
        <v>1750.0</v>
      </c>
      <c r="L13" s="4" t="s">
        <v>179</v>
      </c>
    </row>
    <row r="14" ht="14.25" customHeight="1">
      <c r="J14" s="2" t="s">
        <v>205</v>
      </c>
      <c r="K14" s="144">
        <v>45000.0</v>
      </c>
      <c r="L14" s="4" t="s">
        <v>177</v>
      </c>
    </row>
    <row r="15" ht="14.25" customHeight="1">
      <c r="J15" s="2" t="s">
        <v>271</v>
      </c>
      <c r="K15" s="146">
        <v>0.0055</v>
      </c>
    </row>
    <row r="16" ht="14.25" customHeight="1">
      <c r="J16" s="2" t="s">
        <v>183</v>
      </c>
      <c r="K16" s="144">
        <v>195.0</v>
      </c>
      <c r="L16" s="4" t="s">
        <v>179</v>
      </c>
    </row>
    <row r="17" ht="14.25" customHeight="1">
      <c r="J17" s="2" t="s">
        <v>287</v>
      </c>
      <c r="K17" s="144">
        <v>145000.0</v>
      </c>
      <c r="L17" s="4" t="s">
        <v>177</v>
      </c>
      <c r="M17" s="4" t="s">
        <v>288</v>
      </c>
    </row>
    <row r="18" ht="14.25" customHeight="1">
      <c r="J18" s="2" t="s">
        <v>17</v>
      </c>
      <c r="K18" s="5">
        <v>0.21</v>
      </c>
    </row>
    <row r="19" ht="14.25" customHeight="1">
      <c r="J19" s="2" t="s">
        <v>195</v>
      </c>
      <c r="K19" s="144">
        <v>348.0</v>
      </c>
    </row>
    <row r="20" ht="14.25" customHeight="1">
      <c r="J20" s="2" t="s">
        <v>77</v>
      </c>
      <c r="K20" s="5">
        <v>0.05</v>
      </c>
    </row>
    <row r="21" ht="14.25" customHeight="1">
      <c r="J21" s="2" t="s">
        <v>78</v>
      </c>
      <c r="K21" s="5">
        <v>0.04</v>
      </c>
    </row>
    <row r="22" ht="14.25" customHeight="1">
      <c r="J22" s="2" t="s">
        <v>194</v>
      </c>
      <c r="K22" s="132">
        <v>0.1</v>
      </c>
      <c r="L22" s="4" t="s">
        <v>201</v>
      </c>
    </row>
    <row r="23" ht="14.25" customHeight="1"/>
    <row r="24" ht="14.25" customHeight="1">
      <c r="J24" s="2" t="s">
        <v>162</v>
      </c>
      <c r="K24" s="144">
        <f>+(K3+K4+K7+K6*K2)/K19+K5</f>
        <v>7527.011494</v>
      </c>
    </row>
    <row r="25" ht="14.25" customHeight="1">
      <c r="J25" s="2" t="s">
        <v>22</v>
      </c>
      <c r="K25" s="144">
        <f>+K8/K19</f>
        <v>129.3103448</v>
      </c>
    </row>
    <row r="26" ht="14.25" customHeight="1">
      <c r="J26" s="2" t="s">
        <v>163</v>
      </c>
      <c r="K26" s="144">
        <f>+K17/K19/3</f>
        <v>138.8888889</v>
      </c>
    </row>
    <row r="27" ht="14.25" customHeight="1">
      <c r="J27" s="2" t="s">
        <v>24</v>
      </c>
      <c r="K27" s="144">
        <v>0.0</v>
      </c>
    </row>
    <row r="28" ht="14.25" customHeight="1">
      <c r="J28" s="2" t="s">
        <v>25</v>
      </c>
      <c r="K28" s="144">
        <v>0.0</v>
      </c>
    </row>
    <row r="29" ht="14.25" customHeight="1">
      <c r="J29" s="2" t="s">
        <v>27</v>
      </c>
      <c r="K29" s="6">
        <f>+K18/(1-0.35)</f>
        <v>0.3230769231</v>
      </c>
    </row>
    <row r="30" ht="14.25" customHeight="1">
      <c r="J30" s="2" t="s">
        <v>170</v>
      </c>
      <c r="K30" s="144">
        <f>+K10+K11+K14/K19+K16</f>
        <v>709.3103448</v>
      </c>
    </row>
    <row r="31" ht="14.25" customHeight="1">
      <c r="J31" s="2" t="s">
        <v>172</v>
      </c>
      <c r="K31" s="6">
        <f>+K9+K15</f>
        <v>0.0185</v>
      </c>
    </row>
    <row r="32" ht="14.25" customHeight="1">
      <c r="J32" s="2" t="s">
        <v>173</v>
      </c>
      <c r="K32" s="5">
        <f>+K20</f>
        <v>0.05</v>
      </c>
    </row>
    <row r="33" ht="14.25" customHeight="1">
      <c r="J33" s="2" t="s">
        <v>175</v>
      </c>
      <c r="K33" s="144">
        <f>+K22*K2</f>
        <v>85</v>
      </c>
      <c r="L33" s="26">
        <f>+K21</f>
        <v>0.04</v>
      </c>
    </row>
    <row r="34" ht="14.25" customHeight="1"/>
    <row r="35" ht="14.25" customHeight="1">
      <c r="J35" s="2" t="s">
        <v>4</v>
      </c>
      <c r="K35" s="132">
        <v>0.0</v>
      </c>
    </row>
    <row r="36" ht="14.25" customHeight="1">
      <c r="J36" s="32"/>
      <c r="K36" s="32"/>
    </row>
    <row r="37" ht="14.25" customHeight="1">
      <c r="J37" s="2" t="s">
        <v>35</v>
      </c>
      <c r="K37" s="121">
        <f>+K24+K25+K26+K27+K28+K30</f>
        <v>8504.521073</v>
      </c>
    </row>
    <row r="38" ht="14.25" customHeight="1">
      <c r="J38" s="32"/>
      <c r="K38" s="32"/>
    </row>
    <row r="39" ht="14.25" customHeight="1">
      <c r="J39" s="2" t="s">
        <v>184</v>
      </c>
      <c r="K39" s="121">
        <f>(K37+(L33*K35)-K33)/(1-(K31+K32)+L33)</f>
        <v>8666.516802</v>
      </c>
    </row>
    <row r="40" ht="14.25" customHeight="1">
      <c r="J40" s="2" t="s">
        <v>187</v>
      </c>
      <c r="K40" s="121">
        <f>(K37+(L33*K35)-K33)/(1-(K31+K32+K29)+L33)</f>
        <v>12984.61047</v>
      </c>
    </row>
    <row r="41" ht="14.25" customHeight="1">
      <c r="J41" s="2" t="s">
        <v>38</v>
      </c>
      <c r="K41" s="121">
        <f>+K40/K2</f>
        <v>15.27601232</v>
      </c>
    </row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0" width="8.63"/>
    <col customWidth="1" min="11" max="11" width="39.0"/>
    <col customWidth="1" min="12" max="12" width="18.63"/>
    <col customWidth="1" min="13" max="26" width="8.63"/>
  </cols>
  <sheetData>
    <row r="1" ht="14.25" customHeight="1"/>
    <row r="2" ht="14.25" customHeight="1">
      <c r="K2" s="2" t="s">
        <v>209</v>
      </c>
      <c r="L2" s="3">
        <v>750.0</v>
      </c>
      <c r="M2" s="3" t="s">
        <v>165</v>
      </c>
    </row>
    <row r="3" ht="14.25" customHeight="1">
      <c r="K3" s="2" t="s">
        <v>198</v>
      </c>
      <c r="L3" s="3">
        <v>720000.0</v>
      </c>
      <c r="M3" s="3" t="s">
        <v>177</v>
      </c>
    </row>
    <row r="4" ht="14.25" customHeight="1">
      <c r="K4" s="2" t="s">
        <v>185</v>
      </c>
      <c r="L4" s="3">
        <v>150000.0</v>
      </c>
      <c r="M4" s="3" t="s">
        <v>177</v>
      </c>
    </row>
    <row r="5" ht="14.25" customHeight="1">
      <c r="K5" s="2" t="s">
        <v>3</v>
      </c>
      <c r="L5" s="3">
        <v>200.0</v>
      </c>
      <c r="M5" s="3" t="s">
        <v>179</v>
      </c>
    </row>
    <row r="6" ht="14.25" customHeight="1">
      <c r="K6" s="2" t="s">
        <v>8</v>
      </c>
      <c r="L6" s="3">
        <v>3700.0</v>
      </c>
      <c r="M6" s="3" t="s">
        <v>199</v>
      </c>
    </row>
    <row r="7" ht="14.25" customHeight="1">
      <c r="K7" s="2" t="s">
        <v>174</v>
      </c>
      <c r="L7" s="3">
        <v>150000.0</v>
      </c>
      <c r="M7" s="3" t="s">
        <v>177</v>
      </c>
    </row>
    <row r="8" ht="14.25" customHeight="1">
      <c r="K8" s="2" t="s">
        <v>285</v>
      </c>
      <c r="L8" s="3">
        <v>75000.0</v>
      </c>
      <c r="M8" s="3" t="s">
        <v>177</v>
      </c>
    </row>
    <row r="9" ht="14.25" customHeight="1">
      <c r="K9" s="2" t="s">
        <v>77</v>
      </c>
      <c r="L9" s="5">
        <v>0.06</v>
      </c>
      <c r="M9" s="3"/>
    </row>
    <row r="10" ht="14.25" customHeight="1">
      <c r="K10" s="2" t="s">
        <v>78</v>
      </c>
      <c r="L10" s="5">
        <v>0.04</v>
      </c>
      <c r="M10" s="3"/>
    </row>
    <row r="11" ht="14.25" customHeight="1">
      <c r="K11" s="2" t="s">
        <v>194</v>
      </c>
      <c r="L11" s="3">
        <v>0.1</v>
      </c>
      <c r="M11" s="3" t="s">
        <v>201</v>
      </c>
    </row>
    <row r="12" ht="14.25" customHeight="1">
      <c r="K12" s="2" t="s">
        <v>87</v>
      </c>
      <c r="L12" s="6">
        <v>0.015</v>
      </c>
      <c r="M12" s="3"/>
    </row>
    <row r="13" ht="14.25" customHeight="1">
      <c r="K13" s="2" t="s">
        <v>176</v>
      </c>
      <c r="L13" s="3">
        <v>200.0</v>
      </c>
      <c r="M13" s="3" t="s">
        <v>179</v>
      </c>
    </row>
    <row r="14" ht="14.25" customHeight="1">
      <c r="K14" s="2" t="s">
        <v>211</v>
      </c>
      <c r="L14" s="3">
        <v>485.0</v>
      </c>
      <c r="M14" s="3" t="s">
        <v>179</v>
      </c>
    </row>
    <row r="15" ht="14.25" customHeight="1">
      <c r="K15" s="2" t="s">
        <v>212</v>
      </c>
      <c r="L15" s="3">
        <v>1850.0</v>
      </c>
      <c r="M15" s="3" t="s">
        <v>179</v>
      </c>
    </row>
    <row r="16" ht="14.25" customHeight="1">
      <c r="K16" s="2" t="s">
        <v>213</v>
      </c>
      <c r="L16" s="3">
        <v>1550.0</v>
      </c>
      <c r="M16" s="3" t="s">
        <v>179</v>
      </c>
    </row>
    <row r="17" ht="14.25" customHeight="1">
      <c r="K17" s="2" t="s">
        <v>205</v>
      </c>
      <c r="L17" s="3">
        <v>55000.0</v>
      </c>
      <c r="M17" s="3" t="s">
        <v>177</v>
      </c>
    </row>
    <row r="18" ht="14.25" customHeight="1">
      <c r="K18" s="2" t="s">
        <v>289</v>
      </c>
      <c r="L18" s="6">
        <v>0.0065</v>
      </c>
      <c r="M18" s="3"/>
    </row>
    <row r="19" ht="14.25" customHeight="1">
      <c r="K19" s="2" t="s">
        <v>17</v>
      </c>
      <c r="L19" s="5">
        <v>0.2</v>
      </c>
      <c r="M19" s="3"/>
    </row>
    <row r="20" ht="14.25" customHeight="1">
      <c r="K20" s="2" t="s">
        <v>183</v>
      </c>
      <c r="L20" s="124">
        <v>205.0</v>
      </c>
      <c r="M20" s="3" t="s">
        <v>179</v>
      </c>
    </row>
    <row r="21" ht="14.25" customHeight="1">
      <c r="K21" s="2" t="s">
        <v>207</v>
      </c>
      <c r="L21" s="3">
        <v>145000.0</v>
      </c>
      <c r="M21" s="3" t="s">
        <v>177</v>
      </c>
      <c r="N21" s="4" t="s">
        <v>290</v>
      </c>
    </row>
    <row r="22" ht="14.25" customHeight="1">
      <c r="K22" s="2" t="s">
        <v>195</v>
      </c>
      <c r="L22" s="3">
        <v>348.0</v>
      </c>
      <c r="M22" s="3" t="s">
        <v>196</v>
      </c>
    </row>
    <row r="23" ht="14.25" customHeight="1"/>
    <row r="24" ht="14.25" customHeight="1">
      <c r="K24" s="2" t="s">
        <v>162</v>
      </c>
      <c r="L24" s="121">
        <f>(L3+L4+L7+L6*L2)/L22+L5</f>
        <v>11105.17241</v>
      </c>
    </row>
    <row r="25" ht="14.25" customHeight="1">
      <c r="K25" s="2" t="s">
        <v>22</v>
      </c>
      <c r="L25" s="121">
        <f>+L8/L22</f>
        <v>215.5172414</v>
      </c>
    </row>
    <row r="26" ht="14.25" customHeight="1">
      <c r="K26" s="2" t="s">
        <v>163</v>
      </c>
      <c r="L26" s="121">
        <f>+L21/L22/2</f>
        <v>208.3333333</v>
      </c>
    </row>
    <row r="27" ht="14.25" customHeight="1">
      <c r="K27" s="2" t="s">
        <v>24</v>
      </c>
      <c r="L27" s="121">
        <v>0.0</v>
      </c>
    </row>
    <row r="28" ht="14.25" customHeight="1">
      <c r="K28" s="2" t="s">
        <v>25</v>
      </c>
      <c r="L28" s="121">
        <v>0.0</v>
      </c>
    </row>
    <row r="29" ht="14.25" customHeight="1">
      <c r="K29" s="2" t="s">
        <v>27</v>
      </c>
      <c r="L29" s="5">
        <f>+L19/(1-0.35)</f>
        <v>0.3076923077</v>
      </c>
    </row>
    <row r="30" ht="14.25" customHeight="1">
      <c r="K30" s="2" t="s">
        <v>170</v>
      </c>
      <c r="L30" s="121">
        <f>+L13+L14+L17/L22+L20</f>
        <v>1048.045977</v>
      </c>
    </row>
    <row r="31" ht="14.25" customHeight="1">
      <c r="K31" s="2" t="s">
        <v>172</v>
      </c>
      <c r="L31" s="5">
        <f>+L12+L18</f>
        <v>0.0215</v>
      </c>
    </row>
    <row r="32" ht="14.25" customHeight="1">
      <c r="K32" s="2" t="s">
        <v>173</v>
      </c>
      <c r="L32" s="5">
        <f>+L9</f>
        <v>0.06</v>
      </c>
    </row>
    <row r="33" ht="14.25" customHeight="1">
      <c r="K33" s="2" t="s">
        <v>175</v>
      </c>
      <c r="L33" s="121">
        <f>+L11*L2</f>
        <v>75</v>
      </c>
      <c r="M33" s="5">
        <f>+L10</f>
        <v>0.04</v>
      </c>
    </row>
    <row r="34" ht="14.25" customHeight="1"/>
    <row r="35" ht="14.25" customHeight="1">
      <c r="K35" s="2" t="s">
        <v>4</v>
      </c>
      <c r="L35" s="132">
        <v>0.0</v>
      </c>
    </row>
    <row r="36" ht="14.25" customHeight="1">
      <c r="K36" s="32"/>
      <c r="L36" s="32"/>
    </row>
    <row r="37" ht="14.25" customHeight="1">
      <c r="K37" s="2" t="s">
        <v>35</v>
      </c>
      <c r="L37" s="121">
        <f>+L24+L25+L26+L27+L28+L30</f>
        <v>12577.06897</v>
      </c>
    </row>
    <row r="38" ht="14.25" customHeight="1">
      <c r="K38" s="32"/>
      <c r="L38" s="32"/>
    </row>
    <row r="39" ht="14.25" customHeight="1">
      <c r="K39" s="2" t="s">
        <v>184</v>
      </c>
      <c r="L39" s="125">
        <f>(L37+(M33*L35)-L33)/(1-(L31+L32)+M33)</f>
        <v>13043.36877</v>
      </c>
    </row>
    <row r="40" ht="14.25" customHeight="1">
      <c r="K40" s="2" t="s">
        <v>187</v>
      </c>
      <c r="L40" s="125">
        <f>(L37+(M33*L35)-L33)/(1-(L31+L32+L29)+M33)</f>
        <v>19210.08174</v>
      </c>
    </row>
    <row r="41" ht="14.25" customHeight="1">
      <c r="K41" s="2" t="s">
        <v>38</v>
      </c>
      <c r="L41" s="125">
        <f>+L40/L2</f>
        <v>25.61344232</v>
      </c>
    </row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O2:P2"/>
  </mergeCells>
  <printOptions/>
  <pageMargins bottom="0.75" footer="0.0" header="0.0" left="0.7" right="0.7" top="0.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7" width="8.63"/>
    <col customWidth="1" min="8" max="8" width="38.25"/>
    <col customWidth="1" min="9" max="9" width="40.5"/>
    <col customWidth="1" min="10" max="26" width="8.63"/>
  </cols>
  <sheetData>
    <row r="1" ht="14.25" customHeight="1">
      <c r="I1" s="2" t="s">
        <v>291</v>
      </c>
      <c r="J1" s="121">
        <v>300.0</v>
      </c>
      <c r="K1" s="3" t="s">
        <v>165</v>
      </c>
    </row>
    <row r="2" ht="14.25" customHeight="1">
      <c r="I2" s="2" t="s">
        <v>198</v>
      </c>
      <c r="J2" s="121">
        <v>450000.0</v>
      </c>
      <c r="K2" s="3" t="s">
        <v>177</v>
      </c>
    </row>
    <row r="3" ht="14.25" customHeight="1">
      <c r="I3" s="2" t="s">
        <v>2</v>
      </c>
      <c r="J3" s="121">
        <v>85000.0</v>
      </c>
      <c r="K3" s="3" t="s">
        <v>177</v>
      </c>
    </row>
    <row r="4" ht="14.25" customHeight="1">
      <c r="I4" s="2" t="s">
        <v>292</v>
      </c>
      <c r="J4" s="121">
        <v>110000.0</v>
      </c>
      <c r="K4" s="3" t="s">
        <v>177</v>
      </c>
    </row>
    <row r="5" ht="14.25" customHeight="1">
      <c r="I5" s="2" t="s">
        <v>293</v>
      </c>
      <c r="J5" s="121">
        <v>1600.0</v>
      </c>
      <c r="K5" s="3" t="s">
        <v>179</v>
      </c>
    </row>
    <row r="6" ht="14.25" customHeight="1">
      <c r="I6" s="2" t="s">
        <v>8</v>
      </c>
      <c r="J6" s="121">
        <v>3650.0</v>
      </c>
      <c r="K6" s="3" t="s">
        <v>199</v>
      </c>
    </row>
    <row r="7" ht="14.25" customHeight="1">
      <c r="I7" s="2" t="s">
        <v>174</v>
      </c>
      <c r="J7" s="121">
        <v>551000.0</v>
      </c>
      <c r="K7" s="3" t="s">
        <v>177</v>
      </c>
    </row>
    <row r="8" ht="14.25" customHeight="1">
      <c r="I8" s="2" t="s">
        <v>22</v>
      </c>
      <c r="J8" s="121">
        <v>105000.0</v>
      </c>
      <c r="K8" s="3" t="s">
        <v>177</v>
      </c>
    </row>
    <row r="9" ht="14.25" customHeight="1">
      <c r="I9" s="2" t="s">
        <v>77</v>
      </c>
      <c r="J9" s="5">
        <v>0.03</v>
      </c>
      <c r="K9" s="3"/>
    </row>
    <row r="10" ht="14.25" customHeight="1">
      <c r="I10" s="2" t="s">
        <v>78</v>
      </c>
      <c r="J10" s="5">
        <v>0.02</v>
      </c>
      <c r="K10" s="3"/>
    </row>
    <row r="11" ht="14.25" customHeight="1">
      <c r="I11" s="2" t="s">
        <v>194</v>
      </c>
      <c r="J11" s="121">
        <v>0.125</v>
      </c>
      <c r="K11" s="3" t="s">
        <v>201</v>
      </c>
    </row>
    <row r="12" ht="14.25" customHeight="1">
      <c r="I12" s="2" t="s">
        <v>87</v>
      </c>
      <c r="J12" s="5">
        <v>0.01</v>
      </c>
      <c r="K12" s="3" t="s">
        <v>179</v>
      </c>
      <c r="L12" s="4">
        <v>150.0</v>
      </c>
    </row>
    <row r="13" ht="14.25" customHeight="1">
      <c r="I13" s="2" t="s">
        <v>294</v>
      </c>
      <c r="J13" s="121">
        <v>250.0</v>
      </c>
      <c r="K13" s="3" t="s">
        <v>179</v>
      </c>
    </row>
    <row r="14" ht="14.25" customHeight="1">
      <c r="I14" s="2" t="s">
        <v>212</v>
      </c>
      <c r="J14" s="121">
        <v>2200.0</v>
      </c>
      <c r="K14" s="3" t="s">
        <v>179</v>
      </c>
    </row>
    <row r="15" ht="14.25" customHeight="1">
      <c r="I15" s="2" t="s">
        <v>295</v>
      </c>
      <c r="J15" s="121">
        <v>750.0</v>
      </c>
      <c r="K15" s="3" t="s">
        <v>179</v>
      </c>
    </row>
    <row r="16" ht="14.25" customHeight="1">
      <c r="I16" s="2" t="s">
        <v>205</v>
      </c>
      <c r="J16" s="121">
        <v>35000.0</v>
      </c>
      <c r="K16" s="3" t="s">
        <v>177</v>
      </c>
    </row>
    <row r="17" ht="14.25" customHeight="1">
      <c r="I17" s="2" t="s">
        <v>271</v>
      </c>
      <c r="J17" s="133">
        <v>0.0035</v>
      </c>
      <c r="K17" s="3"/>
    </row>
    <row r="18" ht="14.25" customHeight="1">
      <c r="I18" s="2" t="s">
        <v>16</v>
      </c>
      <c r="J18" s="5">
        <v>0.18</v>
      </c>
      <c r="K18" s="3"/>
    </row>
    <row r="19" ht="14.25" customHeight="1">
      <c r="I19" s="2" t="s">
        <v>244</v>
      </c>
      <c r="J19" s="121">
        <v>250.0</v>
      </c>
      <c r="K19" s="3" t="s">
        <v>179</v>
      </c>
    </row>
    <row r="20" ht="14.25" customHeight="1">
      <c r="I20" s="2" t="s">
        <v>207</v>
      </c>
      <c r="J20" s="121">
        <v>75000.0</v>
      </c>
      <c r="K20" s="3" t="s">
        <v>177</v>
      </c>
    </row>
    <row r="21" ht="14.25" customHeight="1">
      <c r="I21" s="2" t="s">
        <v>195</v>
      </c>
      <c r="J21" s="121">
        <v>348.0</v>
      </c>
      <c r="K21" s="3"/>
    </row>
    <row r="22" ht="14.25" customHeight="1">
      <c r="J22" s="121"/>
    </row>
    <row r="23" ht="14.25" customHeight="1">
      <c r="I23" s="2" t="s">
        <v>162</v>
      </c>
      <c r="J23" s="121">
        <f>+(J2+J3+J4+J6*J1+J7)/J21+J5</f>
        <v>8183.333333</v>
      </c>
    </row>
    <row r="24" ht="14.25" customHeight="1">
      <c r="I24" s="2" t="s">
        <v>22</v>
      </c>
      <c r="J24" s="121">
        <f>+J8/J21</f>
        <v>301.7241379</v>
      </c>
    </row>
    <row r="25" ht="14.25" customHeight="1">
      <c r="I25" s="2" t="s">
        <v>163</v>
      </c>
      <c r="J25" s="121">
        <f>+J20/J21</f>
        <v>215.5172414</v>
      </c>
    </row>
    <row r="26" ht="14.25" customHeight="1">
      <c r="I26" s="2" t="s">
        <v>24</v>
      </c>
      <c r="J26" s="121">
        <v>0.0</v>
      </c>
    </row>
    <row r="27" ht="14.25" customHeight="1">
      <c r="I27" s="2" t="s">
        <v>25</v>
      </c>
      <c r="J27" s="121">
        <v>0.0</v>
      </c>
    </row>
    <row r="28" ht="14.25" customHeight="1">
      <c r="I28" s="2" t="s">
        <v>27</v>
      </c>
      <c r="J28" s="133">
        <f>+J18*(1-0.35)</f>
        <v>0.117</v>
      </c>
    </row>
    <row r="29" ht="14.25" customHeight="1">
      <c r="I29" s="2" t="s">
        <v>170</v>
      </c>
      <c r="J29" s="121">
        <f>+J13+J16/J21+J19+L12</f>
        <v>750.5747126</v>
      </c>
    </row>
    <row r="30" ht="14.25" customHeight="1">
      <c r="I30" s="2" t="s">
        <v>172</v>
      </c>
      <c r="J30" s="6">
        <f>+J17</f>
        <v>0.0035</v>
      </c>
    </row>
    <row r="31" ht="14.25" customHeight="1">
      <c r="I31" s="2" t="s">
        <v>173</v>
      </c>
      <c r="J31" s="5">
        <f>+J9</f>
        <v>0.03</v>
      </c>
    </row>
    <row r="32" ht="14.25" customHeight="1">
      <c r="I32" s="2" t="s">
        <v>175</v>
      </c>
      <c r="J32" s="125">
        <f>+J11*J1</f>
        <v>37.5</v>
      </c>
      <c r="K32" s="26">
        <f>+J10</f>
        <v>0.02</v>
      </c>
    </row>
    <row r="33" ht="14.25" customHeight="1"/>
    <row r="34" ht="14.25" customHeight="1">
      <c r="I34" s="2" t="s">
        <v>4</v>
      </c>
      <c r="J34" s="132">
        <v>0.0</v>
      </c>
    </row>
    <row r="35" ht="14.25" customHeight="1">
      <c r="I35" s="32"/>
      <c r="J35" s="32"/>
    </row>
    <row r="36" ht="14.25" customHeight="1">
      <c r="I36" s="2" t="s">
        <v>35</v>
      </c>
      <c r="J36" s="121">
        <f>+J23+J24+J25+J26+J27+J29</f>
        <v>9451.149425</v>
      </c>
    </row>
    <row r="37" ht="14.25" customHeight="1">
      <c r="I37" s="32"/>
      <c r="J37" s="32"/>
    </row>
    <row r="38" ht="14.25" customHeight="1">
      <c r="I38" s="2" t="s">
        <v>184</v>
      </c>
      <c r="J38" s="121">
        <f>(J36+(K32*J34)-J32)/(1-(J30+J31)+K32)</f>
        <v>9542.472808</v>
      </c>
    </row>
    <row r="39" ht="14.25" customHeight="1">
      <c r="I39" s="2" t="s">
        <v>187</v>
      </c>
      <c r="J39" s="121">
        <f>(J36+(K32*J34)-J32)/(1-(J30+J31+J28)+K32)</f>
        <v>10826.50883</v>
      </c>
      <c r="L39" s="4">
        <f>+J39*J12</f>
        <v>108.2650883</v>
      </c>
    </row>
    <row r="40" ht="14.25" customHeight="1">
      <c r="I40" s="2" t="s">
        <v>38</v>
      </c>
      <c r="J40" s="121">
        <f>+J39/J1</f>
        <v>36.08836276</v>
      </c>
    </row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9.5"/>
    <col customWidth="1" min="2" max="4" width="8.63"/>
    <col customWidth="1" min="5" max="5" width="35.25"/>
    <col customWidth="1" min="6" max="6" width="11.88"/>
    <col customWidth="1" min="7" max="26" width="8.63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>
      <c r="A10" s="2" t="s">
        <v>296</v>
      </c>
      <c r="B10" s="144">
        <v>800.0</v>
      </c>
      <c r="C10" s="4" t="s">
        <v>165</v>
      </c>
    </row>
    <row r="11" ht="14.25" customHeight="1">
      <c r="A11" s="2" t="s">
        <v>198</v>
      </c>
      <c r="B11" s="144">
        <v>800.0</v>
      </c>
      <c r="C11" s="4" t="s">
        <v>199</v>
      </c>
      <c r="E11" s="2" t="s">
        <v>162</v>
      </c>
      <c r="F11" s="144">
        <f>+((B11+B14)/B21+(B12+B13))*B10</f>
        <v>217333.3333</v>
      </c>
    </row>
    <row r="12" ht="14.25" customHeight="1">
      <c r="A12" s="2" t="s">
        <v>278</v>
      </c>
      <c r="B12" s="144">
        <v>170.0</v>
      </c>
      <c r="C12" s="4" t="s">
        <v>201</v>
      </c>
      <c r="E12" s="2" t="s">
        <v>22</v>
      </c>
      <c r="F12" s="144">
        <f>+B15*B10/B21</f>
        <v>320</v>
      </c>
    </row>
    <row r="13" ht="14.25" customHeight="1">
      <c r="A13" s="2" t="s">
        <v>4</v>
      </c>
      <c r="B13" s="144">
        <v>80.0</v>
      </c>
      <c r="C13" s="4" t="s">
        <v>201</v>
      </c>
      <c r="E13" s="2" t="s">
        <v>163</v>
      </c>
      <c r="F13" s="144">
        <v>0.0</v>
      </c>
    </row>
    <row r="14" ht="14.25" customHeight="1">
      <c r="A14" s="2" t="s">
        <v>8</v>
      </c>
      <c r="B14" s="144">
        <v>500.0</v>
      </c>
      <c r="C14" s="32" t="s">
        <v>199</v>
      </c>
      <c r="E14" s="2" t="s">
        <v>24</v>
      </c>
      <c r="F14" s="144">
        <v>0.0</v>
      </c>
    </row>
    <row r="15" ht="14.25" customHeight="1">
      <c r="A15" s="2" t="s">
        <v>200</v>
      </c>
      <c r="B15" s="144">
        <v>24.0</v>
      </c>
      <c r="C15" s="4" t="s">
        <v>199</v>
      </c>
      <c r="E15" s="2" t="s">
        <v>25</v>
      </c>
      <c r="F15" s="144">
        <v>0.0</v>
      </c>
    </row>
    <row r="16" ht="14.25" customHeight="1">
      <c r="A16" s="2" t="s">
        <v>176</v>
      </c>
      <c r="B16" s="144">
        <v>250.0</v>
      </c>
      <c r="C16" s="4" t="s">
        <v>179</v>
      </c>
      <c r="E16" s="2" t="s">
        <v>27</v>
      </c>
      <c r="F16" s="144">
        <f>+B24*(1-0.35)*B10</f>
        <v>468000</v>
      </c>
    </row>
    <row r="17" ht="14.25" customHeight="1">
      <c r="A17" s="2" t="s">
        <v>87</v>
      </c>
      <c r="B17" s="5">
        <v>0.1</v>
      </c>
      <c r="E17" s="2" t="s">
        <v>170</v>
      </c>
      <c r="F17" s="144">
        <f>+B16+B20+B18/B21</f>
        <v>1108.333333</v>
      </c>
    </row>
    <row r="18" ht="14.25" customHeight="1">
      <c r="A18" s="2" t="s">
        <v>183</v>
      </c>
      <c r="B18" s="144">
        <v>500.0</v>
      </c>
      <c r="C18" s="4" t="s">
        <v>177</v>
      </c>
      <c r="E18" s="2" t="s">
        <v>172</v>
      </c>
      <c r="F18" s="5">
        <f>+B17+B19</f>
        <v>0.12</v>
      </c>
    </row>
    <row r="19" ht="14.25" customHeight="1">
      <c r="A19" s="2" t="s">
        <v>271</v>
      </c>
      <c r="B19" s="5">
        <v>0.02</v>
      </c>
      <c r="E19" s="2" t="s">
        <v>173</v>
      </c>
      <c r="F19" s="5">
        <f>+B22</f>
        <v>0.1</v>
      </c>
    </row>
    <row r="20" ht="14.25" customHeight="1">
      <c r="A20" s="2" t="s">
        <v>297</v>
      </c>
      <c r="B20" s="144">
        <v>850.0</v>
      </c>
      <c r="C20" s="4" t="s">
        <v>179</v>
      </c>
      <c r="E20" s="2" t="s">
        <v>175</v>
      </c>
      <c r="F20" s="144">
        <v>0.0</v>
      </c>
      <c r="G20" s="26">
        <f>+B23</f>
        <v>0.06</v>
      </c>
    </row>
    <row r="21" ht="14.25" customHeight="1">
      <c r="A21" s="2" t="s">
        <v>195</v>
      </c>
      <c r="B21" s="144">
        <v>60.0</v>
      </c>
      <c r="C21" s="4" t="s">
        <v>196</v>
      </c>
    </row>
    <row r="22" ht="14.25" customHeight="1">
      <c r="A22" s="2" t="s">
        <v>77</v>
      </c>
      <c r="B22" s="5">
        <v>0.1</v>
      </c>
      <c r="E22" s="2" t="s">
        <v>4</v>
      </c>
      <c r="F22" s="132">
        <f>+B13*B10</f>
        <v>64000</v>
      </c>
    </row>
    <row r="23" ht="14.25" customHeight="1">
      <c r="A23" s="2" t="s">
        <v>78</v>
      </c>
      <c r="B23" s="5">
        <v>0.06</v>
      </c>
      <c r="E23" s="32"/>
      <c r="F23" s="32"/>
    </row>
    <row r="24" ht="14.25" customHeight="1">
      <c r="A24" s="2" t="s">
        <v>298</v>
      </c>
      <c r="B24" s="144">
        <v>900.0</v>
      </c>
      <c r="C24" s="4" t="s">
        <v>199</v>
      </c>
      <c r="E24" s="2" t="s">
        <v>35</v>
      </c>
      <c r="F24" s="127">
        <f>+F11+F12+F13+F14+F15+F17</f>
        <v>218761.6667</v>
      </c>
    </row>
    <row r="25" ht="14.25" customHeight="1">
      <c r="E25" s="32"/>
      <c r="F25" s="32"/>
    </row>
    <row r="26" ht="14.25" customHeight="1">
      <c r="E26" s="2" t="s">
        <v>184</v>
      </c>
      <c r="F26" s="121">
        <f>(F24+(G20*F22)-F20)/(1-(F18+F19)+G20)</f>
        <v>265001.9841</v>
      </c>
    </row>
    <row r="27" ht="14.25" customHeight="1">
      <c r="E27" s="2" t="s">
        <v>187</v>
      </c>
      <c r="F27" s="121">
        <f>(F24+F16+(G20*F22)-F20)/(1-(F18+F19)+G20)</f>
        <v>822144.8413</v>
      </c>
    </row>
    <row r="28" ht="14.25" customHeight="1">
      <c r="E28" s="2" t="s">
        <v>38</v>
      </c>
      <c r="F28" s="121">
        <f>+F27/B10</f>
        <v>1027.681052</v>
      </c>
    </row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9" width="8.63"/>
    <col customWidth="1" min="10" max="10" width="38.13"/>
    <col customWidth="1" min="11" max="11" width="13.88"/>
    <col customWidth="1" min="12" max="26" width="8.63"/>
  </cols>
  <sheetData>
    <row r="1" ht="14.25" customHeight="1"/>
    <row r="2" ht="14.25" customHeight="1"/>
    <row r="3" ht="14.25" customHeight="1">
      <c r="J3" s="2" t="s">
        <v>299</v>
      </c>
      <c r="K3" s="121">
        <v>200.0</v>
      </c>
      <c r="L3" s="4" t="s">
        <v>274</v>
      </c>
    </row>
    <row r="4" ht="14.25" customHeight="1">
      <c r="J4" s="2" t="s">
        <v>300</v>
      </c>
      <c r="K4" s="121">
        <v>1540.0</v>
      </c>
      <c r="L4" s="4" t="s">
        <v>179</v>
      </c>
    </row>
    <row r="5" ht="14.25" customHeight="1">
      <c r="J5" s="2" t="s">
        <v>100</v>
      </c>
      <c r="K5" s="121">
        <v>2.25</v>
      </c>
      <c r="L5" s="4" t="s">
        <v>201</v>
      </c>
    </row>
    <row r="6" ht="14.25" customHeight="1">
      <c r="J6" s="2" t="s">
        <v>183</v>
      </c>
      <c r="K6" s="121">
        <v>105.0</v>
      </c>
      <c r="L6" s="4" t="s">
        <v>179</v>
      </c>
    </row>
    <row r="7" ht="14.25" customHeight="1">
      <c r="J7" s="2" t="s">
        <v>87</v>
      </c>
      <c r="K7" s="26">
        <v>0.01</v>
      </c>
    </row>
    <row r="8" ht="14.25" customHeight="1">
      <c r="J8" s="2" t="s">
        <v>301</v>
      </c>
      <c r="K8" s="121">
        <v>140.0</v>
      </c>
      <c r="L8" s="4" t="s">
        <v>179</v>
      </c>
    </row>
    <row r="9" ht="14.25" customHeight="1">
      <c r="J9" s="2" t="s">
        <v>213</v>
      </c>
      <c r="K9" s="121">
        <v>75.0</v>
      </c>
      <c r="L9" s="4" t="s">
        <v>179</v>
      </c>
    </row>
    <row r="10" ht="14.25" customHeight="1">
      <c r="J10" s="2" t="s">
        <v>302</v>
      </c>
      <c r="K10" s="121">
        <v>60.0</v>
      </c>
      <c r="L10" s="4" t="s">
        <v>179</v>
      </c>
    </row>
    <row r="11" ht="14.25" customHeight="1">
      <c r="J11" s="2" t="s">
        <v>303</v>
      </c>
      <c r="K11" s="121">
        <v>50.0</v>
      </c>
      <c r="L11" s="4" t="s">
        <v>179</v>
      </c>
    </row>
    <row r="12" ht="14.25" customHeight="1">
      <c r="J12" s="2" t="s">
        <v>16</v>
      </c>
      <c r="K12" s="5">
        <v>0.25</v>
      </c>
    </row>
    <row r="13" ht="14.25" customHeight="1">
      <c r="J13" s="2" t="s">
        <v>78</v>
      </c>
      <c r="K13" s="5">
        <v>0.045</v>
      </c>
    </row>
    <row r="14" ht="14.25" customHeight="1">
      <c r="J14" s="2" t="s">
        <v>77</v>
      </c>
      <c r="K14" s="5">
        <v>0.06</v>
      </c>
    </row>
    <row r="15" ht="14.25" customHeight="1"/>
    <row r="16" ht="14.25" customHeight="1">
      <c r="J16" s="2" t="s">
        <v>304</v>
      </c>
      <c r="K16" s="121">
        <f>+K4</f>
        <v>1540</v>
      </c>
    </row>
    <row r="17" ht="14.25" customHeight="1">
      <c r="J17" s="2" t="s">
        <v>305</v>
      </c>
      <c r="K17" s="121">
        <f>+K10</f>
        <v>60</v>
      </c>
    </row>
    <row r="18" ht="14.25" customHeight="1">
      <c r="J18" s="2" t="s">
        <v>23</v>
      </c>
      <c r="K18" s="121">
        <v>0.0</v>
      </c>
    </row>
    <row r="19" ht="14.25" customHeight="1">
      <c r="J19" s="2" t="s">
        <v>24</v>
      </c>
      <c r="K19" s="121">
        <v>0.0</v>
      </c>
    </row>
    <row r="20" ht="14.25" customHeight="1">
      <c r="J20" s="2" t="s">
        <v>25</v>
      </c>
      <c r="K20" s="121">
        <v>0.0</v>
      </c>
    </row>
    <row r="21" ht="14.25" customHeight="1">
      <c r="J21" s="2" t="s">
        <v>27</v>
      </c>
      <c r="K21" s="133">
        <f>+K12*(1-0.35)</f>
        <v>0.1625</v>
      </c>
    </row>
    <row r="22" ht="14.25" customHeight="1">
      <c r="J22" s="2" t="s">
        <v>28</v>
      </c>
      <c r="K22" s="121">
        <f>+K6+K8+K11</f>
        <v>295</v>
      </c>
    </row>
    <row r="23" ht="14.25" customHeight="1">
      <c r="J23" s="2" t="s">
        <v>30</v>
      </c>
      <c r="K23" s="5">
        <f>+K7</f>
        <v>0.01</v>
      </c>
    </row>
    <row r="24" ht="14.25" customHeight="1">
      <c r="J24" s="2" t="s">
        <v>306</v>
      </c>
      <c r="K24" s="5">
        <f>+K14</f>
        <v>0.06</v>
      </c>
    </row>
    <row r="25" ht="14.25" customHeight="1">
      <c r="J25" s="2" t="s">
        <v>175</v>
      </c>
      <c r="K25" s="5">
        <v>0.0</v>
      </c>
      <c r="L25" s="25">
        <f>+K13</f>
        <v>0.045</v>
      </c>
    </row>
    <row r="26" ht="14.25" customHeight="1"/>
    <row r="27" ht="14.25" customHeight="1">
      <c r="J27" s="2" t="s">
        <v>4</v>
      </c>
      <c r="K27" s="121">
        <f>+K5*K3</f>
        <v>450</v>
      </c>
    </row>
    <row r="28" ht="14.25" customHeight="1"/>
    <row r="29" ht="14.25" customHeight="1">
      <c r="J29" s="2" t="s">
        <v>35</v>
      </c>
      <c r="K29" s="121">
        <f>+K16+K17+K18+K19+K20+K22</f>
        <v>1895</v>
      </c>
    </row>
    <row r="30" ht="14.25" customHeight="1"/>
    <row r="31" ht="14.25" customHeight="1">
      <c r="J31" s="2" t="s">
        <v>36</v>
      </c>
      <c r="K31" s="121">
        <f>(K29+(K27*L25)-K25)/(1-(K23+K24)+L25)</f>
        <v>1964.358974</v>
      </c>
    </row>
    <row r="32" ht="14.25" customHeight="1">
      <c r="J32" s="2" t="s">
        <v>37</v>
      </c>
      <c r="K32" s="121">
        <f>(K29+(K27*L25)-K25)/(1-(K23+K24+K21)+L25)</f>
        <v>2357.230769</v>
      </c>
    </row>
    <row r="33" ht="14.25" customHeight="1">
      <c r="J33" s="2" t="s">
        <v>38</v>
      </c>
      <c r="K33" s="121">
        <f>+K32/K3</f>
        <v>11.78615385</v>
      </c>
    </row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7" width="8.63"/>
    <col customWidth="1" min="8" max="8" width="29.88"/>
    <col customWidth="1" min="9" max="11" width="8.63"/>
    <col customWidth="1" min="12" max="12" width="32.13"/>
    <col customWidth="1" min="13" max="13" width="11.13"/>
    <col customWidth="1" min="14" max="26" width="8.63"/>
  </cols>
  <sheetData>
    <row r="1" ht="14.25" customHeight="1"/>
    <row r="2" ht="14.25" customHeight="1">
      <c r="H2" s="2" t="s">
        <v>307</v>
      </c>
      <c r="I2" s="121">
        <v>5000.0</v>
      </c>
      <c r="J2" s="4" t="s">
        <v>274</v>
      </c>
      <c r="L2" s="2" t="s">
        <v>304</v>
      </c>
      <c r="M2" s="121">
        <f>+(+I3+I4 +(I6+I7)/I22)*I2</f>
        <v>25459.18367</v>
      </c>
    </row>
    <row r="3" ht="14.25" customHeight="1">
      <c r="H3" s="2" t="s">
        <v>198</v>
      </c>
      <c r="I3" s="121">
        <v>1.0</v>
      </c>
      <c r="J3" s="4" t="s">
        <v>221</v>
      </c>
      <c r="L3" s="2" t="s">
        <v>22</v>
      </c>
      <c r="M3" s="121">
        <v>0.0</v>
      </c>
    </row>
    <row r="4" ht="14.25" customHeight="1">
      <c r="H4" s="2" t="s">
        <v>278</v>
      </c>
      <c r="I4" s="121">
        <v>3.0</v>
      </c>
      <c r="J4" s="4" t="s">
        <v>221</v>
      </c>
      <c r="L4" s="2" t="s">
        <v>308</v>
      </c>
      <c r="M4" s="121">
        <f>+I9</f>
        <v>248</v>
      </c>
    </row>
    <row r="5" ht="14.25" customHeight="1">
      <c r="H5" s="2" t="s">
        <v>4</v>
      </c>
      <c r="I5" s="121">
        <v>1.8</v>
      </c>
      <c r="J5" s="4" t="s">
        <v>221</v>
      </c>
      <c r="L5" s="2" t="s">
        <v>24</v>
      </c>
      <c r="M5" s="121">
        <v>0.0</v>
      </c>
    </row>
    <row r="6" ht="14.25" customHeight="1">
      <c r="H6" s="2" t="s">
        <v>8</v>
      </c>
      <c r="I6" s="121">
        <f>17000/1000</f>
        <v>17</v>
      </c>
      <c r="J6" s="4" t="s">
        <v>268</v>
      </c>
      <c r="L6" s="2" t="s">
        <v>25</v>
      </c>
      <c r="M6" s="121">
        <v>0.0</v>
      </c>
    </row>
    <row r="7" ht="14.25" customHeight="1">
      <c r="H7" s="2" t="s">
        <v>309</v>
      </c>
      <c r="I7" s="121">
        <v>90.0</v>
      </c>
      <c r="J7" s="4" t="s">
        <v>268</v>
      </c>
      <c r="L7" s="2" t="s">
        <v>310</v>
      </c>
      <c r="M7" s="121">
        <f>+I11/I22+I14+I19</f>
        <v>2855.306122</v>
      </c>
    </row>
    <row r="8" ht="14.25" customHeight="1">
      <c r="H8" s="2" t="s">
        <v>311</v>
      </c>
      <c r="I8" s="121">
        <v>1300.0</v>
      </c>
      <c r="J8" s="4" t="s">
        <v>179</v>
      </c>
      <c r="L8" s="2" t="s">
        <v>312</v>
      </c>
      <c r="M8" s="133">
        <f>+I13+I15</f>
        <v>0.03</v>
      </c>
    </row>
    <row r="9" ht="14.25" customHeight="1">
      <c r="H9" s="2" t="s">
        <v>313</v>
      </c>
      <c r="I9" s="121">
        <v>248.0</v>
      </c>
      <c r="J9" s="4" t="s">
        <v>179</v>
      </c>
      <c r="L9" s="2" t="s">
        <v>27</v>
      </c>
      <c r="M9" s="133">
        <f>+I21/(1-0.35)</f>
        <v>0.3076923077</v>
      </c>
    </row>
    <row r="10" ht="14.25" customHeight="1">
      <c r="H10" s="2" t="s">
        <v>314</v>
      </c>
      <c r="I10" s="133">
        <v>0.01</v>
      </c>
      <c r="L10" s="2" t="s">
        <v>32</v>
      </c>
      <c r="M10" s="133">
        <f>+I17</f>
        <v>0.05</v>
      </c>
    </row>
    <row r="11" ht="14.25" customHeight="1">
      <c r="H11" s="2" t="s">
        <v>315</v>
      </c>
      <c r="I11" s="121">
        <v>75000.0</v>
      </c>
      <c r="J11" s="4" t="s">
        <v>177</v>
      </c>
      <c r="L11" s="2" t="s">
        <v>33</v>
      </c>
      <c r="M11" s="121">
        <f>+I18*I2</f>
        <v>2500</v>
      </c>
      <c r="N11" s="26">
        <f>+I16</f>
        <v>0.07</v>
      </c>
    </row>
    <row r="12" ht="14.25" customHeight="1">
      <c r="H12" s="2" t="s">
        <v>316</v>
      </c>
      <c r="I12" s="121">
        <v>290.0</v>
      </c>
      <c r="J12" s="4" t="s">
        <v>179</v>
      </c>
    </row>
    <row r="13" ht="14.25" customHeight="1">
      <c r="H13" s="2" t="s">
        <v>87</v>
      </c>
      <c r="I13" s="133">
        <v>0.015</v>
      </c>
      <c r="L13" s="2" t="s">
        <v>4</v>
      </c>
      <c r="M13" s="121">
        <f>+I5*I2</f>
        <v>9000</v>
      </c>
    </row>
    <row r="14" ht="14.25" customHeight="1">
      <c r="H14" s="2" t="s">
        <v>317</v>
      </c>
      <c r="I14" s="121">
        <v>1900.0</v>
      </c>
      <c r="J14" s="4" t="s">
        <v>179</v>
      </c>
    </row>
    <row r="15" ht="14.25" customHeight="1">
      <c r="H15" s="2" t="s">
        <v>318</v>
      </c>
      <c r="I15" s="133">
        <v>0.015</v>
      </c>
      <c r="L15" s="2" t="s">
        <v>35</v>
      </c>
      <c r="M15" s="121">
        <f>+M2+M3+M4+M5+M6+M7</f>
        <v>28562.4898</v>
      </c>
    </row>
    <row r="16" ht="14.25" customHeight="1">
      <c r="H16" s="2" t="s">
        <v>78</v>
      </c>
      <c r="I16" s="133">
        <v>0.07</v>
      </c>
    </row>
    <row r="17" ht="14.25" customHeight="1">
      <c r="H17" s="2" t="s">
        <v>77</v>
      </c>
      <c r="I17" s="133">
        <v>0.05</v>
      </c>
      <c r="L17" s="2" t="s">
        <v>36</v>
      </c>
      <c r="M17" s="4">
        <f>(M15+(M13*N11)-M11)/(1-(M8+M10)+N11)</f>
        <v>26962.1109</v>
      </c>
    </row>
    <row r="18" ht="14.25" customHeight="1">
      <c r="H18" s="2" t="s">
        <v>194</v>
      </c>
      <c r="I18" s="121">
        <v>0.5</v>
      </c>
      <c r="J18" s="4" t="s">
        <v>221</v>
      </c>
      <c r="L18" s="2" t="s">
        <v>37</v>
      </c>
      <c r="M18" s="4">
        <f>(M15+(M13*N11)-M11)/(1-(M8+M10+M9)+N11)</f>
        <v>39120.89824</v>
      </c>
    </row>
    <row r="19" ht="14.25" customHeight="1">
      <c r="H19" s="2" t="s">
        <v>319</v>
      </c>
      <c r="I19" s="121">
        <v>190.0</v>
      </c>
      <c r="J19" s="4" t="s">
        <v>179</v>
      </c>
    </row>
    <row r="20" ht="14.25" customHeight="1">
      <c r="H20" s="2" t="s">
        <v>320</v>
      </c>
      <c r="I20" s="121">
        <v>100.0</v>
      </c>
      <c r="J20" s="4" t="s">
        <v>179</v>
      </c>
      <c r="L20" s="2" t="s">
        <v>212</v>
      </c>
      <c r="M20" s="121">
        <f>+I8</f>
        <v>1300</v>
      </c>
    </row>
    <row r="21" ht="14.25" customHeight="1">
      <c r="H21" s="2" t="s">
        <v>17</v>
      </c>
      <c r="I21" s="133">
        <v>0.2</v>
      </c>
      <c r="L21" s="2" t="s">
        <v>321</v>
      </c>
      <c r="M21" s="121">
        <f>+(M20+M18)*I10</f>
        <v>404.2089824</v>
      </c>
    </row>
    <row r="22" ht="14.25" customHeight="1">
      <c r="H22" s="2" t="s">
        <v>195</v>
      </c>
      <c r="I22" s="121">
        <v>98.0</v>
      </c>
      <c r="J22" s="4" t="s">
        <v>196</v>
      </c>
      <c r="L22" s="2" t="s">
        <v>322</v>
      </c>
      <c r="M22" s="121">
        <f>+M18+M20+M21</f>
        <v>40825.10722</v>
      </c>
    </row>
    <row r="23" ht="14.25" customHeight="1">
      <c r="L23" s="2" t="s">
        <v>316</v>
      </c>
      <c r="M23" s="121">
        <f>+I12</f>
        <v>290</v>
      </c>
    </row>
    <row r="24" ht="14.25" customHeight="1">
      <c r="L24" s="2" t="s">
        <v>320</v>
      </c>
      <c r="M24" s="121">
        <f>+I20</f>
        <v>100</v>
      </c>
    </row>
    <row r="25" ht="14.25" customHeight="1">
      <c r="L25" s="2" t="s">
        <v>323</v>
      </c>
      <c r="M25" s="121">
        <f>+SUM(M22:M24)</f>
        <v>41215.10722</v>
      </c>
    </row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8" width="8.63"/>
    <col customWidth="1" min="9" max="9" width="27.88"/>
    <col customWidth="1" min="10" max="10" width="12.5"/>
    <col customWidth="1" min="11" max="26" width="8.63"/>
  </cols>
  <sheetData>
    <row r="1" ht="14.25" customHeight="1">
      <c r="I1" s="2" t="s">
        <v>87</v>
      </c>
      <c r="J1" s="133">
        <v>0.015</v>
      </c>
    </row>
    <row r="2" ht="14.25" customHeight="1">
      <c r="I2" s="2" t="s">
        <v>324</v>
      </c>
      <c r="J2" s="121">
        <v>750.0</v>
      </c>
      <c r="K2" s="4" t="s">
        <v>165</v>
      </c>
    </row>
    <row r="3" ht="14.25" customHeight="1">
      <c r="I3" s="2" t="s">
        <v>198</v>
      </c>
      <c r="J3" s="121">
        <v>720000.0</v>
      </c>
      <c r="K3" s="4" t="s">
        <v>177</v>
      </c>
    </row>
    <row r="4" ht="14.25" customHeight="1">
      <c r="I4" s="2" t="s">
        <v>325</v>
      </c>
      <c r="J4" s="121">
        <v>150000.0</v>
      </c>
      <c r="K4" s="4" t="s">
        <v>177</v>
      </c>
    </row>
    <row r="5" ht="14.25" customHeight="1">
      <c r="I5" s="2" t="s">
        <v>3</v>
      </c>
      <c r="J5" s="121">
        <v>200.0</v>
      </c>
      <c r="K5" s="4" t="s">
        <v>179</v>
      </c>
    </row>
    <row r="6" ht="14.25" customHeight="1">
      <c r="I6" s="2" t="s">
        <v>326</v>
      </c>
      <c r="J6" s="121">
        <v>3700.0</v>
      </c>
      <c r="K6" s="4" t="s">
        <v>199</v>
      </c>
    </row>
    <row r="7" ht="14.25" customHeight="1">
      <c r="I7" s="2" t="s">
        <v>174</v>
      </c>
      <c r="J7" s="121">
        <v>150000.0</v>
      </c>
      <c r="K7" s="4" t="s">
        <v>177</v>
      </c>
    </row>
    <row r="8" ht="14.25" customHeight="1">
      <c r="I8" s="2" t="s">
        <v>200</v>
      </c>
      <c r="J8" s="121">
        <v>75000.0</v>
      </c>
      <c r="K8" s="4" t="s">
        <v>177</v>
      </c>
    </row>
    <row r="9" ht="14.25" customHeight="1">
      <c r="I9" s="2" t="s">
        <v>176</v>
      </c>
      <c r="J9" s="121">
        <v>200.0</v>
      </c>
      <c r="K9" s="4" t="s">
        <v>179</v>
      </c>
    </row>
    <row r="10" ht="14.25" customHeight="1">
      <c r="I10" s="2" t="s">
        <v>211</v>
      </c>
      <c r="J10" s="121">
        <v>485.0</v>
      </c>
      <c r="K10" s="4" t="s">
        <v>179</v>
      </c>
    </row>
    <row r="11" ht="14.25" customHeight="1">
      <c r="I11" s="2" t="s">
        <v>212</v>
      </c>
      <c r="J11" s="121">
        <v>1850.0</v>
      </c>
      <c r="K11" s="4" t="s">
        <v>179</v>
      </c>
    </row>
    <row r="12" ht="14.25" customHeight="1">
      <c r="I12" s="2" t="s">
        <v>327</v>
      </c>
      <c r="J12" s="121">
        <v>1550.0</v>
      </c>
      <c r="K12" s="4" t="s">
        <v>179</v>
      </c>
    </row>
    <row r="13" ht="14.25" customHeight="1">
      <c r="I13" s="2" t="s">
        <v>315</v>
      </c>
      <c r="J13" s="121">
        <v>55000.0</v>
      </c>
      <c r="K13" s="4" t="s">
        <v>177</v>
      </c>
    </row>
    <row r="14" ht="14.25" customHeight="1">
      <c r="I14" s="2" t="s">
        <v>328</v>
      </c>
      <c r="J14" s="133">
        <v>0.0065</v>
      </c>
    </row>
    <row r="15" ht="14.25" customHeight="1">
      <c r="I15" s="2" t="s">
        <v>17</v>
      </c>
      <c r="J15" s="133">
        <v>0.2</v>
      </c>
    </row>
    <row r="16" ht="14.25" customHeight="1">
      <c r="I16" s="2" t="s">
        <v>244</v>
      </c>
      <c r="J16" s="121">
        <v>205.0</v>
      </c>
      <c r="K16" s="4" t="s">
        <v>179</v>
      </c>
    </row>
    <row r="17" ht="14.25" customHeight="1">
      <c r="I17" s="2" t="s">
        <v>207</v>
      </c>
      <c r="J17" s="121">
        <v>145000.0</v>
      </c>
      <c r="K17" s="4" t="s">
        <v>177</v>
      </c>
      <c r="L17" s="4" t="s">
        <v>329</v>
      </c>
    </row>
    <row r="18" ht="14.25" customHeight="1">
      <c r="I18" s="2" t="s">
        <v>77</v>
      </c>
      <c r="J18" s="133">
        <v>0.06</v>
      </c>
    </row>
    <row r="19" ht="14.25" customHeight="1">
      <c r="I19" s="2" t="s">
        <v>78</v>
      </c>
      <c r="J19" s="133">
        <v>0.04</v>
      </c>
    </row>
    <row r="20" ht="14.25" customHeight="1">
      <c r="I20" s="2" t="s">
        <v>194</v>
      </c>
      <c r="J20" s="125">
        <v>0.1</v>
      </c>
      <c r="K20" s="4" t="s">
        <v>201</v>
      </c>
    </row>
    <row r="21" ht="14.25" customHeight="1">
      <c r="I21" s="2" t="s">
        <v>195</v>
      </c>
      <c r="J21" s="121">
        <v>348.0</v>
      </c>
      <c r="K21" s="4" t="s">
        <v>196</v>
      </c>
    </row>
    <row r="22" ht="14.25" customHeight="1"/>
    <row r="23" ht="14.25" customHeight="1">
      <c r="I23" s="2" t="s">
        <v>34</v>
      </c>
      <c r="J23" s="125">
        <f>(J3+J4+J7+J6*J2)/J21+J5</f>
        <v>11105.17241</v>
      </c>
    </row>
    <row r="24" ht="14.25" customHeight="1">
      <c r="I24" s="2" t="s">
        <v>22</v>
      </c>
      <c r="J24" s="125">
        <f>+J8/J21</f>
        <v>215.5172414</v>
      </c>
    </row>
    <row r="25" ht="14.25" customHeight="1">
      <c r="I25" s="2" t="s">
        <v>330</v>
      </c>
      <c r="J25" s="125">
        <f>+J17/J21/2</f>
        <v>208.3333333</v>
      </c>
    </row>
    <row r="26" ht="14.25" customHeight="1">
      <c r="I26" s="2" t="s">
        <v>24</v>
      </c>
      <c r="J26" s="125">
        <v>0.0</v>
      </c>
    </row>
    <row r="27" ht="14.25" customHeight="1">
      <c r="I27" s="2" t="s">
        <v>25</v>
      </c>
      <c r="J27" s="125">
        <v>0.0</v>
      </c>
    </row>
    <row r="28" ht="14.25" customHeight="1">
      <c r="I28" s="2" t="s">
        <v>331</v>
      </c>
      <c r="J28" s="125">
        <f>+J9+J10+J13/J21+J16</f>
        <v>1048.045977</v>
      </c>
    </row>
    <row r="29" ht="14.25" customHeight="1">
      <c r="I29" s="2" t="s">
        <v>332</v>
      </c>
      <c r="J29" s="133">
        <f>+J14+J1</f>
        <v>0.0215</v>
      </c>
    </row>
    <row r="30" ht="14.25" customHeight="1">
      <c r="I30" s="2" t="s">
        <v>27</v>
      </c>
      <c r="J30" s="133">
        <f>+J15/(1-0.35)</f>
        <v>0.3076923077</v>
      </c>
    </row>
    <row r="31" ht="14.25" customHeight="1">
      <c r="I31" s="2" t="s">
        <v>333</v>
      </c>
      <c r="J31" s="133">
        <f>+J18</f>
        <v>0.06</v>
      </c>
    </row>
    <row r="32" ht="14.25" customHeight="1">
      <c r="I32" s="2" t="s">
        <v>33</v>
      </c>
      <c r="J32" s="125">
        <f>+J20*J2</f>
        <v>75</v>
      </c>
      <c r="K32" s="26">
        <f>+J19</f>
        <v>0.04</v>
      </c>
    </row>
    <row r="33" ht="14.25" customHeight="1">
      <c r="J33" s="125"/>
    </row>
    <row r="34" ht="14.25" customHeight="1">
      <c r="I34" s="2" t="s">
        <v>4</v>
      </c>
      <c r="J34" s="4">
        <v>0.0</v>
      </c>
    </row>
    <row r="35" ht="14.25" customHeight="1"/>
    <row r="36" ht="14.25" customHeight="1">
      <c r="I36" s="2" t="s">
        <v>35</v>
      </c>
      <c r="J36" s="125">
        <f>+J23+J24+J25+J26+J27+J28</f>
        <v>12577.06897</v>
      </c>
    </row>
    <row r="37" ht="14.25" customHeight="1">
      <c r="J37" s="147"/>
    </row>
    <row r="38" ht="14.25" customHeight="1">
      <c r="I38" s="2" t="s">
        <v>36</v>
      </c>
      <c r="J38" s="125">
        <f>+(J36+(J34*K32)-J32)/(1-(J29+J31)+K32)</f>
        <v>13043.36877</v>
      </c>
    </row>
    <row r="39" ht="14.25" customHeight="1">
      <c r="I39" s="2" t="s">
        <v>37</v>
      </c>
      <c r="J39" s="125">
        <f>+(J36+(J34*K32)-J32)/(1-(J29+J31+J30)+K32)</f>
        <v>19210.08174</v>
      </c>
    </row>
    <row r="40" ht="14.25" customHeight="1">
      <c r="I40" s="2" t="s">
        <v>334</v>
      </c>
      <c r="J40" s="125">
        <f>+J39/J2</f>
        <v>25.61344232</v>
      </c>
    </row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8" width="8.63"/>
    <col customWidth="1" min="9" max="9" width="23.88"/>
    <col customWidth="1" min="10" max="10" width="18.0"/>
    <col customWidth="1" min="11" max="26" width="8.63"/>
  </cols>
  <sheetData>
    <row r="1" ht="14.25" customHeight="1"/>
    <row r="2" ht="14.25" customHeight="1">
      <c r="I2" s="2" t="s">
        <v>335</v>
      </c>
      <c r="J2" s="121">
        <v>850.0</v>
      </c>
      <c r="K2" s="4" t="s">
        <v>165</v>
      </c>
    </row>
    <row r="3" ht="14.25" customHeight="1">
      <c r="I3" s="2" t="s">
        <v>198</v>
      </c>
      <c r="J3" s="121">
        <v>120000.0</v>
      </c>
      <c r="K3" s="4" t="s">
        <v>177</v>
      </c>
    </row>
    <row r="4" ht="14.25" customHeight="1">
      <c r="I4" s="2" t="s">
        <v>185</v>
      </c>
      <c r="J4" s="121">
        <v>50000.0</v>
      </c>
      <c r="K4" s="4" t="s">
        <v>177</v>
      </c>
    </row>
    <row r="5" ht="14.25" customHeight="1">
      <c r="I5" s="2" t="s">
        <v>3</v>
      </c>
      <c r="J5" s="121">
        <v>300.0</v>
      </c>
      <c r="K5" s="4" t="s">
        <v>179</v>
      </c>
    </row>
    <row r="6" ht="14.25" customHeight="1">
      <c r="I6" s="2" t="s">
        <v>8</v>
      </c>
      <c r="J6" s="121">
        <v>2700.0</v>
      </c>
      <c r="K6" s="4" t="s">
        <v>199</v>
      </c>
    </row>
    <row r="7" ht="14.25" customHeight="1">
      <c r="I7" s="2" t="s">
        <v>174</v>
      </c>
      <c r="J7" s="121">
        <v>50000.0</v>
      </c>
      <c r="K7" s="4" t="s">
        <v>177</v>
      </c>
    </row>
    <row r="8" ht="14.25" customHeight="1">
      <c r="I8" s="2" t="s">
        <v>200</v>
      </c>
      <c r="J8" s="121">
        <v>45000.0</v>
      </c>
      <c r="K8" s="4" t="s">
        <v>177</v>
      </c>
    </row>
    <row r="9" ht="14.25" customHeight="1">
      <c r="I9" s="2" t="s">
        <v>77</v>
      </c>
      <c r="J9" s="133">
        <v>0.05</v>
      </c>
    </row>
    <row r="10" ht="14.25" customHeight="1">
      <c r="I10" s="2" t="s">
        <v>78</v>
      </c>
      <c r="J10" s="133">
        <v>0.04</v>
      </c>
    </row>
    <row r="11" ht="14.25" customHeight="1">
      <c r="I11" s="2" t="s">
        <v>194</v>
      </c>
      <c r="J11" s="125">
        <v>0.1</v>
      </c>
      <c r="K11" s="4" t="s">
        <v>201</v>
      </c>
    </row>
    <row r="12" ht="14.25" customHeight="1">
      <c r="I12" s="2" t="s">
        <v>87</v>
      </c>
      <c r="J12" s="133">
        <v>0.013</v>
      </c>
    </row>
    <row r="13" ht="14.25" customHeight="1">
      <c r="I13" s="2" t="s">
        <v>336</v>
      </c>
      <c r="J13" s="125">
        <v>100.0</v>
      </c>
      <c r="K13" s="4" t="s">
        <v>179</v>
      </c>
    </row>
    <row r="14" ht="14.25" customHeight="1">
      <c r="I14" s="2" t="s">
        <v>211</v>
      </c>
      <c r="J14" s="125">
        <v>285.0</v>
      </c>
      <c r="K14" s="4" t="s">
        <v>179</v>
      </c>
    </row>
    <row r="15" ht="14.25" customHeight="1">
      <c r="I15" s="2" t="s">
        <v>212</v>
      </c>
      <c r="J15" s="125">
        <v>2000.0</v>
      </c>
      <c r="K15" s="4" t="s">
        <v>179</v>
      </c>
    </row>
    <row r="16" ht="14.25" customHeight="1">
      <c r="I16" s="2" t="s">
        <v>213</v>
      </c>
      <c r="J16" s="125">
        <v>1750.0</v>
      </c>
      <c r="K16" s="4" t="s">
        <v>179</v>
      </c>
    </row>
    <row r="17" ht="14.25" customHeight="1">
      <c r="I17" s="2" t="s">
        <v>205</v>
      </c>
      <c r="J17" s="125">
        <v>45000.0</v>
      </c>
      <c r="K17" s="4" t="s">
        <v>177</v>
      </c>
    </row>
    <row r="18" ht="14.25" customHeight="1">
      <c r="I18" s="2" t="s">
        <v>271</v>
      </c>
      <c r="J18" s="6">
        <v>0.0055</v>
      </c>
    </row>
    <row r="19" ht="14.25" customHeight="1">
      <c r="I19" s="2" t="s">
        <v>17</v>
      </c>
      <c r="J19" s="133">
        <v>0.21</v>
      </c>
    </row>
    <row r="20" ht="14.25" customHeight="1">
      <c r="I20" s="2" t="s">
        <v>183</v>
      </c>
      <c r="J20" s="125">
        <v>195.0</v>
      </c>
      <c r="K20" s="4" t="s">
        <v>179</v>
      </c>
    </row>
    <row r="21" ht="14.25" customHeight="1">
      <c r="I21" s="2" t="s">
        <v>207</v>
      </c>
      <c r="J21" s="125">
        <v>145000.0</v>
      </c>
      <c r="K21" s="4" t="s">
        <v>177</v>
      </c>
      <c r="L21" s="4" t="s">
        <v>337</v>
      </c>
    </row>
    <row r="22" ht="14.25" customHeight="1">
      <c r="I22" s="2" t="s">
        <v>195</v>
      </c>
      <c r="J22" s="125">
        <v>348.0</v>
      </c>
    </row>
    <row r="23" ht="14.25" customHeight="1"/>
    <row r="24" ht="14.25" customHeight="1">
      <c r="I24" s="2" t="s">
        <v>338</v>
      </c>
      <c r="J24" s="125">
        <f>+(J3+J4+J7+J6*J2)/J22+J5</f>
        <v>7527.011494</v>
      </c>
    </row>
    <row r="25" ht="14.25" customHeight="1">
      <c r="I25" s="2" t="s">
        <v>285</v>
      </c>
      <c r="J25" s="125">
        <f>+J8/J22</f>
        <v>129.3103448</v>
      </c>
    </row>
    <row r="26" ht="14.25" customHeight="1">
      <c r="I26" s="2" t="s">
        <v>339</v>
      </c>
      <c r="J26" s="125">
        <f>+J21/J22/3</f>
        <v>138.8888889</v>
      </c>
    </row>
    <row r="27" ht="14.25" customHeight="1">
      <c r="I27" s="2" t="s">
        <v>340</v>
      </c>
      <c r="J27" s="125">
        <v>0.0</v>
      </c>
    </row>
    <row r="28" ht="14.25" customHeight="1">
      <c r="I28" s="2" t="s">
        <v>25</v>
      </c>
      <c r="J28" s="125">
        <v>0.0</v>
      </c>
    </row>
    <row r="29" ht="14.25" customHeight="1">
      <c r="I29" s="2" t="s">
        <v>27</v>
      </c>
      <c r="J29" s="6">
        <f>+J19/(1-35%)</f>
        <v>0.3230769231</v>
      </c>
    </row>
    <row r="30" ht="14.25" customHeight="1">
      <c r="I30" s="2" t="s">
        <v>341</v>
      </c>
      <c r="J30" s="125">
        <f>+J13+J14+J17/J22+J20</f>
        <v>709.3103448</v>
      </c>
    </row>
    <row r="31" ht="14.25" customHeight="1">
      <c r="I31" s="2" t="s">
        <v>342</v>
      </c>
      <c r="J31" s="133">
        <f>+J12+J18</f>
        <v>0.0185</v>
      </c>
    </row>
    <row r="32" ht="14.25" customHeight="1">
      <c r="I32" s="2" t="s">
        <v>333</v>
      </c>
      <c r="J32" s="133">
        <f>+J9</f>
        <v>0.05</v>
      </c>
    </row>
    <row r="33" ht="14.25" customHeight="1">
      <c r="I33" s="2" t="s">
        <v>33</v>
      </c>
      <c r="J33" s="125">
        <f>+J11*J2</f>
        <v>85</v>
      </c>
      <c r="K33" s="26">
        <f>+J10</f>
        <v>0.04</v>
      </c>
    </row>
    <row r="34" ht="14.25" customHeight="1"/>
    <row r="35" ht="14.25" customHeight="1">
      <c r="I35" s="2" t="s">
        <v>4</v>
      </c>
      <c r="J35" s="125">
        <v>0.0</v>
      </c>
    </row>
    <row r="36" ht="14.25" customHeight="1"/>
    <row r="37" ht="14.25" customHeight="1">
      <c r="I37" s="2" t="s">
        <v>35</v>
      </c>
      <c r="J37" s="125">
        <f>+J24+J25+J26+J27+J28+J30</f>
        <v>8504.521073</v>
      </c>
    </row>
    <row r="38" ht="14.25" customHeight="1"/>
    <row r="39" ht="14.25" customHeight="1">
      <c r="I39" s="2" t="s">
        <v>36</v>
      </c>
      <c r="J39" s="125">
        <f>(J37+(K33*J35)-J33)/(1-(J31+J32)+K33)</f>
        <v>8666.516802</v>
      </c>
    </row>
    <row r="40" ht="14.25" customHeight="1">
      <c r="I40" s="2" t="s">
        <v>37</v>
      </c>
      <c r="J40" s="125">
        <f>(J37+(K33*J35)-J33)/(1-(J31+J32+J29)+K33)</f>
        <v>12984.61047</v>
      </c>
    </row>
    <row r="41" ht="14.25" customHeight="1">
      <c r="I41" s="2" t="s">
        <v>38</v>
      </c>
      <c r="J41" s="125">
        <f>+J40/J2</f>
        <v>15.27601232</v>
      </c>
    </row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17.38"/>
    <col customWidth="1" min="3" max="5" width="8.63"/>
    <col customWidth="1" min="6" max="6" width="38.5"/>
    <col customWidth="1" min="7" max="7" width="13.13"/>
    <col customWidth="1" min="8" max="26" width="8.63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>
      <c r="B10" s="2" t="s">
        <v>343</v>
      </c>
      <c r="C10" s="4">
        <v>2300.0</v>
      </c>
      <c r="D10" s="4" t="s">
        <v>165</v>
      </c>
    </row>
    <row r="11" ht="14.25" customHeight="1">
      <c r="B11" s="2" t="s">
        <v>27</v>
      </c>
      <c r="C11" s="4">
        <v>10.0</v>
      </c>
      <c r="D11" s="4" t="s">
        <v>201</v>
      </c>
      <c r="F11" s="2" t="s">
        <v>304</v>
      </c>
      <c r="G11" s="147">
        <f>+(C13+C14)*C10/C24+C15*C10</f>
        <v>133016.6667</v>
      </c>
    </row>
    <row r="12" ht="14.25" customHeight="1">
      <c r="B12" s="2" t="s">
        <v>27</v>
      </c>
      <c r="C12" s="26">
        <v>0.02</v>
      </c>
      <c r="F12" s="2" t="s">
        <v>305</v>
      </c>
      <c r="G12" s="147">
        <f>+C23+C17*C10</f>
        <v>161015</v>
      </c>
    </row>
    <row r="13" ht="14.25" customHeight="1">
      <c r="B13" s="2" t="s">
        <v>198</v>
      </c>
      <c r="C13" s="4">
        <v>870.0</v>
      </c>
      <c r="D13" s="4" t="s">
        <v>199</v>
      </c>
      <c r="F13" s="2" t="s">
        <v>23</v>
      </c>
      <c r="G13" s="4">
        <v>0.0</v>
      </c>
    </row>
    <row r="14" ht="14.25" customHeight="1">
      <c r="B14" s="2" t="s">
        <v>8</v>
      </c>
      <c r="C14" s="4">
        <v>1400.0</v>
      </c>
      <c r="D14" s="32" t="s">
        <v>199</v>
      </c>
      <c r="F14" s="2" t="s">
        <v>24</v>
      </c>
      <c r="G14" s="4">
        <v>0.0</v>
      </c>
    </row>
    <row r="15" ht="14.25" customHeight="1">
      <c r="B15" s="2" t="s">
        <v>278</v>
      </c>
      <c r="C15" s="4">
        <v>20.0</v>
      </c>
      <c r="D15" s="32" t="s">
        <v>201</v>
      </c>
      <c r="F15" s="2" t="s">
        <v>25</v>
      </c>
      <c r="G15" s="4">
        <v>0.0</v>
      </c>
    </row>
    <row r="16" ht="14.25" customHeight="1">
      <c r="B16" s="2" t="s">
        <v>4</v>
      </c>
      <c r="C16" s="4">
        <v>13.0</v>
      </c>
      <c r="D16" s="32" t="s">
        <v>201</v>
      </c>
      <c r="F16" s="2" t="s">
        <v>27</v>
      </c>
      <c r="G16" s="26">
        <f>+C12</f>
        <v>0.02</v>
      </c>
      <c r="H16" s="4">
        <f>+C11*C10</f>
        <v>23000</v>
      </c>
    </row>
    <row r="17" ht="14.25" customHeight="1">
      <c r="B17" s="2" t="s">
        <v>200</v>
      </c>
      <c r="C17" s="4">
        <v>70.0</v>
      </c>
      <c r="D17" s="4" t="s">
        <v>201</v>
      </c>
      <c r="F17" s="2" t="s">
        <v>28</v>
      </c>
      <c r="G17" s="4">
        <f>+C18/C24+C22+C20</f>
        <v>763</v>
      </c>
    </row>
    <row r="18" ht="14.25" customHeight="1">
      <c r="B18" s="2" t="s">
        <v>301</v>
      </c>
      <c r="C18" s="4">
        <v>1200.0</v>
      </c>
      <c r="D18" s="4" t="s">
        <v>177</v>
      </c>
      <c r="F18" s="2" t="s">
        <v>30</v>
      </c>
      <c r="G18" s="26">
        <f>+C19+C21</f>
        <v>0.05</v>
      </c>
    </row>
    <row r="19" ht="14.25" customHeight="1">
      <c r="B19" s="2" t="s">
        <v>87</v>
      </c>
      <c r="C19" s="26">
        <v>0.01</v>
      </c>
      <c r="F19" s="2" t="s">
        <v>306</v>
      </c>
      <c r="G19" s="26">
        <f>+C25</f>
        <v>0.1</v>
      </c>
    </row>
    <row r="20" ht="14.25" customHeight="1">
      <c r="B20" s="2" t="s">
        <v>183</v>
      </c>
      <c r="C20" s="4">
        <v>93.0</v>
      </c>
      <c r="D20" s="4" t="s">
        <v>179</v>
      </c>
      <c r="F20" s="2" t="s">
        <v>175</v>
      </c>
      <c r="G20" s="4">
        <v>0.0</v>
      </c>
      <c r="H20" s="26">
        <f>+C26</f>
        <v>0.06</v>
      </c>
    </row>
    <row r="21" ht="14.25" customHeight="1">
      <c r="B21" s="2" t="s">
        <v>344</v>
      </c>
      <c r="C21" s="26">
        <v>0.04</v>
      </c>
    </row>
    <row r="22" ht="14.25" customHeight="1">
      <c r="B22" s="2" t="s">
        <v>345</v>
      </c>
      <c r="C22" s="4">
        <v>650.0</v>
      </c>
      <c r="D22" s="4" t="s">
        <v>179</v>
      </c>
      <c r="F22" s="2" t="s">
        <v>4</v>
      </c>
      <c r="G22" s="32">
        <f>+C16*C10</f>
        <v>29900</v>
      </c>
    </row>
    <row r="23" ht="14.25" customHeight="1">
      <c r="B23" s="2" t="s">
        <v>346</v>
      </c>
      <c r="C23" s="32">
        <v>15.0</v>
      </c>
      <c r="D23" s="4" t="s">
        <v>179</v>
      </c>
      <c r="F23" s="32"/>
      <c r="G23" s="32"/>
    </row>
    <row r="24" ht="14.25" customHeight="1">
      <c r="B24" s="2" t="s">
        <v>347</v>
      </c>
      <c r="C24" s="4">
        <v>60.0</v>
      </c>
      <c r="F24" s="2" t="s">
        <v>35</v>
      </c>
      <c r="G24" s="128">
        <f>+G11+G12+G13+G14+G15+G17</f>
        <v>294794.6667</v>
      </c>
    </row>
    <row r="25" ht="14.25" customHeight="1">
      <c r="B25" s="2" t="s">
        <v>77</v>
      </c>
      <c r="C25" s="26">
        <v>0.1</v>
      </c>
      <c r="F25" s="32"/>
      <c r="G25" s="128"/>
    </row>
    <row r="26" ht="14.25" customHeight="1">
      <c r="B26" s="2" t="s">
        <v>78</v>
      </c>
      <c r="C26" s="26">
        <v>0.06</v>
      </c>
      <c r="F26" s="2" t="s">
        <v>36</v>
      </c>
      <c r="G26" s="128">
        <f>(G24+(G22*H20)-G20)/(1-(G18+G19)+H20)</f>
        <v>325921.6117</v>
      </c>
    </row>
    <row r="27" ht="14.25" customHeight="1">
      <c r="F27" s="2" t="s">
        <v>37</v>
      </c>
      <c r="G27" s="128">
        <f>(G24+H16+(G22*H20)-G20)/(1-(G18+G19+G16)+H20)</f>
        <v>359088.3895</v>
      </c>
      <c r="I27" s="123"/>
    </row>
    <row r="28" ht="14.25" customHeight="1">
      <c r="F28" s="2" t="s">
        <v>38</v>
      </c>
      <c r="G28" s="128">
        <f>+G27/C10</f>
        <v>156.1253867</v>
      </c>
    </row>
    <row r="29" ht="14.25" customHeight="1">
      <c r="J29" s="123"/>
    </row>
    <row r="30" ht="14.25" customHeight="1">
      <c r="I30" s="123"/>
    </row>
    <row r="31" ht="14.25" customHeight="1">
      <c r="I31" s="123"/>
      <c r="K31" s="123"/>
    </row>
    <row r="32" ht="14.25" customHeight="1">
      <c r="I32" s="123"/>
    </row>
    <row r="33" ht="14.25" customHeight="1"/>
    <row r="34" ht="14.25" customHeight="1">
      <c r="I34" s="123"/>
    </row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portrait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16.0"/>
    <col customWidth="1" min="3" max="5" width="8.63"/>
    <col customWidth="1" min="6" max="6" width="34.63"/>
    <col customWidth="1" min="7" max="26" width="8.63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>
      <c r="B9" s="2" t="s">
        <v>348</v>
      </c>
      <c r="C9" s="4">
        <v>700.0</v>
      </c>
      <c r="D9" s="4" t="s">
        <v>165</v>
      </c>
    </row>
    <row r="10" ht="14.25" customHeight="1">
      <c r="B10" s="2" t="s">
        <v>27</v>
      </c>
      <c r="C10" s="4">
        <v>5.0</v>
      </c>
      <c r="D10" s="4" t="s">
        <v>201</v>
      </c>
      <c r="F10" s="2" t="s">
        <v>304</v>
      </c>
      <c r="G10" s="4">
        <f>+((C12+C13)/C22)*C9</f>
        <v>2100</v>
      </c>
    </row>
    <row r="11" ht="14.25" customHeight="1">
      <c r="B11" s="2" t="s">
        <v>27</v>
      </c>
      <c r="C11" s="26">
        <v>0.1</v>
      </c>
      <c r="F11" s="2" t="s">
        <v>305</v>
      </c>
      <c r="G11" s="4">
        <f>+(C15*C9+C17)/C22</f>
        <v>234.5</v>
      </c>
    </row>
    <row r="12" ht="14.25" customHeight="1">
      <c r="B12" s="2" t="s">
        <v>198</v>
      </c>
      <c r="C12" s="4">
        <v>80.0</v>
      </c>
      <c r="D12" s="4" t="s">
        <v>199</v>
      </c>
      <c r="F12" s="2" t="s">
        <v>23</v>
      </c>
      <c r="G12" s="4">
        <f>+C14</f>
        <v>60</v>
      </c>
    </row>
    <row r="13" ht="14.25" customHeight="1">
      <c r="B13" s="2" t="s">
        <v>8</v>
      </c>
      <c r="C13" s="4">
        <v>100.0</v>
      </c>
      <c r="D13" s="4" t="s">
        <v>199</v>
      </c>
      <c r="F13" s="2" t="s">
        <v>24</v>
      </c>
      <c r="G13" s="4">
        <v>0.0</v>
      </c>
    </row>
    <row r="14" ht="14.25" customHeight="1">
      <c r="B14" s="2" t="s">
        <v>349</v>
      </c>
      <c r="C14" s="4">
        <v>60.0</v>
      </c>
      <c r="D14" s="4" t="s">
        <v>179</v>
      </c>
      <c r="F14" s="2" t="s">
        <v>25</v>
      </c>
      <c r="G14" s="4">
        <v>0.0</v>
      </c>
    </row>
    <row r="15" ht="14.25" customHeight="1">
      <c r="B15" s="2" t="s">
        <v>200</v>
      </c>
      <c r="C15" s="4">
        <v>20.0</v>
      </c>
      <c r="D15" s="4" t="s">
        <v>199</v>
      </c>
      <c r="F15" s="2" t="s">
        <v>27</v>
      </c>
      <c r="G15" s="26">
        <f>+C11</f>
        <v>0.1</v>
      </c>
      <c r="H15" s="4">
        <f>+C10*C9</f>
        <v>3500</v>
      </c>
    </row>
    <row r="16" ht="14.25" customHeight="1">
      <c r="B16" s="2" t="s">
        <v>176</v>
      </c>
      <c r="C16" s="4">
        <v>950.0</v>
      </c>
      <c r="D16" s="4" t="s">
        <v>177</v>
      </c>
      <c r="F16" s="2" t="s">
        <v>28</v>
      </c>
      <c r="G16" s="4">
        <f>+(C21+C19+C16)/C22</f>
        <v>69.16666667</v>
      </c>
    </row>
    <row r="17" ht="14.25" customHeight="1">
      <c r="B17" s="2" t="s">
        <v>350</v>
      </c>
      <c r="C17" s="4">
        <v>70.0</v>
      </c>
      <c r="D17" s="4" t="s">
        <v>177</v>
      </c>
      <c r="F17" s="2" t="s">
        <v>30</v>
      </c>
      <c r="G17" s="26">
        <f>+C18+C20</f>
        <v>0.04</v>
      </c>
    </row>
    <row r="18" ht="14.25" customHeight="1">
      <c r="B18" s="2" t="s">
        <v>87</v>
      </c>
      <c r="C18" s="26">
        <v>0.02</v>
      </c>
      <c r="F18" s="2" t="s">
        <v>306</v>
      </c>
      <c r="G18" s="26">
        <f>+C23</f>
        <v>0.1</v>
      </c>
    </row>
    <row r="19" ht="14.25" customHeight="1">
      <c r="B19" s="2" t="s">
        <v>183</v>
      </c>
      <c r="C19" s="4">
        <v>200.0</v>
      </c>
      <c r="D19" s="4" t="s">
        <v>177</v>
      </c>
      <c r="F19" s="2" t="s">
        <v>175</v>
      </c>
      <c r="G19" s="4">
        <v>0.0</v>
      </c>
      <c r="H19" s="26">
        <f>+C24</f>
        <v>0.06</v>
      </c>
    </row>
    <row r="20" ht="14.25" customHeight="1">
      <c r="B20" s="2" t="s">
        <v>271</v>
      </c>
      <c r="C20" s="26">
        <v>0.02</v>
      </c>
    </row>
    <row r="21" ht="14.25" customHeight="1">
      <c r="B21" s="2" t="s">
        <v>351</v>
      </c>
      <c r="C21" s="4">
        <v>3000.0</v>
      </c>
      <c r="D21" s="4" t="s">
        <v>177</v>
      </c>
      <c r="F21" s="2" t="s">
        <v>4</v>
      </c>
      <c r="G21" s="32">
        <v>0.0</v>
      </c>
    </row>
    <row r="22" ht="14.25" customHeight="1">
      <c r="B22" s="2" t="s">
        <v>347</v>
      </c>
      <c r="C22" s="32">
        <v>60.0</v>
      </c>
      <c r="D22" s="4" t="s">
        <v>196</v>
      </c>
      <c r="F22" s="32"/>
      <c r="G22" s="32"/>
    </row>
    <row r="23" ht="14.25" customHeight="1">
      <c r="B23" s="2" t="s">
        <v>77</v>
      </c>
      <c r="C23" s="26">
        <v>0.1</v>
      </c>
      <c r="F23" s="2" t="s">
        <v>35</v>
      </c>
      <c r="G23" s="32">
        <f>+G10+G11+G12+G13+G14+G16</f>
        <v>2463.666667</v>
      </c>
    </row>
    <row r="24" ht="14.25" customHeight="1">
      <c r="B24" s="2" t="s">
        <v>78</v>
      </c>
      <c r="C24" s="26">
        <v>0.06</v>
      </c>
      <c r="F24" s="32"/>
      <c r="G24" s="32"/>
    </row>
    <row r="25" ht="14.25" customHeight="1">
      <c r="F25" s="2" t="s">
        <v>36</v>
      </c>
      <c r="G25" s="32">
        <f>(G23+(G21*H19)-G19)/(1-(G17+G18)+H19)</f>
        <v>2677.898551</v>
      </c>
    </row>
    <row r="26" ht="14.25" customHeight="1">
      <c r="F26" s="2" t="s">
        <v>37</v>
      </c>
      <c r="G26" s="32">
        <f>(G23+H15+(G21*H19)-G19)/(1-(G17+G18+G15)+H19)</f>
        <v>7272.764228</v>
      </c>
    </row>
    <row r="27" ht="14.25" customHeight="1">
      <c r="F27" s="2" t="s">
        <v>38</v>
      </c>
      <c r="G27" s="32">
        <f>+G26/C9</f>
        <v>10.38966318</v>
      </c>
    </row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8" width="8.63"/>
    <col customWidth="1" min="9" max="9" width="30.25"/>
    <col customWidth="1" min="10" max="10" width="11.0"/>
    <col customWidth="1" min="11" max="11" width="6.5"/>
    <col customWidth="1" min="12" max="12" width="9.0"/>
    <col customWidth="1" min="13" max="13" width="2.88"/>
    <col customWidth="1" min="14" max="14" width="3.63"/>
    <col customWidth="1" min="15" max="15" width="37.13"/>
    <col customWidth="1" min="16" max="16" width="10.63"/>
    <col customWidth="1" min="17" max="26" width="8.63"/>
  </cols>
  <sheetData>
    <row r="1" ht="14.25" customHeight="1"/>
    <row r="2" ht="14.25" customHeight="1">
      <c r="I2" s="2" t="s">
        <v>352</v>
      </c>
      <c r="J2" s="4">
        <v>1550.0</v>
      </c>
      <c r="K2" s="4" t="s">
        <v>165</v>
      </c>
    </row>
    <row r="3" ht="14.25" customHeight="1">
      <c r="I3" s="2" t="s">
        <v>353</v>
      </c>
      <c r="J3" s="4">
        <v>80.0</v>
      </c>
      <c r="K3" s="4" t="s">
        <v>179</v>
      </c>
      <c r="N3" s="4">
        <v>1.0</v>
      </c>
      <c r="O3" s="2" t="s">
        <v>354</v>
      </c>
      <c r="P3" s="148">
        <f>+J3+J6*J2+(J16/J18)</f>
        <v>38869.28571</v>
      </c>
    </row>
    <row r="4" ht="14.25" customHeight="1">
      <c r="I4" s="2" t="s">
        <v>198</v>
      </c>
      <c r="J4" s="4">
        <f>+J3*0.85</f>
        <v>68</v>
      </c>
      <c r="K4" s="4" t="s">
        <v>179</v>
      </c>
      <c r="N4" s="4">
        <v>2.0</v>
      </c>
      <c r="O4" s="2" t="s">
        <v>22</v>
      </c>
      <c r="P4" s="148">
        <f>+J10</f>
        <v>95</v>
      </c>
    </row>
    <row r="5" ht="14.25" customHeight="1">
      <c r="I5" s="2" t="s">
        <v>278</v>
      </c>
      <c r="J5" s="4">
        <f>+J3*0.15</f>
        <v>12</v>
      </c>
      <c r="K5" s="4" t="s">
        <v>179</v>
      </c>
      <c r="N5" s="4">
        <v>3.0</v>
      </c>
      <c r="O5" s="2" t="s">
        <v>355</v>
      </c>
      <c r="P5" s="148">
        <f>+J17/1000*J2</f>
        <v>1240</v>
      </c>
    </row>
    <row r="6" ht="14.25" customHeight="1">
      <c r="I6" s="2" t="s">
        <v>8</v>
      </c>
      <c r="J6" s="4">
        <v>25.0</v>
      </c>
      <c r="K6" s="4" t="s">
        <v>201</v>
      </c>
      <c r="N6" s="32">
        <v>4.0</v>
      </c>
      <c r="O6" s="2" t="s">
        <v>24</v>
      </c>
      <c r="P6" s="148">
        <v>0.0</v>
      </c>
    </row>
    <row r="7" ht="14.25" customHeight="1">
      <c r="I7" s="2" t="s">
        <v>87</v>
      </c>
      <c r="J7" s="26">
        <v>0.01</v>
      </c>
      <c r="N7" s="32">
        <v>5.0</v>
      </c>
      <c r="O7" s="2" t="s">
        <v>25</v>
      </c>
      <c r="P7" s="148">
        <v>0.0</v>
      </c>
    </row>
    <row r="8" ht="14.25" customHeight="1">
      <c r="I8" s="2" t="s">
        <v>176</v>
      </c>
      <c r="J8" s="4">
        <v>180.0</v>
      </c>
      <c r="K8" s="4" t="s">
        <v>179</v>
      </c>
      <c r="N8" s="32">
        <v>6.0</v>
      </c>
      <c r="O8" s="2" t="s">
        <v>356</v>
      </c>
      <c r="P8" s="148">
        <f>+J14*J2/(1-0.35)</f>
        <v>5365.384615</v>
      </c>
    </row>
    <row r="9" ht="14.25" customHeight="1">
      <c r="I9" s="2" t="s">
        <v>357</v>
      </c>
      <c r="J9" s="4">
        <v>115000.0</v>
      </c>
      <c r="K9" s="4" t="s">
        <v>177</v>
      </c>
      <c r="N9" s="32">
        <v>7.0</v>
      </c>
      <c r="O9" s="2" t="s">
        <v>28</v>
      </c>
      <c r="P9" s="148">
        <f>+J8+J9/J18+J13/J18</f>
        <v>327.7806122</v>
      </c>
    </row>
    <row r="10" ht="14.25" customHeight="1">
      <c r="I10" s="2" t="s">
        <v>358</v>
      </c>
      <c r="J10" s="4">
        <v>95.0</v>
      </c>
      <c r="K10" s="4" t="s">
        <v>179</v>
      </c>
      <c r="N10" s="32">
        <v>8.0</v>
      </c>
      <c r="O10" s="2" t="s">
        <v>30</v>
      </c>
      <c r="P10" s="26">
        <f>+J7</f>
        <v>0.01</v>
      </c>
    </row>
    <row r="11" ht="14.25" customHeight="1">
      <c r="I11" s="2" t="s">
        <v>359</v>
      </c>
      <c r="J11" s="4">
        <v>4.5</v>
      </c>
      <c r="K11" s="4" t="s">
        <v>201</v>
      </c>
      <c r="N11" s="32">
        <v>9.0</v>
      </c>
      <c r="O11" s="2" t="s">
        <v>32</v>
      </c>
      <c r="P11" s="26">
        <f>+J19</f>
        <v>0.05</v>
      </c>
    </row>
    <row r="12" ht="14.25" customHeight="1">
      <c r="I12" s="2" t="s">
        <v>251</v>
      </c>
      <c r="J12" s="4">
        <v>1500.0</v>
      </c>
      <c r="K12" s="4" t="s">
        <v>179</v>
      </c>
      <c r="N12" s="32">
        <v>10.0</v>
      </c>
      <c r="O12" s="2" t="s">
        <v>33</v>
      </c>
      <c r="P12" s="4">
        <f>+J21*J2</f>
        <v>852.5</v>
      </c>
      <c r="Q12" s="25">
        <f>+J20</f>
        <v>0.035</v>
      </c>
    </row>
    <row r="13" ht="14.25" customHeight="1">
      <c r="I13" s="2" t="s">
        <v>183</v>
      </c>
      <c r="J13" s="4">
        <v>29825.0</v>
      </c>
      <c r="K13" s="4" t="s">
        <v>177</v>
      </c>
    </row>
    <row r="14" ht="14.25" customHeight="1">
      <c r="I14" s="2" t="s">
        <v>17</v>
      </c>
      <c r="J14" s="4">
        <v>2.25</v>
      </c>
      <c r="K14" s="4" t="s">
        <v>201</v>
      </c>
      <c r="O14" s="2" t="s">
        <v>360</v>
      </c>
      <c r="P14" s="4">
        <f>+J11*J2</f>
        <v>6975</v>
      </c>
    </row>
    <row r="15" ht="14.25" customHeight="1">
      <c r="I15" s="2" t="s">
        <v>361</v>
      </c>
      <c r="J15" s="4">
        <v>505.0</v>
      </c>
      <c r="K15" s="4" t="s">
        <v>179</v>
      </c>
      <c r="O15" s="2" t="s">
        <v>265</v>
      </c>
      <c r="P15" s="4">
        <f>+J12</f>
        <v>1500</v>
      </c>
    </row>
    <row r="16" ht="14.25" customHeight="1">
      <c r="I16" s="2" t="s">
        <v>185</v>
      </c>
      <c r="J16" s="4">
        <v>38500.0</v>
      </c>
      <c r="K16" s="4" t="s">
        <v>177</v>
      </c>
      <c r="O16" s="2" t="s">
        <v>321</v>
      </c>
      <c r="P16" s="4">
        <f>+(P15+P14)*0.01</f>
        <v>84.75</v>
      </c>
    </row>
    <row r="17" ht="14.25" customHeight="1">
      <c r="I17" s="2" t="s">
        <v>207</v>
      </c>
      <c r="J17" s="4">
        <v>800.0</v>
      </c>
      <c r="K17" s="4" t="s">
        <v>179</v>
      </c>
      <c r="L17" s="123" t="s">
        <v>362</v>
      </c>
      <c r="O17" s="2" t="s">
        <v>4</v>
      </c>
      <c r="P17" s="4">
        <f>+SUM(P14:P16)</f>
        <v>8559.75</v>
      </c>
    </row>
    <row r="18" ht="14.25" customHeight="1">
      <c r="I18" s="2" t="s">
        <v>195</v>
      </c>
      <c r="J18" s="4">
        <v>980.0</v>
      </c>
      <c r="K18" s="4" t="s">
        <v>196</v>
      </c>
      <c r="L18" s="149" t="s">
        <v>363</v>
      </c>
    </row>
    <row r="19" ht="14.25" customHeight="1">
      <c r="I19" s="2" t="s">
        <v>77</v>
      </c>
      <c r="J19" s="26">
        <v>0.05</v>
      </c>
      <c r="O19" s="2" t="s">
        <v>35</v>
      </c>
      <c r="P19" s="148">
        <f>P3+P4+P5+P6+P7+P9</f>
        <v>40532.06633</v>
      </c>
    </row>
    <row r="20" ht="14.25" customHeight="1">
      <c r="I20" s="2" t="s">
        <v>78</v>
      </c>
      <c r="J20" s="25">
        <v>0.035</v>
      </c>
    </row>
    <row r="21" ht="14.25" customHeight="1">
      <c r="I21" s="2" t="s">
        <v>194</v>
      </c>
      <c r="J21" s="4">
        <v>0.55</v>
      </c>
      <c r="K21" s="4" t="s">
        <v>201</v>
      </c>
      <c r="O21" s="2" t="s">
        <v>36</v>
      </c>
      <c r="P21" s="4">
        <f>(P19+(P17*Q12)-P12)/(1-(P10+P11)+Q12)</f>
        <v>41004.26418</v>
      </c>
    </row>
    <row r="22" ht="14.25" customHeight="1">
      <c r="O22" s="2" t="s">
        <v>364</v>
      </c>
      <c r="P22" s="32">
        <f>(P19+P8+(P17*Q12)-P12)/(1-(P10+P11)+Q12)</f>
        <v>46507.22276</v>
      </c>
    </row>
    <row r="23" ht="14.25" customHeight="1">
      <c r="L23" s="149" t="s">
        <v>365</v>
      </c>
      <c r="O23" s="2" t="s">
        <v>366</v>
      </c>
      <c r="P23" s="4">
        <f>+P22/J2</f>
        <v>30.00465985</v>
      </c>
    </row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>
      <c r="I34" s="14" t="s">
        <v>352</v>
      </c>
      <c r="J34" s="129">
        <v>1550.0</v>
      </c>
      <c r="K34" s="14" t="s">
        <v>165</v>
      </c>
      <c r="L34" s="14"/>
      <c r="M34" s="14"/>
      <c r="N34" s="14" t="s">
        <v>367</v>
      </c>
      <c r="O34" s="129">
        <f>J34*(J37)+J35+J36+J47/J49</f>
        <v>38869.28571</v>
      </c>
      <c r="P34" s="14"/>
      <c r="Q34" s="14"/>
    </row>
    <row r="35" ht="14.25" customHeight="1">
      <c r="I35" s="14" t="s">
        <v>198</v>
      </c>
      <c r="J35" s="129">
        <f>80*0.85</f>
        <v>68</v>
      </c>
      <c r="K35" s="14" t="s">
        <v>179</v>
      </c>
      <c r="L35" s="14"/>
      <c r="M35" s="14"/>
      <c r="N35" s="14" t="s">
        <v>368</v>
      </c>
      <c r="O35" s="129">
        <f>0</f>
        <v>0</v>
      </c>
      <c r="P35" s="14"/>
      <c r="Q35" s="14"/>
    </row>
    <row r="36" ht="14.25" customHeight="1">
      <c r="I36" s="14" t="s">
        <v>278</v>
      </c>
      <c r="J36" s="129">
        <f>80*0.15</f>
        <v>12</v>
      </c>
      <c r="K36" s="14"/>
      <c r="L36" s="14"/>
      <c r="M36" s="14"/>
      <c r="N36" s="14" t="s">
        <v>369</v>
      </c>
      <c r="O36" s="129">
        <v>800.0</v>
      </c>
      <c r="P36" s="14"/>
      <c r="Q36" s="14"/>
    </row>
    <row r="37" ht="14.25" customHeight="1">
      <c r="I37" s="14" t="s">
        <v>227</v>
      </c>
      <c r="J37" s="129">
        <v>25.0</v>
      </c>
      <c r="K37" s="14" t="s">
        <v>201</v>
      </c>
      <c r="L37" s="14"/>
      <c r="M37" s="14"/>
      <c r="N37" s="14" t="s">
        <v>370</v>
      </c>
      <c r="O37" s="129">
        <v>0.0</v>
      </c>
      <c r="P37" s="14"/>
      <c r="Q37" s="14"/>
    </row>
    <row r="38" ht="14.25" customHeight="1">
      <c r="I38" s="14" t="s">
        <v>87</v>
      </c>
      <c r="J38" s="150">
        <v>0.01</v>
      </c>
      <c r="K38" s="14"/>
      <c r="L38" s="14"/>
      <c r="M38" s="14"/>
      <c r="N38" s="14" t="s">
        <v>371</v>
      </c>
      <c r="O38" s="129">
        <v>0.0</v>
      </c>
      <c r="P38" s="14"/>
      <c r="Q38" s="14"/>
    </row>
    <row r="39" ht="14.25" customHeight="1">
      <c r="I39" s="14" t="s">
        <v>372</v>
      </c>
      <c r="J39" s="129">
        <v>180.0</v>
      </c>
      <c r="K39" s="14" t="s">
        <v>179</v>
      </c>
      <c r="L39" s="14"/>
      <c r="M39" s="14"/>
      <c r="N39" s="14" t="s">
        <v>232</v>
      </c>
      <c r="O39" s="129">
        <f>J45*J34</f>
        <v>3487.5</v>
      </c>
      <c r="P39" s="14"/>
      <c r="Q39" s="14"/>
    </row>
    <row r="40" ht="14.25" customHeight="1">
      <c r="I40" s="14" t="s">
        <v>373</v>
      </c>
      <c r="J40" s="129">
        <v>115000.0</v>
      </c>
      <c r="K40" s="14" t="s">
        <v>177</v>
      </c>
      <c r="L40" s="14"/>
      <c r="M40" s="14"/>
      <c r="N40" s="14" t="s">
        <v>374</v>
      </c>
      <c r="O40" s="129">
        <f>J39+J40/J49+J41+J44/J49</f>
        <v>422.7806122</v>
      </c>
      <c r="P40" s="14"/>
      <c r="Q40" s="14"/>
    </row>
    <row r="41" ht="14.25" customHeight="1">
      <c r="I41" s="14" t="s">
        <v>178</v>
      </c>
      <c r="J41" s="129">
        <v>95.0</v>
      </c>
      <c r="K41" s="14" t="s">
        <v>179</v>
      </c>
      <c r="L41" s="14"/>
      <c r="M41" s="14"/>
      <c r="N41" s="14" t="s">
        <v>375</v>
      </c>
      <c r="O41" s="150">
        <f>J38</f>
        <v>0.01</v>
      </c>
      <c r="P41" s="14"/>
      <c r="Q41" s="14"/>
    </row>
    <row r="42" ht="14.25" customHeight="1">
      <c r="I42" s="14" t="s">
        <v>376</v>
      </c>
      <c r="J42" s="129">
        <v>4.5</v>
      </c>
      <c r="K42" s="14" t="s">
        <v>201</v>
      </c>
      <c r="L42" s="14"/>
      <c r="M42" s="14"/>
      <c r="N42" s="14" t="s">
        <v>377</v>
      </c>
      <c r="O42" s="150">
        <f t="shared" ref="O42:O43" si="1">J50</f>
        <v>0.05</v>
      </c>
      <c r="P42" s="14"/>
      <c r="Q42" s="14"/>
    </row>
    <row r="43" ht="14.25" customHeight="1">
      <c r="I43" s="14" t="s">
        <v>378</v>
      </c>
      <c r="J43" s="129">
        <v>1500.0</v>
      </c>
      <c r="K43" s="14" t="s">
        <v>179</v>
      </c>
      <c r="L43" s="14"/>
      <c r="M43" s="14"/>
      <c r="N43" s="14" t="s">
        <v>379</v>
      </c>
      <c r="O43" s="151">
        <f t="shared" si="1"/>
        <v>0.035</v>
      </c>
      <c r="P43" s="129">
        <f>J52*J34</f>
        <v>852.5</v>
      </c>
      <c r="Q43" s="14"/>
    </row>
    <row r="44" ht="14.25" customHeight="1">
      <c r="I44" s="14" t="s">
        <v>244</v>
      </c>
      <c r="J44" s="129">
        <v>29825.0</v>
      </c>
      <c r="K44" s="14" t="s">
        <v>177</v>
      </c>
      <c r="L44" s="14"/>
      <c r="M44" s="14"/>
      <c r="N44" s="14"/>
      <c r="O44" s="14"/>
      <c r="P44" s="14"/>
      <c r="Q44" s="14"/>
    </row>
    <row r="45" ht="14.25" customHeight="1">
      <c r="I45" s="14" t="s">
        <v>17</v>
      </c>
      <c r="J45" s="129">
        <v>2.25</v>
      </c>
      <c r="K45" s="14" t="s">
        <v>201</v>
      </c>
      <c r="L45" s="14"/>
      <c r="M45" s="14"/>
      <c r="N45" s="14" t="s">
        <v>243</v>
      </c>
      <c r="O45" s="129">
        <f>SUM(O34:O38)+O40</f>
        <v>40092.06633</v>
      </c>
      <c r="P45" s="14"/>
      <c r="Q45" s="14"/>
    </row>
    <row r="46" ht="14.25" customHeight="1">
      <c r="I46" s="14" t="s">
        <v>380</v>
      </c>
      <c r="J46" s="129">
        <v>505.0</v>
      </c>
      <c r="K46" s="14" t="s">
        <v>179</v>
      </c>
      <c r="L46" s="14"/>
      <c r="M46" s="14"/>
      <c r="N46" s="14" t="s">
        <v>245</v>
      </c>
      <c r="O46" s="129">
        <f>(J42*J34+J43)*1.01</f>
        <v>8559.75</v>
      </c>
      <c r="P46" s="14"/>
      <c r="Q46" s="14"/>
    </row>
    <row r="47" ht="14.25" customHeight="1">
      <c r="I47" s="14" t="s">
        <v>381</v>
      </c>
      <c r="J47" s="129">
        <v>38500.0</v>
      </c>
      <c r="K47" s="14" t="s">
        <v>177</v>
      </c>
      <c r="L47" s="14"/>
      <c r="M47" s="14"/>
      <c r="N47" s="14"/>
      <c r="O47" s="14"/>
      <c r="P47" s="14"/>
      <c r="Q47" s="14"/>
    </row>
    <row r="48" ht="14.25" customHeight="1">
      <c r="I48" s="14" t="s">
        <v>382</v>
      </c>
      <c r="J48" s="129">
        <f>800/1000</f>
        <v>0.8</v>
      </c>
      <c r="K48" s="14" t="s">
        <v>179</v>
      </c>
      <c r="L48" s="14"/>
      <c r="M48" s="14"/>
      <c r="N48" s="14" t="s">
        <v>248</v>
      </c>
      <c r="O48" s="129">
        <f>(O34+(O46*O43)-P43)/(1-(O41+O42)+O43)</f>
        <v>39298.84817</v>
      </c>
      <c r="P48" s="14"/>
      <c r="Q48" s="14"/>
    </row>
    <row r="49" ht="14.25" customHeight="1">
      <c r="I49" s="14" t="s">
        <v>256</v>
      </c>
      <c r="J49" s="129">
        <v>980.0</v>
      </c>
      <c r="K49" s="14"/>
      <c r="L49" s="14"/>
      <c r="M49" s="14"/>
      <c r="N49" s="14" t="s">
        <v>37</v>
      </c>
      <c r="O49" s="129">
        <f>(O34+(O46*O43)-P43+O39)/(1-(O41+O42)+O43)</f>
        <v>42875.77125</v>
      </c>
      <c r="P49" s="14"/>
      <c r="Q49" s="14"/>
    </row>
    <row r="50" ht="14.25" customHeight="1">
      <c r="I50" s="14" t="s">
        <v>77</v>
      </c>
      <c r="J50" s="150">
        <v>0.05</v>
      </c>
      <c r="K50" s="14"/>
      <c r="L50" s="14"/>
      <c r="M50" s="14"/>
      <c r="N50" s="14"/>
      <c r="O50" s="14"/>
      <c r="P50" s="14"/>
      <c r="Q50" s="14"/>
    </row>
    <row r="51" ht="14.25" customHeight="1">
      <c r="I51" s="14" t="s">
        <v>78</v>
      </c>
      <c r="J51" s="151">
        <v>0.035</v>
      </c>
      <c r="K51" s="14"/>
      <c r="L51" s="14"/>
      <c r="M51" s="14"/>
      <c r="N51" s="14"/>
      <c r="O51" s="14"/>
      <c r="P51" s="14"/>
      <c r="Q51" s="14"/>
    </row>
    <row r="52" ht="14.25" customHeight="1">
      <c r="I52" s="14" t="s">
        <v>194</v>
      </c>
      <c r="J52" s="129">
        <v>0.55</v>
      </c>
      <c r="K52" s="14" t="s">
        <v>179</v>
      </c>
      <c r="L52" s="14"/>
      <c r="M52" s="14"/>
      <c r="N52" s="14"/>
      <c r="O52" s="14"/>
      <c r="P52" s="14"/>
      <c r="Q52" s="14"/>
    </row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L18:M22"/>
    <mergeCell ref="L23:M25"/>
  </mergeCells>
  <printOptions/>
  <pageMargins bottom="0.75" footer="0.0" header="0.0" left="0.7" right="0.7" top="0.75"/>
  <pageSetup orientation="landscape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9" width="8.63"/>
    <col customWidth="1" min="10" max="10" width="21.63"/>
    <col customWidth="1" min="11" max="11" width="0.38"/>
    <col customWidth="1" min="12" max="12" width="21.75"/>
    <col customWidth="1" min="13" max="14" width="8.63"/>
    <col customWidth="1" min="15" max="15" width="10.5"/>
    <col customWidth="1" min="16" max="16" width="9.5"/>
    <col customWidth="1" min="17" max="17" width="39.0"/>
    <col customWidth="1" min="18" max="26" width="8.63"/>
  </cols>
  <sheetData>
    <row r="1" ht="14.25" customHeight="1">
      <c r="L1" s="2" t="s">
        <v>275</v>
      </c>
      <c r="M1" s="4">
        <v>500.0</v>
      </c>
    </row>
    <row r="2" ht="14.25" customHeight="1">
      <c r="L2" s="2" t="s">
        <v>343</v>
      </c>
      <c r="M2" s="4">
        <f>+M1*24</f>
        <v>12000</v>
      </c>
      <c r="N2" s="4" t="s">
        <v>165</v>
      </c>
      <c r="P2" s="32">
        <v>1.0</v>
      </c>
      <c r="Q2" s="2" t="s">
        <v>354</v>
      </c>
      <c r="R2" s="147">
        <f>+(M3*M1+(M4+M5)*M2)/M21+M6*M2+M8+M9*M1</f>
        <v>34797.77778</v>
      </c>
    </row>
    <row r="3" ht="14.25" customHeight="1">
      <c r="L3" s="2" t="s">
        <v>8</v>
      </c>
      <c r="M3" s="4">
        <v>1000.0</v>
      </c>
      <c r="N3" s="4" t="s">
        <v>277</v>
      </c>
      <c r="P3" s="32">
        <v>2.0</v>
      </c>
      <c r="Q3" s="2" t="s">
        <v>22</v>
      </c>
      <c r="R3" s="4">
        <f>+M10+M11</f>
        <v>80</v>
      </c>
    </row>
    <row r="4" ht="14.25" customHeight="1">
      <c r="L4" s="2" t="s">
        <v>276</v>
      </c>
      <c r="M4" s="4">
        <v>30.0</v>
      </c>
      <c r="N4" s="4" t="s">
        <v>199</v>
      </c>
      <c r="P4" s="32">
        <v>3.0</v>
      </c>
      <c r="Q4" s="2" t="s">
        <v>355</v>
      </c>
      <c r="R4" s="4">
        <v>0.0</v>
      </c>
    </row>
    <row r="5" ht="14.25" customHeight="1">
      <c r="L5" s="2" t="s">
        <v>198</v>
      </c>
      <c r="M5" s="4">
        <v>15.0</v>
      </c>
      <c r="N5" s="4" t="s">
        <v>199</v>
      </c>
      <c r="P5" s="32">
        <v>4.0</v>
      </c>
      <c r="Q5" s="2" t="s">
        <v>24</v>
      </c>
      <c r="R5" s="4">
        <v>0.0</v>
      </c>
    </row>
    <row r="6" ht="14.25" customHeight="1">
      <c r="L6" s="2" t="s">
        <v>278</v>
      </c>
      <c r="M6" s="4">
        <v>2.0</v>
      </c>
      <c r="N6" s="4" t="s">
        <v>201</v>
      </c>
      <c r="P6" s="32">
        <v>5.0</v>
      </c>
      <c r="Q6" s="2" t="s">
        <v>25</v>
      </c>
      <c r="R6" s="4">
        <v>0.0</v>
      </c>
    </row>
    <row r="7" ht="14.25" customHeight="1">
      <c r="L7" s="2" t="s">
        <v>4</v>
      </c>
      <c r="M7" s="4">
        <v>0.5</v>
      </c>
      <c r="N7" s="4" t="s">
        <v>201</v>
      </c>
      <c r="P7" s="32">
        <v>6.0</v>
      </c>
      <c r="Q7" s="2" t="s">
        <v>356</v>
      </c>
      <c r="R7" s="26">
        <f>+M18</f>
        <v>0.2</v>
      </c>
    </row>
    <row r="8" ht="14.25" customHeight="1">
      <c r="L8" s="2" t="s">
        <v>383</v>
      </c>
      <c r="M8" s="4">
        <v>20.0</v>
      </c>
      <c r="N8" s="4" t="s">
        <v>179</v>
      </c>
      <c r="P8" s="32">
        <v>7.0</v>
      </c>
      <c r="Q8" s="2" t="s">
        <v>28</v>
      </c>
      <c r="R8" s="147">
        <f>+M13+M16+M17/M21</f>
        <v>196.6666667</v>
      </c>
    </row>
    <row r="9" ht="14.25" customHeight="1">
      <c r="L9" s="2" t="s">
        <v>281</v>
      </c>
      <c r="M9" s="4">
        <v>10.0</v>
      </c>
      <c r="N9" s="4" t="s">
        <v>279</v>
      </c>
      <c r="P9" s="32">
        <v>8.0</v>
      </c>
      <c r="Q9" s="2" t="s">
        <v>30</v>
      </c>
      <c r="R9" s="26">
        <f>+M14+M15</f>
        <v>0.035</v>
      </c>
    </row>
    <row r="10" ht="14.25" customHeight="1">
      <c r="L10" s="2" t="s">
        <v>384</v>
      </c>
      <c r="M10" s="4">
        <v>50.0</v>
      </c>
      <c r="N10" s="4" t="s">
        <v>179</v>
      </c>
      <c r="P10" s="32">
        <v>9.0</v>
      </c>
      <c r="Q10" s="2" t="s">
        <v>32</v>
      </c>
      <c r="R10" s="26">
        <f>+M19</f>
        <v>0.06</v>
      </c>
    </row>
    <row r="11" ht="14.25" customHeight="1">
      <c r="L11" s="2" t="s">
        <v>178</v>
      </c>
      <c r="M11" s="4">
        <v>30.0</v>
      </c>
      <c r="N11" s="4" t="s">
        <v>179</v>
      </c>
      <c r="P11" s="32">
        <v>10.0</v>
      </c>
      <c r="Q11" s="2" t="s">
        <v>33</v>
      </c>
      <c r="R11" s="4">
        <f>+M12*M1</f>
        <v>12000</v>
      </c>
      <c r="S11" s="26">
        <f>+M20</f>
        <v>0.04</v>
      </c>
    </row>
    <row r="12" ht="14.25" customHeight="1">
      <c r="L12" s="2" t="s">
        <v>194</v>
      </c>
      <c r="M12" s="4">
        <v>24.0</v>
      </c>
      <c r="N12" s="4" t="s">
        <v>279</v>
      </c>
    </row>
    <row r="13" ht="14.25" customHeight="1">
      <c r="L13" s="2" t="s">
        <v>283</v>
      </c>
      <c r="M13" s="4">
        <v>150.0</v>
      </c>
      <c r="N13" s="4" t="s">
        <v>179</v>
      </c>
      <c r="Q13" s="2" t="s">
        <v>4</v>
      </c>
      <c r="R13" s="4">
        <f>+M7*M2</f>
        <v>6000</v>
      </c>
    </row>
    <row r="14" ht="14.25" customHeight="1">
      <c r="L14" s="2" t="s">
        <v>87</v>
      </c>
      <c r="M14" s="25">
        <v>0.015</v>
      </c>
    </row>
    <row r="15" ht="14.25" customHeight="1">
      <c r="L15" s="2" t="s">
        <v>183</v>
      </c>
      <c r="M15" s="26">
        <v>0.02</v>
      </c>
      <c r="Q15" s="2" t="s">
        <v>35</v>
      </c>
      <c r="R15" s="147">
        <f>+R2+R3+R8</f>
        <v>35074.44444</v>
      </c>
    </row>
    <row r="16" ht="14.25" customHeight="1">
      <c r="L16" s="2" t="s">
        <v>183</v>
      </c>
      <c r="M16" s="4">
        <v>30.0</v>
      </c>
      <c r="N16" s="4" t="s">
        <v>179</v>
      </c>
    </row>
    <row r="17" ht="14.25" customHeight="1">
      <c r="L17" s="2" t="s">
        <v>385</v>
      </c>
      <c r="M17" s="4">
        <v>3000.0</v>
      </c>
      <c r="N17" s="4" t="s">
        <v>177</v>
      </c>
      <c r="Q17" s="2" t="s">
        <v>248</v>
      </c>
      <c r="R17" s="147">
        <f>(R15+R13*S11-R11)/(1-(R9+R10)+S11)</f>
        <v>24671.36978</v>
      </c>
    </row>
    <row r="18" ht="14.25" customHeight="1">
      <c r="L18" s="2" t="s">
        <v>17</v>
      </c>
      <c r="M18" s="26">
        <v>0.2</v>
      </c>
      <c r="Q18" s="2" t="s">
        <v>37</v>
      </c>
      <c r="R18" s="147">
        <f>(R15+R13*S11-R11)/(1-(R9+R10+R7)+S11)</f>
        <v>31294.5563</v>
      </c>
    </row>
    <row r="19" ht="14.25" customHeight="1">
      <c r="L19" s="2" t="s">
        <v>77</v>
      </c>
      <c r="M19" s="26">
        <v>0.06</v>
      </c>
      <c r="Q19" s="2" t="s">
        <v>38</v>
      </c>
      <c r="R19" s="147">
        <f>+R18/M2</f>
        <v>2.607879692</v>
      </c>
    </row>
    <row r="20" ht="14.25" customHeight="1">
      <c r="L20" s="2" t="s">
        <v>78</v>
      </c>
      <c r="M20" s="26">
        <v>0.04</v>
      </c>
    </row>
    <row r="21" ht="14.25" customHeight="1">
      <c r="L21" s="2" t="s">
        <v>195</v>
      </c>
      <c r="M21" s="32">
        <v>180.0</v>
      </c>
      <c r="N21" s="4" t="s">
        <v>196</v>
      </c>
    </row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2" width="8.63"/>
    <col customWidth="1" min="13" max="13" width="44.63"/>
    <col customWidth="1" min="14" max="14" width="10.88"/>
    <col customWidth="1" min="15" max="16" width="8.63"/>
    <col customWidth="1" min="17" max="17" width="39.25"/>
    <col customWidth="1" min="18" max="26" width="8.63"/>
  </cols>
  <sheetData>
    <row r="1" ht="14.25" customHeight="1"/>
    <row r="2" ht="14.25" customHeight="1">
      <c r="M2" s="2" t="s">
        <v>275</v>
      </c>
      <c r="N2" s="3">
        <v>500.0</v>
      </c>
      <c r="O2" s="3"/>
    </row>
    <row r="3" ht="14.25" customHeight="1">
      <c r="M3" s="2" t="s">
        <v>343</v>
      </c>
      <c r="N3" s="3">
        <f>+N2*24</f>
        <v>12000</v>
      </c>
      <c r="O3" s="3" t="s">
        <v>165</v>
      </c>
    </row>
    <row r="4" ht="14.25" customHeight="1">
      <c r="M4" s="2" t="s">
        <v>8</v>
      </c>
      <c r="N4" s="3">
        <v>1000.0</v>
      </c>
      <c r="O4" s="3" t="s">
        <v>277</v>
      </c>
    </row>
    <row r="5" ht="14.25" customHeight="1">
      <c r="M5" s="2" t="s">
        <v>276</v>
      </c>
      <c r="N5" s="3">
        <v>30.0</v>
      </c>
      <c r="O5" s="3" t="s">
        <v>199</v>
      </c>
    </row>
    <row r="6" ht="14.25" customHeight="1">
      <c r="M6" s="2" t="s">
        <v>198</v>
      </c>
      <c r="N6" s="3">
        <v>15.0</v>
      </c>
      <c r="O6" s="3" t="s">
        <v>199</v>
      </c>
    </row>
    <row r="7" ht="14.25" customHeight="1">
      <c r="M7" s="2" t="s">
        <v>386</v>
      </c>
      <c r="N7" s="3">
        <v>2.0</v>
      </c>
      <c r="O7" s="3" t="s">
        <v>201</v>
      </c>
    </row>
    <row r="8" ht="14.25" customHeight="1">
      <c r="M8" s="2" t="s">
        <v>4</v>
      </c>
      <c r="N8" s="3">
        <v>0.5</v>
      </c>
      <c r="O8" s="3"/>
    </row>
    <row r="9" ht="14.25" customHeight="1">
      <c r="M9" s="2" t="s">
        <v>185</v>
      </c>
      <c r="N9" s="3">
        <v>20.0</v>
      </c>
      <c r="O9" s="3" t="s">
        <v>179</v>
      </c>
    </row>
    <row r="10" ht="14.25" customHeight="1">
      <c r="M10" s="2" t="s">
        <v>281</v>
      </c>
      <c r="N10" s="3">
        <v>10.0</v>
      </c>
      <c r="O10" s="3" t="s">
        <v>279</v>
      </c>
    </row>
    <row r="11" ht="14.25" customHeight="1">
      <c r="M11" s="2" t="s">
        <v>282</v>
      </c>
      <c r="N11" s="3">
        <v>50.0</v>
      </c>
      <c r="O11" s="3" t="s">
        <v>179</v>
      </c>
    </row>
    <row r="12" ht="14.25" customHeight="1">
      <c r="M12" s="2" t="s">
        <v>387</v>
      </c>
      <c r="N12" s="3">
        <v>30.0</v>
      </c>
      <c r="O12" s="3" t="s">
        <v>179</v>
      </c>
    </row>
    <row r="13" ht="14.25" customHeight="1">
      <c r="M13" s="2" t="s">
        <v>194</v>
      </c>
      <c r="N13" s="3">
        <v>24.0</v>
      </c>
      <c r="O13" s="3" t="s">
        <v>279</v>
      </c>
    </row>
    <row r="14" ht="14.25" customHeight="1">
      <c r="M14" s="2" t="s">
        <v>388</v>
      </c>
      <c r="N14" s="3">
        <v>150.0</v>
      </c>
      <c r="O14" s="3" t="s">
        <v>179</v>
      </c>
    </row>
    <row r="15" ht="14.25" customHeight="1">
      <c r="M15" s="2" t="s">
        <v>210</v>
      </c>
      <c r="N15" s="6">
        <v>0.015</v>
      </c>
      <c r="O15" s="3"/>
    </row>
    <row r="16" ht="14.25" customHeight="1">
      <c r="M16" s="2" t="s">
        <v>183</v>
      </c>
      <c r="N16" s="5">
        <v>0.02</v>
      </c>
      <c r="O16" s="3"/>
    </row>
    <row r="17" ht="14.25" customHeight="1">
      <c r="M17" s="2" t="s">
        <v>183</v>
      </c>
      <c r="N17" s="3">
        <v>30.0</v>
      </c>
      <c r="O17" s="3" t="s">
        <v>179</v>
      </c>
    </row>
    <row r="18" ht="14.25" customHeight="1">
      <c r="M18" s="2" t="s">
        <v>389</v>
      </c>
      <c r="N18" s="3">
        <v>3000.0</v>
      </c>
      <c r="O18" s="3" t="s">
        <v>177</v>
      </c>
    </row>
    <row r="19" ht="14.25" customHeight="1">
      <c r="M19" s="2" t="s">
        <v>17</v>
      </c>
      <c r="N19" s="5">
        <v>0.2</v>
      </c>
      <c r="O19" s="3"/>
    </row>
    <row r="20" ht="14.25" customHeight="1">
      <c r="M20" s="2" t="s">
        <v>77</v>
      </c>
      <c r="N20" s="5">
        <v>0.06</v>
      </c>
      <c r="O20" s="3"/>
    </row>
    <row r="21" ht="14.25" customHeight="1">
      <c r="M21" s="2" t="s">
        <v>78</v>
      </c>
      <c r="N21" s="5">
        <v>0.04</v>
      </c>
      <c r="O21" s="3"/>
    </row>
    <row r="22" ht="14.25" customHeight="1">
      <c r="M22" s="2" t="s">
        <v>195</v>
      </c>
      <c r="N22" s="3">
        <v>180.0</v>
      </c>
      <c r="O22" s="3" t="s">
        <v>196</v>
      </c>
    </row>
    <row r="23" ht="14.25" customHeight="1"/>
    <row r="24" ht="14.25" customHeight="1">
      <c r="M24" s="2" t="s">
        <v>162</v>
      </c>
      <c r="N24" s="147">
        <f>+(N4*N2+(N5+N6)*N3)/N22+N7*N3+N9+N10*N2</f>
        <v>34797.77778</v>
      </c>
    </row>
    <row r="25" ht="14.25" customHeight="1">
      <c r="D25" s="152"/>
      <c r="M25" s="2" t="s">
        <v>22</v>
      </c>
      <c r="N25" s="4">
        <v>0.0</v>
      </c>
    </row>
    <row r="26" ht="14.25" customHeight="1">
      <c r="M26" s="2" t="s">
        <v>163</v>
      </c>
      <c r="N26" s="4">
        <v>0.0</v>
      </c>
    </row>
    <row r="27" ht="14.25" customHeight="1">
      <c r="M27" s="2" t="s">
        <v>24</v>
      </c>
      <c r="N27" s="4">
        <v>0.0</v>
      </c>
    </row>
    <row r="28" ht="14.25" customHeight="1">
      <c r="M28" s="2" t="s">
        <v>25</v>
      </c>
      <c r="N28" s="4">
        <v>0.0</v>
      </c>
    </row>
    <row r="29" ht="14.25" customHeight="1">
      <c r="M29" s="2" t="s">
        <v>27</v>
      </c>
      <c r="N29" s="26">
        <f>+N19</f>
        <v>0.2</v>
      </c>
    </row>
    <row r="30" ht="14.25" customHeight="1">
      <c r="M30" s="2" t="s">
        <v>170</v>
      </c>
      <c r="N30" s="147">
        <f>+N11+N12+N14+N17+N18/N22</f>
        <v>276.6666667</v>
      </c>
    </row>
    <row r="31" ht="14.25" customHeight="1">
      <c r="M31" s="2" t="s">
        <v>172</v>
      </c>
      <c r="N31" s="153">
        <f>+N15+N16</f>
        <v>0.035</v>
      </c>
    </row>
    <row r="32" ht="14.25" customHeight="1">
      <c r="M32" s="2" t="s">
        <v>173</v>
      </c>
      <c r="N32" s="26">
        <f>+N20</f>
        <v>0.06</v>
      </c>
    </row>
    <row r="33" ht="14.25" customHeight="1">
      <c r="M33" s="2" t="s">
        <v>175</v>
      </c>
      <c r="N33" s="4">
        <f>+N13*N2</f>
        <v>12000</v>
      </c>
      <c r="O33" s="26">
        <f>+N21</f>
        <v>0.04</v>
      </c>
    </row>
    <row r="34" ht="14.25" customHeight="1"/>
    <row r="35" ht="14.25" customHeight="1">
      <c r="M35" s="2" t="s">
        <v>4</v>
      </c>
      <c r="N35" s="3">
        <f>+N8*N3</f>
        <v>6000</v>
      </c>
    </row>
    <row r="36" ht="14.25" customHeight="1">
      <c r="M36" s="32"/>
      <c r="N36" s="32"/>
    </row>
    <row r="37" ht="14.25" customHeight="1">
      <c r="M37" s="2" t="s">
        <v>35</v>
      </c>
      <c r="N37" s="121">
        <f>+N24+N25+N26+N27+N28+N30</f>
        <v>35074.44444</v>
      </c>
    </row>
    <row r="38" ht="14.25" customHeight="1">
      <c r="M38" s="32"/>
      <c r="N38" s="128"/>
    </row>
    <row r="39" ht="14.25" customHeight="1">
      <c r="M39" s="2" t="s">
        <v>184</v>
      </c>
      <c r="N39" s="121">
        <f>(N37+(O33*N35)-N33)/(1-(N31+N32)+O33)</f>
        <v>24671.36978</v>
      </c>
      <c r="P39" s="147">
        <f>(N37+(O33*N35)-N33)</f>
        <v>23314.44444</v>
      </c>
    </row>
    <row r="40" ht="14.25" customHeight="1">
      <c r="M40" s="2" t="s">
        <v>187</v>
      </c>
      <c r="N40" s="121">
        <f>(N37+(O33*N35)-N33)/(1-(N31+N32+N29)+O33)</f>
        <v>31294.5563</v>
      </c>
      <c r="P40" s="154">
        <f>(1-(N31+N32)+O33)</f>
        <v>0.945</v>
      </c>
    </row>
    <row r="41" ht="14.25" customHeight="1">
      <c r="M41" s="2" t="s">
        <v>38</v>
      </c>
      <c r="N41" s="121">
        <f>+N40/N2</f>
        <v>62.5891126</v>
      </c>
    </row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D25:H29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2025-11-02T15:18:29Z</dcterms:created>
  <dc:creator>Sztajn, Julian</dc:creator>
</cp:coreProperties>
</file>