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ACION CENTRAL\Downloads\"/>
    </mc:Choice>
  </mc:AlternateContent>
  <xr:revisionPtr revIDLastSave="0" documentId="8_{6E357B2D-EE73-486B-AF4C-0C37CE3CBF8A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0. Capacidades x hora - turno" sheetId="8" r:id="rId1"/>
    <sheet name="1. Resumen Ejecutivo" sheetId="1" r:id="rId2"/>
    <sheet name="2. PCP - Programa &amp; Lotes" sheetId="2" r:id="rId3"/>
    <sheet name="3. Cuantificación Frecuencias" sheetId="3" r:id="rId4"/>
    <sheet name="4. Dimensionamiento Stocks" sheetId="4" r:id="rId5"/>
    <sheet name="5. Desde-Hasta (Viajes)" sheetId="5" r:id="rId6"/>
    <sheet name="6. Desde-Hasta (Flujo Masa)" sheetId="6" r:id="rId7"/>
    <sheet name="7. Carga-Distancia &amp; Horas" sheetId="7" r:id="rId8"/>
    <sheet name="8. Carga REL" sheetId="9" r:id="rId9"/>
    <sheet name="9. Diagrama REL" sheetId="10" r:id="rId10"/>
    <sheet name="Superfici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G20" i="11"/>
  <c r="G3" i="11"/>
  <c r="G2" i="11"/>
  <c r="P8" i="3"/>
  <c r="G19" i="11" l="1"/>
  <c r="G18" i="11"/>
  <c r="G5" i="11"/>
  <c r="G17" i="11"/>
  <c r="G12" i="11"/>
  <c r="O21" i="10" l="1"/>
  <c r="K21" i="10"/>
  <c r="G21" i="10"/>
  <c r="E21" i="10"/>
  <c r="D21" i="10"/>
  <c r="J20" i="10"/>
  <c r="G20" i="10"/>
  <c r="E20" i="10"/>
  <c r="D20" i="10"/>
  <c r="O19" i="10"/>
  <c r="J19" i="10"/>
  <c r="G19" i="10"/>
  <c r="D19" i="10"/>
  <c r="K18" i="10"/>
  <c r="G18" i="10"/>
  <c r="D18" i="10"/>
  <c r="K17" i="10"/>
  <c r="G17" i="10"/>
  <c r="E17" i="10"/>
  <c r="D17" i="10"/>
  <c r="K16" i="10"/>
  <c r="J16" i="10"/>
  <c r="G16" i="10"/>
  <c r="E16" i="10"/>
  <c r="P15" i="10"/>
  <c r="J15" i="10"/>
  <c r="G15" i="10"/>
  <c r="E15" i="10"/>
  <c r="D15" i="10"/>
  <c r="P14" i="10"/>
  <c r="G14" i="10"/>
  <c r="E14" i="10"/>
  <c r="D14" i="10"/>
  <c r="P13" i="10"/>
  <c r="G13" i="10"/>
  <c r="E13" i="10"/>
  <c r="D13" i="10"/>
  <c r="P12" i="10"/>
  <c r="E12" i="10"/>
  <c r="P11" i="10"/>
  <c r="L11" i="10"/>
  <c r="K11" i="10"/>
  <c r="G11" i="10"/>
  <c r="E11" i="10"/>
  <c r="D11" i="10"/>
  <c r="P10" i="10"/>
  <c r="K10" i="10"/>
  <c r="D10" i="10"/>
  <c r="P9" i="10"/>
  <c r="L9" i="10"/>
  <c r="K9" i="10"/>
  <c r="D9" i="10"/>
  <c r="P8" i="10"/>
  <c r="L8" i="10"/>
  <c r="K8" i="10"/>
  <c r="H8" i="10"/>
  <c r="D8" i="10"/>
  <c r="L7" i="10"/>
  <c r="P6" i="10"/>
  <c r="L6" i="10"/>
  <c r="K6" i="10"/>
  <c r="H6" i="10"/>
  <c r="F6" i="10"/>
  <c r="L5" i="10"/>
  <c r="K5" i="10"/>
  <c r="H5" i="10"/>
  <c r="F5" i="10"/>
  <c r="E5" i="10"/>
  <c r="D140" i="9"/>
  <c r="R21" i="10" s="1"/>
  <c r="D139" i="9"/>
  <c r="S19" i="10" s="1"/>
  <c r="D138" i="9"/>
  <c r="Q20" i="10" s="1"/>
  <c r="D137" i="9"/>
  <c r="S18" i="10" s="1"/>
  <c r="D136" i="9"/>
  <c r="R18" i="10" s="1"/>
  <c r="D135" i="9"/>
  <c r="P19" i="10" s="1"/>
  <c r="D134" i="9"/>
  <c r="S17" i="10" s="1"/>
  <c r="D133" i="9"/>
  <c r="R17" i="10" s="1"/>
  <c r="D132" i="9"/>
  <c r="Q17" i="10" s="1"/>
  <c r="D131" i="9"/>
  <c r="P17" i="10" s="1"/>
  <c r="D130" i="9"/>
  <c r="S16" i="10" s="1"/>
  <c r="D129" i="9"/>
  <c r="R16" i="10" s="1"/>
  <c r="D128" i="9"/>
  <c r="Q16" i="10" s="1"/>
  <c r="D127" i="9"/>
  <c r="P16" i="10" s="1"/>
  <c r="D126" i="9"/>
  <c r="N17" i="10" s="1"/>
  <c r="D125" i="9"/>
  <c r="S15" i="10" s="1"/>
  <c r="D124" i="9"/>
  <c r="R15" i="10" s="1"/>
  <c r="D123" i="9"/>
  <c r="Q15" i="10" s="1"/>
  <c r="D122" i="9"/>
  <c r="M18" i="10" s="1"/>
  <c r="D121" i="9"/>
  <c r="O15" i="10" s="1"/>
  <c r="D120" i="9"/>
  <c r="M16" i="10" s="1"/>
  <c r="D119" i="9"/>
  <c r="S14" i="10" s="1"/>
  <c r="D118" i="9"/>
  <c r="R14" i="10" s="1"/>
  <c r="D117" i="9"/>
  <c r="Q14" i="10" s="1"/>
  <c r="D116" i="9"/>
  <c r="L18" i="10" s="1"/>
  <c r="D115" i="9"/>
  <c r="O14" i="10" s="1"/>
  <c r="D114" i="9"/>
  <c r="N14" i="10" s="1"/>
  <c r="D113" i="9"/>
  <c r="L15" i="10" s="1"/>
  <c r="D112" i="9"/>
  <c r="S13" i="10" s="1"/>
  <c r="D111" i="9"/>
  <c r="R13" i="10" s="1"/>
  <c r="D110" i="9"/>
  <c r="Q13" i="10" s="1"/>
  <c r="D109" i="9"/>
  <c r="D108" i="9"/>
  <c r="O13" i="10" s="1"/>
  <c r="D107" i="9"/>
  <c r="N13" i="10" s="1"/>
  <c r="D106" i="9"/>
  <c r="M13" i="10" s="1"/>
  <c r="D105" i="9"/>
  <c r="K14" i="10" s="1"/>
  <c r="D104" i="9"/>
  <c r="S12" i="10" s="1"/>
  <c r="D103" i="9"/>
  <c r="R12" i="10" s="1"/>
  <c r="D102" i="9"/>
  <c r="Q12" i="10" s="1"/>
  <c r="D101" i="9"/>
  <c r="J18" i="10" s="1"/>
  <c r="D100" i="9"/>
  <c r="O12" i="10" s="1"/>
  <c r="D99" i="9"/>
  <c r="N12" i="10" s="1"/>
  <c r="D98" i="9"/>
  <c r="M12" i="10" s="1"/>
  <c r="D97" i="9"/>
  <c r="L12" i="10" s="1"/>
  <c r="D96" i="9"/>
  <c r="J13" i="10" s="1"/>
  <c r="D95" i="9"/>
  <c r="S11" i="10" s="1"/>
  <c r="D94" i="9"/>
  <c r="R11" i="10" s="1"/>
  <c r="D93" i="9"/>
  <c r="Q11" i="10" s="1"/>
  <c r="D92" i="9"/>
  <c r="I18" i="10" s="1"/>
  <c r="D91" i="9"/>
  <c r="O11" i="10" s="1"/>
  <c r="D90" i="9"/>
  <c r="N11" i="10" s="1"/>
  <c r="D89" i="9"/>
  <c r="M11" i="10" s="1"/>
  <c r="D88" i="9"/>
  <c r="I14" i="10" s="1"/>
  <c r="D87" i="9"/>
  <c r="I13" i="10" s="1"/>
  <c r="D86" i="9"/>
  <c r="I12" i="10" s="1"/>
  <c r="D85" i="9"/>
  <c r="S10" i="10" s="1"/>
  <c r="D84" i="9"/>
  <c r="R10" i="10" s="1"/>
  <c r="D83" i="9"/>
  <c r="Q10" i="10" s="1"/>
  <c r="D82" i="9"/>
  <c r="H18" i="10" s="1"/>
  <c r="D81" i="9"/>
  <c r="O10" i="10" s="1"/>
  <c r="D80" i="9"/>
  <c r="N10" i="10" s="1"/>
  <c r="D79" i="9"/>
  <c r="M10" i="10" s="1"/>
  <c r="D78" i="9"/>
  <c r="L10" i="10" s="1"/>
  <c r="D77" i="9"/>
  <c r="H13" i="10" s="1"/>
  <c r="D76" i="9"/>
  <c r="J10" i="10" s="1"/>
  <c r="D75" i="9"/>
  <c r="H11" i="10" s="1"/>
  <c r="D74" i="9"/>
  <c r="S9" i="10" s="1"/>
  <c r="D73" i="9"/>
  <c r="R9" i="10" s="1"/>
  <c r="D72" i="9"/>
  <c r="Q9" i="10" s="1"/>
  <c r="D71" i="9"/>
  <c r="D70" i="9"/>
  <c r="O9" i="10" s="1"/>
  <c r="D69" i="9"/>
  <c r="N9" i="10" s="1"/>
  <c r="D68" i="9"/>
  <c r="M9" i="10" s="1"/>
  <c r="D67" i="9"/>
  <c r="D66" i="9"/>
  <c r="D65" i="9"/>
  <c r="J9" i="10" s="1"/>
  <c r="D64" i="9"/>
  <c r="I9" i="10" s="1"/>
  <c r="D63" i="9"/>
  <c r="G10" i="10" s="1"/>
  <c r="D62" i="9"/>
  <c r="S8" i="10" s="1"/>
  <c r="D61" i="9"/>
  <c r="R8" i="10" s="1"/>
  <c r="D60" i="9"/>
  <c r="Q8" i="10" s="1"/>
  <c r="D59" i="9"/>
  <c r="F18" i="10" s="1"/>
  <c r="D58" i="9"/>
  <c r="O8" i="10" s="1"/>
  <c r="D57" i="9"/>
  <c r="N8" i="10" s="1"/>
  <c r="D56" i="9"/>
  <c r="M8" i="10" s="1"/>
  <c r="D55" i="9"/>
  <c r="F14" i="10" s="1"/>
  <c r="D54" i="9"/>
  <c r="F13" i="10" s="1"/>
  <c r="D53" i="9"/>
  <c r="J8" i="10" s="1"/>
  <c r="D52" i="9"/>
  <c r="I8" i="10" s="1"/>
  <c r="D51" i="9"/>
  <c r="F10" i="10" s="1"/>
  <c r="D50" i="9"/>
  <c r="F9" i="10" s="1"/>
  <c r="D49" i="9"/>
  <c r="S7" i="10" s="1"/>
  <c r="D48" i="9"/>
  <c r="R7" i="10" s="1"/>
  <c r="D47" i="9"/>
  <c r="Q7" i="10" s="1"/>
  <c r="D46" i="9"/>
  <c r="P7" i="10" s="1"/>
  <c r="D45" i="9"/>
  <c r="O7" i="10" s="1"/>
  <c r="D44" i="9"/>
  <c r="N7" i="10" s="1"/>
  <c r="D43" i="9"/>
  <c r="M7" i="10" s="1"/>
  <c r="D42" i="9"/>
  <c r="D41" i="9"/>
  <c r="K7" i="10" s="1"/>
  <c r="D40" i="9"/>
  <c r="J7" i="10" s="1"/>
  <c r="D39" i="9"/>
  <c r="I7" i="10" s="1"/>
  <c r="D38" i="9"/>
  <c r="H7" i="10" s="1"/>
  <c r="D37" i="9"/>
  <c r="G7" i="10" s="1"/>
  <c r="D36" i="9"/>
  <c r="E8" i="10" s="1"/>
  <c r="D35" i="9"/>
  <c r="S6" i="10" s="1"/>
  <c r="D34" i="9"/>
  <c r="R6" i="10" s="1"/>
  <c r="D33" i="9"/>
  <c r="Q6" i="10" s="1"/>
  <c r="D32" i="9"/>
  <c r="D31" i="9"/>
  <c r="O6" i="10" s="1"/>
  <c r="D30" i="9"/>
  <c r="D16" i="10" s="1"/>
  <c r="D29" i="9"/>
  <c r="M6" i="10" s="1"/>
  <c r="D28" i="9"/>
  <c r="D27" i="9"/>
  <c r="D26" i="9"/>
  <c r="J6" i="10" s="1"/>
  <c r="D25" i="9"/>
  <c r="I6" i="10" s="1"/>
  <c r="D24" i="9"/>
  <c r="D23" i="9"/>
  <c r="G6" i="10" s="1"/>
  <c r="D22" i="9"/>
  <c r="D21" i="9"/>
  <c r="D7" i="10" s="1"/>
  <c r="D20" i="9"/>
  <c r="S5" i="10" s="1"/>
  <c r="D19" i="9"/>
  <c r="R5" i="10" s="1"/>
  <c r="D18" i="9"/>
  <c r="Q5" i="10" s="1"/>
  <c r="D17" i="9"/>
  <c r="P5" i="10" s="1"/>
  <c r="D16" i="9"/>
  <c r="O5" i="10" s="1"/>
  <c r="D15" i="9"/>
  <c r="N5" i="10" s="1"/>
  <c r="D14" i="9"/>
  <c r="M5" i="10" s="1"/>
  <c r="D13" i="9"/>
  <c r="C14" i="10" s="1"/>
  <c r="D12" i="9"/>
  <c r="C13" i="10" s="1"/>
  <c r="D11" i="9"/>
  <c r="J5" i="10" s="1"/>
  <c r="D10" i="9"/>
  <c r="I5" i="10" s="1"/>
  <c r="D9" i="9"/>
  <c r="C10" i="10" s="1"/>
  <c r="D8" i="9"/>
  <c r="G5" i="10" s="1"/>
  <c r="D7" i="9"/>
  <c r="C8" i="10" s="1"/>
  <c r="D6" i="9"/>
  <c r="C7" i="10" s="1"/>
  <c r="D5" i="9"/>
  <c r="C6" i="10" s="1"/>
  <c r="K42" i="7"/>
  <c r="J42" i="7"/>
  <c r="G42" i="7"/>
  <c r="F42" i="7"/>
  <c r="K41" i="7"/>
  <c r="J41" i="7"/>
  <c r="G41" i="7"/>
  <c r="F41" i="7"/>
  <c r="K40" i="7"/>
  <c r="J40" i="7"/>
  <c r="G40" i="7"/>
  <c r="F40" i="7"/>
  <c r="K39" i="7"/>
  <c r="J39" i="7"/>
  <c r="G39" i="7"/>
  <c r="F39" i="7"/>
  <c r="K38" i="7"/>
  <c r="J38" i="7"/>
  <c r="G38" i="7"/>
  <c r="F38" i="7"/>
  <c r="K37" i="7"/>
  <c r="J37" i="7"/>
  <c r="G37" i="7"/>
  <c r="F37" i="7"/>
  <c r="K36" i="7"/>
  <c r="J36" i="7"/>
  <c r="G36" i="7"/>
  <c r="F36" i="7"/>
  <c r="K35" i="7"/>
  <c r="J35" i="7"/>
  <c r="F35" i="7"/>
  <c r="K34" i="7"/>
  <c r="J34" i="7"/>
  <c r="F34" i="7"/>
  <c r="K33" i="7"/>
  <c r="J33" i="7"/>
  <c r="G33" i="7"/>
  <c r="F33" i="7"/>
  <c r="K32" i="7"/>
  <c r="J32" i="7"/>
  <c r="F32" i="7"/>
  <c r="S26" i="6"/>
  <c r="C26" i="6"/>
  <c r="S25" i="6"/>
  <c r="R25" i="6"/>
  <c r="R26" i="6" s="1"/>
  <c r="H25" i="6"/>
  <c r="H26" i="6" s="1"/>
  <c r="G25" i="6"/>
  <c r="C25" i="6"/>
  <c r="V24" i="6"/>
  <c r="U24" i="6"/>
  <c r="V21" i="6"/>
  <c r="U21" i="6"/>
  <c r="U20" i="6"/>
  <c r="V20" i="6" s="1"/>
  <c r="I12" i="6"/>
  <c r="U11" i="6"/>
  <c r="V11" i="6" s="1"/>
  <c r="H11" i="6"/>
  <c r="G10" i="6"/>
  <c r="S26" i="5"/>
  <c r="R26" i="5"/>
  <c r="H26" i="5"/>
  <c r="G26" i="5"/>
  <c r="C26" i="5"/>
  <c r="V25" i="5"/>
  <c r="V24" i="5"/>
  <c r="V22" i="5"/>
  <c r="E22" i="5"/>
  <c r="V21" i="5"/>
  <c r="V20" i="5"/>
  <c r="U18" i="5"/>
  <c r="U13" i="5"/>
  <c r="U12" i="5"/>
  <c r="U26" i="5" s="1"/>
  <c r="I12" i="5"/>
  <c r="I26" i="5" s="1"/>
  <c r="V11" i="5"/>
  <c r="H11" i="5"/>
  <c r="V10" i="5"/>
  <c r="G10" i="5"/>
  <c r="P32" i="3"/>
  <c r="I32" i="3"/>
  <c r="P31" i="3"/>
  <c r="I31" i="3"/>
  <c r="I30" i="3"/>
  <c r="P30" i="3" s="1"/>
  <c r="M23" i="3"/>
  <c r="N23" i="3" s="1"/>
  <c r="D23" i="3"/>
  <c r="G16" i="3"/>
  <c r="G35" i="7" s="1"/>
  <c r="O13" i="3"/>
  <c r="M13" i="3"/>
  <c r="N13" i="3" s="1"/>
  <c r="O12" i="3"/>
  <c r="M12" i="3"/>
  <c r="N12" i="3" s="1"/>
  <c r="O11" i="3"/>
  <c r="M11" i="3"/>
  <c r="N11" i="3" s="1"/>
  <c r="F67" i="2"/>
  <c r="F68" i="2" s="1"/>
  <c r="F69" i="2" s="1"/>
  <c r="D42" i="2"/>
  <c r="G15" i="3" s="1"/>
  <c r="G34" i="7" s="1"/>
  <c r="C42" i="2"/>
  <c r="C31" i="2"/>
  <c r="D29" i="2"/>
  <c r="C29" i="2"/>
  <c r="G9" i="3" s="1"/>
  <c r="G32" i="7" s="1"/>
  <c r="H20" i="2"/>
  <c r="F20" i="2"/>
  <c r="G17" i="2" s="1"/>
  <c r="L19" i="2"/>
  <c r="J19" i="2"/>
  <c r="K19" i="2" s="1"/>
  <c r="I19" i="2"/>
  <c r="H19" i="2"/>
  <c r="L18" i="2"/>
  <c r="I18" i="2"/>
  <c r="J18" i="2" s="1"/>
  <c r="K18" i="2" s="1"/>
  <c r="H18" i="2"/>
  <c r="L17" i="2"/>
  <c r="D35" i="2" s="1"/>
  <c r="I17" i="2"/>
  <c r="J17" i="2" s="1"/>
  <c r="H17" i="2"/>
  <c r="L16" i="2"/>
  <c r="I16" i="2"/>
  <c r="J16" i="2" s="1"/>
  <c r="K16" i="2" s="1"/>
  <c r="H16" i="2"/>
  <c r="L15" i="2"/>
  <c r="J15" i="2"/>
  <c r="K15" i="2" s="1"/>
  <c r="I15" i="2"/>
  <c r="H15" i="2"/>
  <c r="G15" i="2"/>
  <c r="L14" i="2"/>
  <c r="J14" i="2"/>
  <c r="K14" i="2" s="1"/>
  <c r="I14" i="2"/>
  <c r="H14" i="2"/>
  <c r="L13" i="2"/>
  <c r="J13" i="2"/>
  <c r="K13" i="2" s="1"/>
  <c r="I13" i="2"/>
  <c r="H13" i="2"/>
  <c r="G13" i="2"/>
  <c r="L12" i="2"/>
  <c r="I12" i="2"/>
  <c r="J12" i="2" s="1"/>
  <c r="K12" i="2" s="1"/>
  <c r="H12" i="2"/>
  <c r="G12" i="2"/>
  <c r="L11" i="2"/>
  <c r="J11" i="2"/>
  <c r="K11" i="2" s="1"/>
  <c r="I11" i="2"/>
  <c r="H11" i="2"/>
  <c r="G11" i="2"/>
  <c r="L10" i="2"/>
  <c r="I10" i="2"/>
  <c r="J10" i="2" s="1"/>
  <c r="K10" i="2" s="1"/>
  <c r="H10" i="2"/>
  <c r="L9" i="2"/>
  <c r="C47" i="2" s="1"/>
  <c r="I9" i="2"/>
  <c r="J9" i="2" s="1"/>
  <c r="H9" i="2"/>
  <c r="E17" i="1"/>
  <c r="B13" i="1"/>
  <c r="U29" i="8"/>
  <c r="U28" i="8"/>
  <c r="U12" i="8"/>
  <c r="U11" i="8" s="1"/>
  <c r="O18" i="10" l="1"/>
  <c r="D12" i="10"/>
  <c r="E6" i="10"/>
  <c r="K15" i="10"/>
  <c r="E9" i="10"/>
  <c r="K12" i="10"/>
  <c r="E10" i="10"/>
  <c r="F7" i="10"/>
  <c r="D26" i="2"/>
  <c r="D39" i="2"/>
  <c r="D41" i="2" s="1"/>
  <c r="K17" i="2"/>
  <c r="C8" i="4"/>
  <c r="H22" i="3"/>
  <c r="K9" i="2"/>
  <c r="C39" i="2"/>
  <c r="C41" i="2" s="1"/>
  <c r="C26" i="2"/>
  <c r="J20" i="2"/>
  <c r="H13" i="1" s="1"/>
  <c r="D47" i="2"/>
  <c r="D5" i="10"/>
  <c r="C9" i="10"/>
  <c r="C11" i="10"/>
  <c r="C12" i="10"/>
  <c r="C15" i="10"/>
  <c r="C16" i="10"/>
  <c r="C17" i="10"/>
  <c r="C18" i="10"/>
  <c r="C19" i="10"/>
  <c r="C20" i="10"/>
  <c r="C21" i="10"/>
  <c r="E18" i="10"/>
  <c r="E19" i="10"/>
  <c r="G10" i="2"/>
  <c r="G18" i="2"/>
  <c r="C35" i="2"/>
  <c r="U10" i="6"/>
  <c r="V10" i="6" s="1"/>
  <c r="I25" i="6"/>
  <c r="I26" i="6" s="1"/>
  <c r="G8" i="10"/>
  <c r="F11" i="10"/>
  <c r="F12" i="10"/>
  <c r="F15" i="10"/>
  <c r="F16" i="10"/>
  <c r="F17" i="10"/>
  <c r="F19" i="10"/>
  <c r="F20" i="10"/>
  <c r="F21" i="10"/>
  <c r="H9" i="10"/>
  <c r="G12" i="10"/>
  <c r="G26" i="6"/>
  <c r="I10" i="10"/>
  <c r="H12" i="10"/>
  <c r="H14" i="10"/>
  <c r="H15" i="10"/>
  <c r="H16" i="10"/>
  <c r="H17" i="10"/>
  <c r="H19" i="10"/>
  <c r="H20" i="10"/>
  <c r="H21" i="10"/>
  <c r="L20" i="2"/>
  <c r="J11" i="10"/>
  <c r="I15" i="10"/>
  <c r="I16" i="10"/>
  <c r="I17" i="10"/>
  <c r="I19" i="10"/>
  <c r="I20" i="10"/>
  <c r="I21" i="10"/>
  <c r="G16" i="2"/>
  <c r="J14" i="10"/>
  <c r="J17" i="10"/>
  <c r="J21" i="10"/>
  <c r="L13" i="10"/>
  <c r="K19" i="10"/>
  <c r="K20" i="10"/>
  <c r="G19" i="2"/>
  <c r="V12" i="5"/>
  <c r="U12" i="6"/>
  <c r="V12" i="6" s="1"/>
  <c r="M14" i="10"/>
  <c r="L16" i="10"/>
  <c r="L17" i="10"/>
  <c r="L19" i="10"/>
  <c r="L20" i="10"/>
  <c r="L21" i="10"/>
  <c r="N6" i="10"/>
  <c r="N15" i="10"/>
  <c r="M17" i="10"/>
  <c r="M19" i="10"/>
  <c r="M20" i="10"/>
  <c r="M21" i="10"/>
  <c r="I20" i="2"/>
  <c r="G14" i="2"/>
  <c r="O16" i="10"/>
  <c r="N18" i="10"/>
  <c r="N19" i="10"/>
  <c r="N20" i="10"/>
  <c r="N21" i="10"/>
  <c r="O20" i="10"/>
  <c r="G9" i="2"/>
  <c r="Q18" i="10"/>
  <c r="P20" i="10"/>
  <c r="P21" i="10"/>
  <c r="R19" i="10"/>
  <c r="Q21" i="10"/>
  <c r="S20" i="10"/>
  <c r="C7" i="4" l="1"/>
  <c r="C9" i="4" s="1"/>
  <c r="H14" i="3"/>
  <c r="G20" i="2"/>
  <c r="H12" i="8"/>
  <c r="H11" i="8" s="1"/>
  <c r="B11" i="8" s="1"/>
  <c r="C28" i="2"/>
  <c r="D46" i="2"/>
  <c r="D34" i="2"/>
  <c r="K20" i="2"/>
  <c r="C46" i="2"/>
  <c r="C34" i="2"/>
  <c r="H16" i="3"/>
  <c r="H19" i="3"/>
  <c r="H17" i="3"/>
  <c r="D44" i="2"/>
  <c r="H15" i="3"/>
  <c r="E42" i="7"/>
  <c r="P19" i="5"/>
  <c r="V19" i="5" s="1"/>
  <c r="O22" i="3"/>
  <c r="I22" i="3"/>
  <c r="M22" i="3"/>
  <c r="N22" i="3" s="1"/>
  <c r="D28" i="2"/>
  <c r="H29" i="8"/>
  <c r="H28" i="8" s="1"/>
  <c r="B28" i="8" s="1"/>
  <c r="H10" i="3"/>
  <c r="C44" i="2"/>
  <c r="M19" i="3" l="1"/>
  <c r="M16" i="5"/>
  <c r="I19" i="3"/>
  <c r="O19" i="3"/>
  <c r="N19" i="3"/>
  <c r="J8" i="5"/>
  <c r="O15" i="3"/>
  <c r="M15" i="3"/>
  <c r="N15" i="3" s="1"/>
  <c r="I15" i="3"/>
  <c r="P19" i="6"/>
  <c r="P22" i="3"/>
  <c r="O17" i="3"/>
  <c r="I17" i="3"/>
  <c r="M17" i="3"/>
  <c r="N17" i="3" s="1"/>
  <c r="L15" i="5"/>
  <c r="I10" i="3"/>
  <c r="O10" i="3"/>
  <c r="M10" i="3"/>
  <c r="N10" i="3" s="1"/>
  <c r="F9" i="5"/>
  <c r="D30" i="2"/>
  <c r="H18" i="3"/>
  <c r="I18" i="3" s="1"/>
  <c r="P18" i="3" s="1"/>
  <c r="C24" i="4"/>
  <c r="D32" i="2"/>
  <c r="O11" i="8"/>
  <c r="U10" i="8" s="1"/>
  <c r="H10" i="8"/>
  <c r="B10" i="8" s="1"/>
  <c r="E41" i="7"/>
  <c r="M14" i="3"/>
  <c r="N14" i="3" s="1"/>
  <c r="P13" i="5"/>
  <c r="O14" i="3"/>
  <c r="I14" i="3"/>
  <c r="H42" i="7"/>
  <c r="I42" i="7" s="1"/>
  <c r="L42" i="7"/>
  <c r="K14" i="5"/>
  <c r="O16" i="3"/>
  <c r="M16" i="3"/>
  <c r="N16" i="3" s="1"/>
  <c r="O28" i="8"/>
  <c r="G28" i="8"/>
  <c r="H27" i="8"/>
  <c r="B27" i="8" s="1"/>
  <c r="C32" i="2"/>
  <c r="C30" i="2"/>
  <c r="H9" i="3"/>
  <c r="I7" i="3"/>
  <c r="C23" i="4"/>
  <c r="H7" i="3"/>
  <c r="B17" i="1"/>
  <c r="C11" i="4"/>
  <c r="C15" i="4" s="1"/>
  <c r="C16" i="4" s="1"/>
  <c r="C20" i="4" s="1"/>
  <c r="O9" i="3" l="1"/>
  <c r="E8" i="5"/>
  <c r="M9" i="3"/>
  <c r="N9" i="3" s="1"/>
  <c r="I9" i="3"/>
  <c r="H9" i="8"/>
  <c r="B9" i="8" s="1"/>
  <c r="O10" i="8"/>
  <c r="U9" i="8" s="1"/>
  <c r="P17" i="3"/>
  <c r="L15" i="6"/>
  <c r="H21" i="3"/>
  <c r="H20" i="3"/>
  <c r="V13" i="5"/>
  <c r="P26" i="5"/>
  <c r="U27" i="8"/>
  <c r="T28" i="8"/>
  <c r="J26" i="5"/>
  <c r="E34" i="7"/>
  <c r="P19" i="3"/>
  <c r="M16" i="6"/>
  <c r="P7" i="3"/>
  <c r="D7" i="6"/>
  <c r="O27" i="8"/>
  <c r="G27" i="8"/>
  <c r="H26" i="8"/>
  <c r="B26" i="8" s="1"/>
  <c r="U19" i="6"/>
  <c r="V19" i="6" s="1"/>
  <c r="P15" i="3"/>
  <c r="J8" i="6"/>
  <c r="K26" i="5"/>
  <c r="E35" i="7"/>
  <c r="D7" i="5"/>
  <c r="O7" i="3"/>
  <c r="O33" i="3" s="1"/>
  <c r="C39" i="3" s="1"/>
  <c r="M7" i="3"/>
  <c r="N7" i="3" s="1"/>
  <c r="N33" i="3" s="1"/>
  <c r="F9" i="6"/>
  <c r="P10" i="3"/>
  <c r="M26" i="5"/>
  <c r="E37" i="7"/>
  <c r="V16" i="5"/>
  <c r="H41" i="7"/>
  <c r="I41" i="7" s="1"/>
  <c r="L41" i="7"/>
  <c r="E33" i="7"/>
  <c r="F26" i="5"/>
  <c r="K14" i="6"/>
  <c r="P16" i="3"/>
  <c r="P42" i="7"/>
  <c r="O42" i="7"/>
  <c r="C25" i="4"/>
  <c r="C27" i="4" s="1"/>
  <c r="C29" i="4" s="1"/>
  <c r="C32" i="4" s="1"/>
  <c r="P13" i="6"/>
  <c r="P14" i="3"/>
  <c r="E36" i="7"/>
  <c r="L26" i="5"/>
  <c r="V15" i="5"/>
  <c r="C37" i="3" l="1"/>
  <c r="C38" i="3" s="1"/>
  <c r="H17" i="1"/>
  <c r="P41" i="7"/>
  <c r="O41" i="7"/>
  <c r="J25" i="6"/>
  <c r="J26" i="6" s="1"/>
  <c r="N17" i="5"/>
  <c r="O20" i="3"/>
  <c r="M20" i="3"/>
  <c r="N20" i="3" s="1"/>
  <c r="I20" i="3"/>
  <c r="L35" i="7"/>
  <c r="H35" i="7"/>
  <c r="I35" i="7" s="1"/>
  <c r="H25" i="8"/>
  <c r="B25" i="8" s="1"/>
  <c r="O26" i="8"/>
  <c r="G26" i="8"/>
  <c r="L36" i="7"/>
  <c r="H36" i="7"/>
  <c r="I36" i="7" s="1"/>
  <c r="F25" i="6"/>
  <c r="F26" i="6" s="1"/>
  <c r="D25" i="6"/>
  <c r="U7" i="6"/>
  <c r="D26" i="6"/>
  <c r="U13" i="6"/>
  <c r="V13" i="6" s="1"/>
  <c r="P25" i="6"/>
  <c r="P26" i="6" s="1"/>
  <c r="M25" i="6"/>
  <c r="M26" i="6" s="1"/>
  <c r="U16" i="6"/>
  <c r="V16" i="6" s="1"/>
  <c r="V8" i="5"/>
  <c r="E32" i="7"/>
  <c r="E26" i="5"/>
  <c r="K25" i="6"/>
  <c r="K26" i="6" s="1"/>
  <c r="L25" i="6"/>
  <c r="L26" i="6" s="1"/>
  <c r="U15" i="6"/>
  <c r="V15" i="6" s="1"/>
  <c r="G9" i="8"/>
  <c r="E9" i="8"/>
  <c r="H8" i="8"/>
  <c r="B8" i="8" s="1"/>
  <c r="O9" i="8"/>
  <c r="E8" i="6"/>
  <c r="P9" i="3"/>
  <c r="L33" i="7"/>
  <c r="H33" i="7"/>
  <c r="I33" i="7" s="1"/>
  <c r="O21" i="3"/>
  <c r="M21" i="3"/>
  <c r="N21" i="3" s="1"/>
  <c r="I21" i="3"/>
  <c r="O18" i="5"/>
  <c r="L37" i="7"/>
  <c r="H37" i="7"/>
  <c r="I37" i="7" s="1"/>
  <c r="T27" i="8"/>
  <c r="U26" i="8"/>
  <c r="V7" i="5"/>
  <c r="E40" i="7"/>
  <c r="D26" i="5"/>
  <c r="H34" i="7"/>
  <c r="I34" i="7" s="1"/>
  <c r="L34" i="7"/>
  <c r="P33" i="7" l="1"/>
  <c r="O33" i="7"/>
  <c r="U25" i="8"/>
  <c r="T26" i="8"/>
  <c r="N26" i="5"/>
  <c r="E38" i="7"/>
  <c r="V17" i="5"/>
  <c r="L32" i="7"/>
  <c r="H32" i="7"/>
  <c r="U8" i="6"/>
  <c r="V8" i="6" s="1"/>
  <c r="O25" i="8"/>
  <c r="G25" i="8"/>
  <c r="H24" i="8"/>
  <c r="B24" i="8" s="1"/>
  <c r="P35" i="7"/>
  <c r="O35" i="7"/>
  <c r="N17" i="6"/>
  <c r="P20" i="3"/>
  <c r="O26" i="5"/>
  <c r="E39" i="7"/>
  <c r="V18" i="5"/>
  <c r="P21" i="3"/>
  <c r="O18" i="6"/>
  <c r="V7" i="6"/>
  <c r="H7" i="8"/>
  <c r="B7" i="8" s="1"/>
  <c r="O8" i="8"/>
  <c r="G8" i="8"/>
  <c r="E8" i="8"/>
  <c r="P36" i="7"/>
  <c r="O36" i="7"/>
  <c r="O37" i="7"/>
  <c r="P37" i="7"/>
  <c r="P34" i="7"/>
  <c r="O34" i="7"/>
  <c r="U8" i="8"/>
  <c r="T9" i="8"/>
  <c r="R9" i="8"/>
  <c r="L40" i="7"/>
  <c r="H40" i="7"/>
  <c r="I40" i="7" s="1"/>
  <c r="G7" i="8" l="1"/>
  <c r="G26" i="3" s="1"/>
  <c r="I26" i="3" s="1"/>
  <c r="P26" i="3" s="1"/>
  <c r="E7" i="8"/>
  <c r="G24" i="3" s="1"/>
  <c r="I24" i="3" s="1"/>
  <c r="P24" i="3" s="1"/>
  <c r="H6" i="8"/>
  <c r="B6" i="8" s="1"/>
  <c r="O7" i="8"/>
  <c r="P40" i="7"/>
  <c r="O40" i="7"/>
  <c r="T25" i="8"/>
  <c r="U24" i="8"/>
  <c r="H39" i="7"/>
  <c r="I39" i="7" s="1"/>
  <c r="L39" i="7"/>
  <c r="L38" i="7"/>
  <c r="L43" i="7" s="1"/>
  <c r="H38" i="7"/>
  <c r="I38" i="7" s="1"/>
  <c r="T8" i="8"/>
  <c r="R8" i="8"/>
  <c r="U7" i="8"/>
  <c r="U18" i="6"/>
  <c r="V18" i="6" s="1"/>
  <c r="O25" i="6"/>
  <c r="O26" i="6" s="1"/>
  <c r="I32" i="7"/>
  <c r="U17" i="6"/>
  <c r="V17" i="6" s="1"/>
  <c r="N25" i="6"/>
  <c r="N26" i="6" s="1"/>
  <c r="P32" i="7"/>
  <c r="O32" i="7"/>
  <c r="O24" i="8"/>
  <c r="G24" i="8"/>
  <c r="H23" i="8"/>
  <c r="B23" i="8" s="1"/>
  <c r="T24" i="8" l="1"/>
  <c r="U23" i="8"/>
  <c r="P38" i="7"/>
  <c r="O38" i="7"/>
  <c r="P39" i="7"/>
  <c r="O39" i="7"/>
  <c r="O43" i="7" s="1"/>
  <c r="H43" i="7"/>
  <c r="T7" i="8"/>
  <c r="U6" i="8"/>
  <c r="R7" i="8"/>
  <c r="H5" i="8"/>
  <c r="B5" i="8" s="1"/>
  <c r="O6" i="8"/>
  <c r="E6" i="8"/>
  <c r="G6" i="8"/>
  <c r="P43" i="7"/>
  <c r="I43" i="7"/>
  <c r="G23" i="8"/>
  <c r="O23" i="8"/>
  <c r="H22" i="8"/>
  <c r="B22" i="8" s="1"/>
  <c r="T6" i="8" l="1"/>
  <c r="R6" i="8"/>
  <c r="U5" i="8"/>
  <c r="O22" i="8"/>
  <c r="G22" i="8"/>
  <c r="G29" i="8" s="1"/>
  <c r="H21" i="8"/>
  <c r="B21" i="8" s="1"/>
  <c r="E5" i="8"/>
  <c r="G23" i="3" s="1"/>
  <c r="H4" i="8"/>
  <c r="B4" i="8" s="1"/>
  <c r="O5" i="8"/>
  <c r="G5" i="8"/>
  <c r="U22" i="8"/>
  <c r="T23" i="8"/>
  <c r="G25" i="3" l="1"/>
  <c r="I25" i="3" s="1"/>
  <c r="P25" i="3" s="1"/>
  <c r="G12" i="8"/>
  <c r="H27" i="3"/>
  <c r="U4" i="8"/>
  <c r="T5" i="8"/>
  <c r="T12" i="8" s="1"/>
  <c r="R5" i="8"/>
  <c r="H28" i="3"/>
  <c r="B29" i="8"/>
  <c r="O21" i="8"/>
  <c r="O29" i="8" s="1"/>
  <c r="H29" i="3"/>
  <c r="B12" i="8"/>
  <c r="O4" i="8"/>
  <c r="E4" i="8"/>
  <c r="E12" i="8" s="1"/>
  <c r="O23" i="3"/>
  <c r="I23" i="3"/>
  <c r="T22" i="8"/>
  <c r="T29" i="8" s="1"/>
  <c r="U21" i="8"/>
  <c r="P23" i="3" l="1"/>
  <c r="E22" i="6"/>
  <c r="I29" i="3"/>
  <c r="T9" i="5"/>
  <c r="Q23" i="5"/>
  <c r="O27" i="3"/>
  <c r="M27" i="3"/>
  <c r="N27" i="3" s="1"/>
  <c r="I27" i="3"/>
  <c r="H33" i="3"/>
  <c r="R4" i="8"/>
  <c r="R12" i="8" s="1"/>
  <c r="O12" i="8"/>
  <c r="T14" i="5"/>
  <c r="V14" i="5" s="1"/>
  <c r="I28" i="3"/>
  <c r="T14" i="6" l="1"/>
  <c r="P28" i="3"/>
  <c r="Q26" i="5"/>
  <c r="V23" i="5"/>
  <c r="T26" i="5"/>
  <c r="V9" i="5"/>
  <c r="V26" i="5" s="1"/>
  <c r="T9" i="6"/>
  <c r="P29" i="3"/>
  <c r="P27" i="3"/>
  <c r="Q23" i="6"/>
  <c r="I33" i="3"/>
  <c r="V22" i="6"/>
  <c r="U22" i="6"/>
  <c r="E25" i="6"/>
  <c r="E26" i="6" l="1"/>
  <c r="Q25" i="6"/>
  <c r="U23" i="6"/>
  <c r="V23" i="6" s="1"/>
  <c r="T25" i="6"/>
  <c r="T26" i="6" s="1"/>
  <c r="U9" i="6"/>
  <c r="U14" i="6"/>
  <c r="V14" i="6" s="1"/>
  <c r="U25" i="6" l="1"/>
  <c r="V25" i="6" s="1"/>
  <c r="V9" i="6"/>
  <c r="Q26" i="6"/>
  <c r="V26" i="6" l="1"/>
  <c r="U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Joaquín Carrizo</author>
  </authors>
  <commentList>
    <comment ref="G7" authorId="0" shapeId="0" xr:uid="{00000000-0006-0000-0300-000001000000}">
      <text>
        <r>
          <rPr>
            <sz val="11"/>
            <color theme="1"/>
            <rFont val="Calibri"/>
          </rPr>
          <t>======
ID#AAACFMzzLd8
JoaquÍn Carrizo    (2026-09-05 03:37:46)
de donde salian los 300kg?</t>
        </r>
      </text>
    </comment>
    <comment ref="H17" authorId="0" shapeId="0" xr:uid="{00000000-0006-0000-0300-000002000000}">
      <text>
        <r>
          <rPr>
            <sz val="11"/>
            <color theme="1"/>
            <rFont val="Calibri"/>
          </rPr>
          <t>======
ID#AAACGS-_DkI
Mateo AlbarracÍn    (2026-09-01 00:31:48)
Ponderado x % panes</t>
        </r>
      </text>
    </comment>
    <comment ref="H19" authorId="0" shapeId="0" xr:uid="{00000000-0006-0000-0300-000003000000}">
      <text>
        <r>
          <rPr>
            <sz val="11"/>
            <color theme="1"/>
            <rFont val="Calibri"/>
          </rPr>
          <t>======
ID#AAACGS-_DkI
Mateo AlbarracÍn    (2026-09-01 00:31:48)
Ponderado x % panes</t>
        </r>
      </text>
    </comment>
  </commentList>
</comments>
</file>

<file path=xl/sharedStrings.xml><?xml version="1.0" encoding="utf-8"?>
<sst xmlns="http://schemas.openxmlformats.org/spreadsheetml/2006/main" count="1695" uniqueCount="729">
  <si>
    <t>NECESIDAD ANUAL MP</t>
  </si>
  <si>
    <t>Sección Operativa</t>
  </si>
  <si>
    <t>Alimentación</t>
  </si>
  <si>
    <t>Agregado</t>
  </si>
  <si>
    <t>Desperdicios</t>
  </si>
  <si>
    <t>Producción</t>
  </si>
  <si>
    <t>Recuperable</t>
  </si>
  <si>
    <t>No recuperable</t>
  </si>
  <si>
    <t>Amasado</t>
  </si>
  <si>
    <t>-</t>
  </si>
  <si>
    <t>Moldeado</t>
  </si>
  <si>
    <t>Horneado</t>
  </si>
  <si>
    <t>Enfriado</t>
  </si>
  <si>
    <t>Fraccionado</t>
  </si>
  <si>
    <t>Envasado primario</t>
  </si>
  <si>
    <t>Envasado secundario</t>
  </si>
  <si>
    <t>Paletizado</t>
  </si>
  <si>
    <t>TOTALES</t>
  </si>
  <si>
    <t>Desperdicio total</t>
  </si>
  <si>
    <t>Desvios</t>
  </si>
  <si>
    <t>Desperdicio no recuperable</t>
  </si>
  <si>
    <t>Linea B - Panificados</t>
  </si>
  <si>
    <t>Batido</t>
  </si>
  <si>
    <t>Dosificado</t>
  </si>
  <si>
    <t>Fermentado</t>
  </si>
  <si>
    <t>Desmolde</t>
  </si>
  <si>
    <t>BATIDORA PLANETARIA</t>
  </si>
  <si>
    <t>AMASADORA</t>
  </si>
  <si>
    <t>CAPACIDAD</t>
  </si>
  <si>
    <t>Capacidad máxima (kg)</t>
  </si>
  <si>
    <t>Tiempo batido prom (h)</t>
  </si>
  <si>
    <t>Tiempo amasado prom (h)</t>
  </si>
  <si>
    <t>Capacidad teórica (kg/h)</t>
  </si>
  <si>
    <t>PLANTA DE ALIMENTOS LIBRES DE GLUTEN (CELI)</t>
  </si>
  <si>
    <t>Proyecto Final de Ingeniería Industrial - UTN FRBA | Articulación Dinámica PCP vs. Layout</t>
  </si>
  <si>
    <t>REFERENCIA DE FORMATO:</t>
  </si>
  <si>
    <t>Parámetro Configurable (Modificable)</t>
  </si>
  <si>
    <t>Fórmula Automática / Vinculada</t>
  </si>
  <si>
    <t>1. OBJETIVO DEL ESTUDIO TÉCNICO-LOGÍSTICO</t>
  </si>
  <si>
    <t>El presente modelo articula los datos maestros de Planeamiento y Control de la Producción (PCP), balance de masa (BOM) y dimensionamiento de equipos al Año 10 con la distribución en planta (Layout).</t>
  </si>
  <si>
    <t>Todas las hojas se encuentran 100% vinculadas dinámicamente: cualquier modificación en la demanda, baches o rendimientos del PCP impacta de forma automática en los stocks, frecuencias y horas de traslado del layout.</t>
  </si>
  <si>
    <t>2. INDICADORES MAESTROS DE PLANTA (VINCULADOS AL PCP Y LAYOUT)</t>
  </si>
  <si>
    <t>PRODUCCIÓN TOTAL AÑO 10</t>
  </si>
  <si>
    <t>RÉGIMEN OPERATIVO</t>
  </si>
  <si>
    <t>SALIDA POR TURNO</t>
  </si>
  <si>
    <t>239 días / 3 turnos</t>
  </si>
  <si>
    <t>kg PT / año | Línea A: Galletitas | Línea B: Panificados</t>
  </si>
  <si>
    <t>5.736 hs activas/año (15 turnos/sem)</t>
  </si>
  <si>
    <t>kg PT / turno | Promedio ponderado total planta</t>
  </si>
  <si>
    <t>PALLETS A EXPEDICIÓN</t>
  </si>
  <si>
    <t>POLÍTICA DE STOCK PT</t>
  </si>
  <si>
    <t>HORAS TRASLADO / TURNO</t>
  </si>
  <si>
    <t>pallets / semana | Galletitas: 30 pal/sem | Panif: 10 pal/sem</t>
  </si>
  <si>
    <t>días hábiles | Capacidad: 160 posiciones de rack</t>
  </si>
  <si>
    <t>hs / turno | Tiempo total en movimientos internos</t>
  </si>
  <si>
    <t>3. METODOLOGÍA DE ARTICULACIÓN DINÁMICA ENTRE HOJAS</t>
  </si>
  <si>
    <t>Etapa Metodológica</t>
  </si>
  <si>
    <t>Descripción y Justificación Técnica</t>
  </si>
  <si>
    <t>Solapa de Referencia</t>
  </si>
  <si>
    <t>PASO 1: PCP MAESTRO (ENTRADA)</t>
  </si>
  <si>
    <t>Cálculo de turnos por SKU, batches por hora y masa a preparar según rendimientos del BOM.</t>
  </si>
  <si>
    <t>Solapa: 2. PCP - Programa &amp; Lotes</t>
  </si>
  <si>
    <t>PASO 2: CUANTIFICACIÓN DE FRECUENCIAS</t>
  </si>
  <si>
    <t>Análisis detallado tramo por tramo (pesos, velocidades, tiempos de maniobra y cálculo dinámico de horas).</t>
  </si>
  <si>
    <t>Solapa: 3. Cuantificación Frecuencias</t>
  </si>
  <si>
    <t>PASO 3: DIMENSIONAMIENTO DE STOCKS</t>
  </si>
  <si>
    <t>Cálculo automático de posiciones de racks PT (160 pal), MP (52 pal) y pulmones WIP alimentado por el PCP.</t>
  </si>
  <si>
    <t>Solapa: 4. Dimensionamiento Stocks</t>
  </si>
  <si>
    <t>PASO 4: MATRIZ DESDE-HASTA (VIAJES Y MASA)</t>
  </si>
  <si>
    <t>Matrices 18x18 con nombres de sectores en horizontal vinculadas a la solapa de cuantificación de frecuencias.</t>
  </si>
  <si>
    <t>Solapas: 5. Desde-Hasta (Viajes) / 6. (Masa)</t>
  </si>
  <si>
    <t>PASO 5: EVALUACIÓN Y OPTIMIZACIÓN CAD</t>
  </si>
  <si>
    <t>Cálculo del Momento de Transporte Ponderado (M = fij * dij y M_peso = fij * dij * peso) cruzando distancias CAD.</t>
  </si>
  <si>
    <t>Solapa: 7. Carga-Distancia &amp; Horas</t>
  </si>
  <si>
    <t>PLANEAMIENTO Y CONTROL DE PRODUCCIÓN (PCP) - AÑO 10 (HOJA MAESTRA)</t>
  </si>
  <si>
    <t>Desglose por SKU, Programa Maestro (MPS), Batches de Producción y Régimen de Turnos</t>
  </si>
  <si>
    <t>1. DESGLOSE DE PRODUCCIÓN POR PRODUCTO (MIX DE VENTAS AÑO 10)</t>
  </si>
  <si>
    <t>Línea</t>
  </si>
  <si>
    <t>Cód.</t>
  </si>
  <si>
    <t>Denominación del Producto</t>
  </si>
  <si>
    <t>Present.</t>
  </si>
  <si>
    <t>PT Anual (kg)</t>
  </si>
  <si>
    <t>% Mix</t>
  </si>
  <si>
    <t>PT Mensual (kg)</t>
  </si>
  <si>
    <t>PT Diario (kg)</t>
  </si>
  <si>
    <t>PT Turno (kg)</t>
  </si>
  <si>
    <t>Cajas / Turno</t>
  </si>
  <si>
    <t>Pallets / Sem</t>
  </si>
  <si>
    <t>Frecuencia / Campaña</t>
  </si>
  <si>
    <t>Línea A - Galletitas</t>
  </si>
  <si>
    <t>A001</t>
  </si>
  <si>
    <t>Chocolate con chips picante</t>
  </si>
  <si>
    <t>150g</t>
  </si>
  <si>
    <t>Campaña quincenal (8-9 turnos/mes)</t>
  </si>
  <si>
    <t>A002</t>
  </si>
  <si>
    <t>Galletitas símil chocolinas free</t>
  </si>
  <si>
    <t>Campaña quincenal (1-2 turnos/mes)</t>
  </si>
  <si>
    <t>A003</t>
  </si>
  <si>
    <t>Galletitas símil chocolinas</t>
  </si>
  <si>
    <t>Campaña quincenal (2-3 turnos/mes)</t>
  </si>
  <si>
    <t>A004</t>
  </si>
  <si>
    <t>Pepas chocolate y batata</t>
  </si>
  <si>
    <t>Campaña quincenal (8 turnos/mes)</t>
  </si>
  <si>
    <t>A005</t>
  </si>
  <si>
    <t>Bizcochos sabor queso free</t>
  </si>
  <si>
    <t>A006</t>
  </si>
  <si>
    <t>Bizcochos sabor queso</t>
  </si>
  <si>
    <t>A007</t>
  </si>
  <si>
    <t>Polvorones free</t>
  </si>
  <si>
    <t>Campaña quincenal (2 turnos/mes)</t>
  </si>
  <si>
    <t>A008</t>
  </si>
  <si>
    <t>Polvorones</t>
  </si>
  <si>
    <t>Campaña quincenal (4-5 turnos/mes)</t>
  </si>
  <si>
    <t>Línea B - Panificados</t>
  </si>
  <si>
    <t>B001</t>
  </si>
  <si>
    <t>Pan de molde</t>
  </si>
  <si>
    <t>400g</t>
  </si>
  <si>
    <t>Lunes y Miércoles (TM, TT, TN)</t>
  </si>
  <si>
    <t>B002</t>
  </si>
  <si>
    <t>Budines vainilla / cítricos</t>
  </si>
  <si>
    <t>180g</t>
  </si>
  <si>
    <t>Martes, Jueves y Viernes</t>
  </si>
  <si>
    <t>B003</t>
  </si>
  <si>
    <t>Budines chocolate free</t>
  </si>
  <si>
    <t>Jueves y Viernes</t>
  </si>
  <si>
    <t>TOTAL GENERAL PLANTA CELI</t>
  </si>
  <si>
    <t>40 pallets / semana a régimen</t>
  </si>
  <si>
    <t>2. PARÁMETROS OPERATIVOS DE PROCESO Y TAMAÑOS DE BATCH</t>
  </si>
  <si>
    <t>Parámetro Técnico / Operativo</t>
  </si>
  <si>
    <t>Unidad</t>
  </si>
  <si>
    <t>Impacto en el Layout / Manejo de Materiales</t>
  </si>
  <si>
    <t>Salida PT Neta por Turno (kg)</t>
  </si>
  <si>
    <t>kg PT / turno</t>
  </si>
  <si>
    <t>Salida neta de producto terminado de cada línea</t>
  </si>
  <si>
    <t>Rendimiento Global de Proceso (%)</t>
  </si>
  <si>
    <t>% masa a PT</t>
  </si>
  <si>
    <t>Pérdidas de humedad, cocción y mermas (BOM)</t>
  </si>
  <si>
    <t>Masa total a preparar por turno</t>
  </si>
  <si>
    <t>kg masa / turno</t>
  </si>
  <si>
    <t>Flujo que ingresa a Pesado y Amasado/Batido</t>
  </si>
  <si>
    <t>Capacidad unitaria de máquina (Batea x6)</t>
  </si>
  <si>
    <t>kg / batch</t>
  </si>
  <si>
    <t>Amasadora HJ25B (25kg) vs. Batidora Moretti (45kg)</t>
  </si>
  <si>
    <t>Cantidad de Batches por Turno</t>
  </si>
  <si>
    <t>tandas / turno</t>
  </si>
  <si>
    <t>Define los viajes Pesado &lt;-&gt; Amasado en Desde-Hasta</t>
  </si>
  <si>
    <t>Capacidad de la Unidad Intermedia</t>
  </si>
  <si>
    <t>kg / unidad</t>
  </si>
  <si>
    <t>Batea volcable (25kg) vs. Carro 15 bandejas (40,5kg)</t>
  </si>
  <si>
    <t>Carros / Bateas por Turno en Proceso</t>
  </si>
  <si>
    <t>unid. rodantes / turno</t>
  </si>
  <si>
    <t>Tráfico pesado en hornos, fermentador y enfriamiento</t>
  </si>
  <si>
    <t>Tiempo de Residencia en Enfriado</t>
  </si>
  <si>
    <t>minutos</t>
  </si>
  <si>
    <t>Exige pulmón estático de 4 carros en Panificados</t>
  </si>
  <si>
    <t>Salida de Cajas Secundarias</t>
  </si>
  <si>
    <t>cajas / turno</t>
  </si>
  <si>
    <t>Flujo hacia mesa de encajonado manual</t>
  </si>
  <si>
    <t>Generación de Pallets PT</t>
  </si>
  <si>
    <t>pallets / turno</t>
  </si>
  <si>
    <t>Traslado con zorra hidráulica a depósito PT</t>
  </si>
  <si>
    <t>VERSION 2 PARA DESDE/HASTA</t>
  </si>
  <si>
    <t>Nuevas bateas en carros</t>
  </si>
  <si>
    <t>Nuevas bateas con ruedas</t>
  </si>
  <si>
    <t>Redondeo al inmediato superior</t>
  </si>
  <si>
    <t>kg/año</t>
  </si>
  <si>
    <t>Desperdicios por mes</t>
  </si>
  <si>
    <t>kg</t>
  </si>
  <si>
    <t>Desperdicios por dia</t>
  </si>
  <si>
    <t>Desperdicios por turno</t>
  </si>
  <si>
    <t>CUANTIFICACIÓN FINA DE FRECUENCIAS, VELOCIDADES Y TIEMPOS DE TRASLADO</t>
  </si>
  <si>
    <t>Desglose Operativo por Tramo, Medios de Manutención, Peso, Velocidad y Horas de Transporte por Turno</t>
  </si>
  <si>
    <t>N° Tramo</t>
  </si>
  <si>
    <t>Origen</t>
  </si>
  <si>
    <t>Destino</t>
  </si>
  <si>
    <t>Material / Carga Transportada</t>
  </si>
  <si>
    <t>Medio de Transporte</t>
  </si>
  <si>
    <t>Peso por Viaje (kg)</t>
  </si>
  <si>
    <t>Frecuencia f (viajes/turno)</t>
  </si>
  <si>
    <t>Flujo Masa (kg/turno)</t>
  </si>
  <si>
    <t>Distancia d (m)</t>
  </si>
  <si>
    <t>Velocidad v (m/min)</t>
  </si>
  <si>
    <t>Tiempo Maniobra (min)</t>
  </si>
  <si>
    <t>Tiempo por Ciclo (min)</t>
  </si>
  <si>
    <t>Horas Traslado (hs/turno)</t>
  </si>
  <si>
    <t>Esfuerzo Carga-Dist (kg·m/turno)</t>
  </si>
  <si>
    <t>Ponderación flujo másico</t>
  </si>
  <si>
    <t>Intensidad masa</t>
  </si>
  <si>
    <t>Intensidad frecuencia</t>
  </si>
  <si>
    <t>TR-01</t>
  </si>
  <si>
    <t>1. Depósito MP</t>
  </si>
  <si>
    <t>2. Sección Pesado</t>
  </si>
  <si>
    <t>Bolsas harinas, féculas, azúcar, aditivos</t>
  </si>
  <si>
    <t>Zorra hidráulica HELI BF25</t>
  </si>
  <si>
    <t>Alta</t>
  </si>
  <si>
    <t>Media</t>
  </si>
  <si>
    <t>A</t>
  </si>
  <si>
    <t>TR-02</t>
  </si>
  <si>
    <t>3. Amasado G</t>
  </si>
  <si>
    <t>Insumos pesados fraccionados para amasadora</t>
  </si>
  <si>
    <t>Tachos / Contenedores rodantes</t>
  </si>
  <si>
    <t>E</t>
  </si>
  <si>
    <t>TR-03</t>
  </si>
  <si>
    <t>4. Moldeado G</t>
  </si>
  <si>
    <t>Amasijo volcado de amasadora a tolva</t>
  </si>
  <si>
    <t>Batea rodante volcable</t>
  </si>
  <si>
    <t>TR-04</t>
  </si>
  <si>
    <t>5. Horno Túnel G</t>
  </si>
  <si>
    <t>Galletitas crudas formadas</t>
  </si>
  <si>
    <t>Cinta transportadora continua [C]</t>
  </si>
  <si>
    <t>N/A</t>
  </si>
  <si>
    <t>TR-05</t>
  </si>
  <si>
    <t>6. Cinta Enfriado G</t>
  </si>
  <si>
    <t>Galletitas cocidas calientes</t>
  </si>
  <si>
    <t>TR-06</t>
  </si>
  <si>
    <t>7. Envasado 1° G</t>
  </si>
  <si>
    <t>Galletitas a temperatura ambiente</t>
  </si>
  <si>
    <t>Cinta inclinada de alimentación [C]</t>
  </si>
  <si>
    <t>TR-07</t>
  </si>
  <si>
    <t>17. Depósito PT</t>
  </si>
  <si>
    <t>Pallet Arlog conformado con 105 cajas</t>
  </si>
  <si>
    <t>Baja</t>
  </si>
  <si>
    <t>I</t>
  </si>
  <si>
    <t>TR-08</t>
  </si>
  <si>
    <t>9. Batido Panif.</t>
  </si>
  <si>
    <t>Premezclas, huevo, aceite fraccionados</t>
  </si>
  <si>
    <t>TR-09</t>
  </si>
  <si>
    <t>10. Dosificado P.</t>
  </si>
  <si>
    <t>Batido homogéneo volcado a tolva</t>
  </si>
  <si>
    <t>TR-10</t>
  </si>
  <si>
    <t>11. Fermentado P.</t>
  </si>
  <si>
    <t>Carros porta-bandejas con moldes (Pan)</t>
  </si>
  <si>
    <t>Carro con 15 bandejas (45x70)</t>
  </si>
  <si>
    <t>12. Hornos Rotat. P.</t>
  </si>
  <si>
    <t>TR-11</t>
  </si>
  <si>
    <t>Carros leudados hacia hornos Pauna SIGMA</t>
  </si>
  <si>
    <t>TR-12</t>
  </si>
  <si>
    <t>13. Enfriado P.</t>
  </si>
  <si>
    <t>Carros calientes a 180°C saliendo de cocción</t>
  </si>
  <si>
    <t>TR-13</t>
  </si>
  <si>
    <t>15. Envasado 1° P.</t>
  </si>
  <si>
    <t>Bandejas frías hacia rebanadora y Flow-Pack</t>
  </si>
  <si>
    <t>Manual / Carro porta-bandejas</t>
  </si>
  <si>
    <t>TR-14</t>
  </si>
  <si>
    <t>Pallet terminado enfardado con cajas</t>
  </si>
  <si>
    <t>TR-15</t>
  </si>
  <si>
    <t>Desechos recuperables</t>
  </si>
  <si>
    <t>Tachos de reproceso</t>
  </si>
  <si>
    <t>O</t>
  </si>
  <si>
    <t>TR-16</t>
  </si>
  <si>
    <t>TR-17</t>
  </si>
  <si>
    <t>18. Lavado / Scrap</t>
  </si>
  <si>
    <t>Desechos no recuperables y limpieza</t>
  </si>
  <si>
    <t>TR-18</t>
  </si>
  <si>
    <t>TR-19</t>
  </si>
  <si>
    <t>Contenedor de residuos</t>
  </si>
  <si>
    <t>TR-20</t>
  </si>
  <si>
    <t>Calidad crudo</t>
  </si>
  <si>
    <t>Una muestra por batido</t>
  </si>
  <si>
    <t>Probeta</t>
  </si>
  <si>
    <t>TR-21</t>
  </si>
  <si>
    <t>Una muestra por amasado</t>
  </si>
  <si>
    <t>TR-22</t>
  </si>
  <si>
    <t>Calidad cocido</t>
  </si>
  <si>
    <t>Una muestra cada media hora</t>
  </si>
  <si>
    <t>TR-23</t>
  </si>
  <si>
    <t>TR-24</t>
  </si>
  <si>
    <t>TOTALES DE PLANTA</t>
  </si>
  <si>
    <t>RESUMEN DE RECURSOS DE MANEJO DE MATERIALES</t>
  </si>
  <si>
    <t>Horas totales de traslado y manipulación por turno</t>
  </si>
  <si>
    <t>hs / turno</t>
  </si>
  <si>
    <t>Tiempo total que demandan los movimientos internos en cada turno de 8h</t>
  </si>
  <si>
    <t>Equivalente en Jornadas de Operario de Manutención</t>
  </si>
  <si>
    <t>operarios equiv. / turno</t>
  </si>
  <si>
    <t>Cantidad de operarios a tiempo completo dedicados al transporte interno</t>
  </si>
  <si>
    <t>Esfuerzo Total Carga-Distancia Ponderado por Masa</t>
  </si>
  <si>
    <t>kg · m / turno</t>
  </si>
  <si>
    <t>Indicador global de esfuerzo logístico interno (a minimizar en CAD)</t>
  </si>
  <si>
    <t>DIMENSIONAMIENTO DE ALMACENES Y STOCKS (PCP -&gt; LAYOUT)</t>
  </si>
  <si>
    <t>Cálculo de Posiciones de Racks, Superficies de Depósitos (MP y PT) y Pulmones Intermedios (WIP)</t>
  </si>
  <si>
    <t>Parámetro de Dimensionamiento</t>
  </si>
  <si>
    <t>Valor / Fórmula</t>
  </si>
  <si>
    <t>Criterio Técnico / Normativa</t>
  </si>
  <si>
    <t>Salida semanal de Galletitas (PT)</t>
  </si>
  <si>
    <t>pallets / sem</t>
  </si>
  <si>
    <t>Vinculado a PCP: Pallets/turno Galletitas * 15 turnos</t>
  </si>
  <si>
    <t>Salida semanal de Panificados (PT)</t>
  </si>
  <si>
    <t>Vinculado a PCP: Pallets/turno Panificados * 15 turnos</t>
  </si>
  <si>
    <t>Total de Pallets generados por semana</t>
  </si>
  <si>
    <t>Flujo total a absorber por el depósito PT</t>
  </si>
  <si>
    <t>Política de Cobertura de Stock PT</t>
  </si>
  <si>
    <t>días hábiles</t>
  </si>
  <si>
    <t>Equivale a 2 semanas de producción a régimen (Fundamentado por SLA 98% y ciclo)</t>
  </si>
  <si>
    <t>Capacidad de Almacenamiento Requerida (PT)</t>
  </si>
  <si>
    <t>posiciones pallet</t>
  </si>
  <si>
    <t>Stock Máximo = Pallets/sem * Semanas de cobertura</t>
  </si>
  <si>
    <t>Tipo de Pallet Normalizado</t>
  </si>
  <si>
    <t>Arlog (1.200 x 1.000 mm)</t>
  </si>
  <si>
    <t>Altura máxima con carga estibada: 1,85 m</t>
  </si>
  <si>
    <t>Configuración de Estanterías</t>
  </si>
  <si>
    <t>Racks Selectivos pesados</t>
  </si>
  <si>
    <t>3 niveles de altura (2 pallets por módulo de 2,70 m)</t>
  </si>
  <si>
    <t>Niveles de Estiba en Racks</t>
  </si>
  <si>
    <t>niveles</t>
  </si>
  <si>
    <t>Altura de rack útil: aprox. 6,00 m</t>
  </si>
  <si>
    <t>Cantidad de Módulos de Racks en Planta</t>
  </si>
  <si>
    <t>módulos dobles</t>
  </si>
  <si>
    <t>Cada módulo doble aloja 6 pallets (3 niveles x 2 pallets)</t>
  </si>
  <si>
    <t>Superficie Estática de Racks (Ss)</t>
  </si>
  <si>
    <t>m²</t>
  </si>
  <si>
    <t>Huella de las estructuras de almacenamiento</t>
  </si>
  <si>
    <t>Ancho de Pasillo para Autoelevador</t>
  </si>
  <si>
    <t>metros</t>
  </si>
  <si>
    <t>Radio de giro y maniobra autoelevador eléctrico HELI ORME-CMM-16</t>
  </si>
  <si>
    <t>Área de Maniobra y Pasillos (Sg + Se)</t>
  </si>
  <si>
    <t>Espacio para circulación y carga/descarga segura</t>
  </si>
  <si>
    <t>Área de Enfilmado, Picking y Dársena</t>
  </si>
  <si>
    <t>Plato giratorio stretch + pulmón de precarga a camión</t>
  </si>
  <si>
    <t>SUPERFICIE TOTAL REQUERIDA DEPÓSITO PT</t>
  </si>
  <si>
    <t>Dimensión mínima a verificar en el archivo CAD</t>
  </si>
  <si>
    <t>Consumo semanal de MP (Galletitas)</t>
  </si>
  <si>
    <t>kg / sem</t>
  </si>
  <si>
    <t>Vinculado a PCP: Masa/turno Galletitas * 15 turnos</t>
  </si>
  <si>
    <t>Consumo semanal de MP (Panificados)</t>
  </si>
  <si>
    <t>Vinculado a PCP: Masa/turno Panificados * 15 turnos</t>
  </si>
  <si>
    <t>Consumo total semanal de Materias Primas</t>
  </si>
  <si>
    <t>Aprox. 17,3 toneladas semanales de insumos</t>
  </si>
  <si>
    <t>Política de Cobertura de Stock MP</t>
  </si>
  <si>
    <t>10 días de lote de compra + 5 días stock seguridad</t>
  </si>
  <si>
    <t>Capacidad de Almacenamiento MP Requerida</t>
  </si>
  <si>
    <t>Equivale a 3 semanas de consumo en racks (1000 kg/pal)</t>
  </si>
  <si>
    <t>Zona de Cuarentena y Muestreo Sin TACC</t>
  </si>
  <si>
    <t>Área delimitada para control de gluten (&lt;10 ppm)</t>
  </si>
  <si>
    <t>Superficie Estática de Racks MP (3 niveles)</t>
  </si>
  <si>
    <t>Estructura para almacenar las posiciones en 3 alturas</t>
  </si>
  <si>
    <t>Pasillo y Maniobra Autoelevador MP</t>
  </si>
  <si>
    <t>Circulación y abastecimiento a Sección Pesado</t>
  </si>
  <si>
    <t>Dársena de Recepción y Descarga</t>
  </si>
  <si>
    <t>Área bajo techo frente a portón de descarga</t>
  </si>
  <si>
    <t>SUPERFICIE TOTAL REQUERIDA DEPÓSITO MP</t>
  </si>
  <si>
    <t>Sector / Buffer Intermedio</t>
  </si>
  <si>
    <t>Capacidad Física Requerida</t>
  </si>
  <si>
    <t>Superficie Estimada (m²)</t>
  </si>
  <si>
    <t>Justificación Operativa / Requisito Sanitario</t>
  </si>
  <si>
    <t>Pulmón de Carros de Enfriamiento (Panificados)</t>
  </si>
  <si>
    <t>4 carros en paralelo</t>
  </si>
  <si>
    <t>Carros calientes en reposo térmico (60-90 min) previo a envasado</t>
  </si>
  <si>
    <t>Pulmón de Fermentación (Pan de Molde)</t>
  </si>
  <si>
    <t>Cámara + 2 carros buffer</t>
  </si>
  <si>
    <t>Carros cargados en espera de horneado</t>
  </si>
  <si>
    <t>Buffer de Palletizado (Envasado 2° Galletitas)</t>
  </si>
  <si>
    <t>1 pallet conformando + 1 listo</t>
  </si>
  <si>
    <t>Espacio para estiba manual y zorra hidráulica</t>
  </si>
  <si>
    <t>Buffer de Palletizado (Envasado 2° Panificados)</t>
  </si>
  <si>
    <t>1 pallet conformando</t>
  </si>
  <si>
    <t>Espacio para estiba de cajas multiproducto</t>
  </si>
  <si>
    <t>Pulmón de Bateas y Tachos Limpios (Lavado)</t>
  </si>
  <si>
    <t>Área de baches listos</t>
  </si>
  <si>
    <t>Recipientes limpios en espera de fraccionamiento</t>
  </si>
  <si>
    <t>MATRIZ DESDE - HASTA DE FRECUENCIAS DE TRANSPORTE (fij)</t>
  </si>
  <si>
    <t>Frecuencia de Movimientos por Turno de 8 Horas al Año 10 (Viajes / Turno) - Construida íntegramente desde 3. Cuantificación Frecuencias</t>
  </si>
  <si>
    <t>Parámetro
Configurable
(Modificable)</t>
  </si>
  <si>
    <t>Fórmula
Automática /
Vinculada</t>
  </si>
  <si>
    <t>DESDE \ HASTA</t>
  </si>
  <si>
    <t>1. Dep. MP</t>
  </si>
  <si>
    <t>2. Pesado</t>
  </si>
  <si>
    <t>6. Enfriado G</t>
  </si>
  <si>
    <t>7. Env. 1° G</t>
  </si>
  <si>
    <t>8. Batido Panif.</t>
  </si>
  <si>
    <t>9. Dosificado P.</t>
  </si>
  <si>
    <t>10. Fermentado P.</t>
  </si>
  <si>
    <t>11. Hornos Rotat. P.</t>
  </si>
  <si>
    <t>12. Enfriado P.</t>
  </si>
  <si>
    <t>13. Env. 1° P.</t>
  </si>
  <si>
    <t>14. Dep. PT</t>
  </si>
  <si>
    <t>15. Lav./Scrap</t>
  </si>
  <si>
    <t>16. Recirc. Mermas</t>
  </si>
  <si>
    <t>17. Evac. Residuos</t>
  </si>
  <si>
    <t>18. Calidad crudo</t>
  </si>
  <si>
    <t>19. Calidad cocido</t>
  </si>
  <si>
    <t>SALIDAS</t>
  </si>
  <si>
    <t>13. Envasado 1° P.</t>
  </si>
  <si>
    <t>14. Depósito PT</t>
  </si>
  <si>
    <t>15. Lavado / Scrap</t>
  </si>
  <si>
    <t>16. Recirculación Mermas</t>
  </si>
  <si>
    <t>17. Evacuación Residuos</t>
  </si>
  <si>
    <t>ENTRADAS</t>
  </si>
  <si>
    <t>REFERENCIAS DE TIPOS DE FLUJO</t>
  </si>
  <si>
    <t>N/A [C]</t>
  </si>
  <si>
    <t>Flujo mecánico continuo</t>
  </si>
  <si>
    <t>En la Hoja 3 la frecuencia/masa figura como N/A por tratarse de una cinta continua; se mantiene la referencia directa.</t>
  </si>
  <si>
    <t>Azul / Vinculado</t>
  </si>
  <si>
    <t>Flujo vinculado a Hoja 3</t>
  </si>
  <si>
    <t>Valor obtenido mediante fórmula que referencia directamente 3. Cuantificación Frecuencias.</t>
  </si>
  <si>
    <t>Calidad</t>
  </si>
  <si>
    <t>Movimiento de muestra</t>
  </si>
  <si>
    <t>La frecuencia se contabiliza como movimiento; en flujo de masa las muestras figuran con 0 kg/turno según la Hoja 3.</t>
  </si>
  <si>
    <t>MATRIZ DESDE - HASTA DE FLUJO DE MASA (kg / Turno)</t>
  </si>
  <si>
    <t>Flujo Másico Transportado por Turno de 8 Horas (Año 10) - Construida íntegramente desde 3. Cuantificación Frecuencias</t>
  </si>
  <si>
    <t>SALIDAS (kg)</t>
  </si>
  <si>
    <t>ENTRADAS (kg)</t>
  </si>
  <si>
    <t>HERRAMIENTA DE EVALUACIÓN DE LAYOUT (CARGA - DISTANCIA Y HORAS)</t>
  </si>
  <si>
    <t>Cálculo del Momento de Transporte (M = fij * dij), Esfuerzo Ponderado (kg·m) y Horas de Mano de Obra</t>
  </si>
  <si>
    <t>Parámetro Configurable</t>
  </si>
  <si>
    <t>1. CENTROIDES Y COORDENADAS DEL PLANO AUTOCAD (MODIFICABLES)</t>
  </si>
  <si>
    <t>N°</t>
  </si>
  <si>
    <t>Sector / Máquina</t>
  </si>
  <si>
    <t>Coord X (m)</t>
  </si>
  <si>
    <t>Coord Y (m)</t>
  </si>
  <si>
    <t>Superficie (m²)</t>
  </si>
  <si>
    <t>Estado en Layout CAD</t>
  </si>
  <si>
    <t>Depósito MP e Insumos</t>
  </si>
  <si>
    <t>Común</t>
  </si>
  <si>
    <t>Ubicado en cabecera de recepción</t>
  </si>
  <si>
    <t>Sección Pesado / Fraccionamiento</t>
  </si>
  <si>
    <t>Adyacente a Depósito MP</t>
  </si>
  <si>
    <t>Amasado Galletitas (Amasadora HJ25B)</t>
  </si>
  <si>
    <t>Galletitas</t>
  </si>
  <si>
    <t>Alimentación de línea A</t>
  </si>
  <si>
    <t>Moldeado Galletitas (Ralem R800)</t>
  </si>
  <si>
    <t>Inicio de línea continua</t>
  </si>
  <si>
    <t>Horno Túnel Galletitas (GD-BTOM10)</t>
  </si>
  <si>
    <t>Línea recta (6 x 1,3 m)</t>
  </si>
  <si>
    <t>Cinta de Enfriado Galletitas</t>
  </si>
  <si>
    <t>Transferencia a envasado</t>
  </si>
  <si>
    <t>Envasado 1° Galletitas (Zon Pack)</t>
  </si>
  <si>
    <t>Envasadora vertical</t>
  </si>
  <si>
    <t>Envasado 2° Galletitas (Mesa manual)</t>
  </si>
  <si>
    <t>Encajonado y conformado pallet</t>
  </si>
  <si>
    <t>Batido Panificados (Moretti Ultra 60)</t>
  </si>
  <si>
    <t>Panificados</t>
  </si>
  <si>
    <t>Alimentación de línea B</t>
  </si>
  <si>
    <t>Dosificado Panificados (Indurpack)</t>
  </si>
  <si>
    <t>Carga de carros con bandejas</t>
  </si>
  <si>
    <t>Fermentador Panes (NKF-36RS)</t>
  </si>
  <si>
    <t>Cámara de leudado</t>
  </si>
  <si>
    <t>Hornos Rotativos Pauna SIGMA (2 u.)</t>
  </si>
  <si>
    <t>Batería de cocción por carros</t>
  </si>
  <si>
    <t>Sector Enfriado Panificados (Carros)</t>
  </si>
  <si>
    <t>Pulmón de 4 carros calientes</t>
  </si>
  <si>
    <t>Rebanadora de Pan (Braesi)</t>
  </si>
  <si>
    <t>Corte continuo de pan de molde</t>
  </si>
  <si>
    <t>Envasado 1° Panificados (Flow-Pack)</t>
  </si>
  <si>
    <t>Envasadora Brunetti EFH700X</t>
  </si>
  <si>
    <t>Envasado 2° Panificados (Mesa manual)</t>
  </si>
  <si>
    <t>Depósito PT y Expedición</t>
  </si>
  <si>
    <t>Racks selectivos 160 pallets</t>
  </si>
  <si>
    <t>Lavado de Bateas y Gestión Scrap</t>
  </si>
  <si>
    <t>Servicios</t>
  </si>
  <si>
    <t>Zona periférica limpia</t>
  </si>
  <si>
    <t>2. ANÁLISIS DE INTENSIDAD DE TRÁFICO, MOMENTO DE TRANSPORTE Y HORAS DE TRASLADO</t>
  </si>
  <si>
    <t>Tramo</t>
  </si>
  <si>
    <t>Peso/Viaje (kg)</t>
  </si>
  <si>
    <t>Momento M (viajes·m / turno)</t>
  </si>
  <si>
    <t>Esfuerzo Masa (kg·m / turno)</t>
  </si>
  <si>
    <t>Velocidad (m/min)</t>
  </si>
  <si>
    <t>Nivel de Criticidad</t>
  </si>
  <si>
    <t>T01</t>
  </si>
  <si>
    <t>3. Amasado Galletitas</t>
  </si>
  <si>
    <t>CRÍTICO (Alta Frecuencia)</t>
  </si>
  <si>
    <t>T02</t>
  </si>
  <si>
    <t>4. Moldeado Galletitas</t>
  </si>
  <si>
    <t>T03</t>
  </si>
  <si>
    <t>9. Batido Panificados</t>
  </si>
  <si>
    <t>ALTO</t>
  </si>
  <si>
    <t>T04</t>
  </si>
  <si>
    <t>10. Dosificado Panif.</t>
  </si>
  <si>
    <t>T05</t>
  </si>
  <si>
    <t>11. Fermentador Panes</t>
  </si>
  <si>
    <t>T06</t>
  </si>
  <si>
    <t>12. Hornos Rotativos</t>
  </si>
  <si>
    <t>T07</t>
  </si>
  <si>
    <t>13. Enfriado Panif.</t>
  </si>
  <si>
    <t>CRÍTICO (Seguridad 180°C)</t>
  </si>
  <si>
    <t>T08</t>
  </si>
  <si>
    <t>14. Rebanado / Env 1°</t>
  </si>
  <si>
    <t>MEDIO</t>
  </si>
  <si>
    <t>T09</t>
  </si>
  <si>
    <t>MEDIO (Carga Pesada)</t>
  </si>
  <si>
    <t>T10</t>
  </si>
  <si>
    <t>BAJO (Pallets)</t>
  </si>
  <si>
    <t>T11</t>
  </si>
  <si>
    <t>13. Envasado 1° P</t>
  </si>
  <si>
    <t>TOTALES GENERALES</t>
  </si>
  <si>
    <t>Minimizar en CAD</t>
  </si>
  <si>
    <t>Código</t>
  </si>
  <si>
    <t>Significado</t>
  </si>
  <si>
    <t>Absolutamente necesario</t>
  </si>
  <si>
    <t>Especialmente importante</t>
  </si>
  <si>
    <t>Importante</t>
  </si>
  <si>
    <t>Ordinario / conveniente</t>
  </si>
  <si>
    <t>U</t>
  </si>
  <si>
    <t>Sin importancia de proximidad</t>
  </si>
  <si>
    <t>X</t>
  </si>
  <si>
    <t>Proximidad indeseable</t>
  </si>
  <si>
    <t>CARGA DE RELACIONES – MÉTODO REL</t>
  </si>
  <si>
    <t>17 áreas del croquis. Se toman las letras cargadas en 3. Cuantificación Frecuencias; combinaciones sin vínculo = U.</t>
  </si>
  <si>
    <t>Relación</t>
  </si>
  <si>
    <t>Área A</t>
  </si>
  <si>
    <t>Área B</t>
  </si>
  <si>
    <t>Grado REL</t>
  </si>
  <si>
    <t>Observación</t>
  </si>
  <si>
    <t>1-2</t>
  </si>
  <si>
    <t>Hoja 3 – TR-01</t>
  </si>
  <si>
    <t>1-3</t>
  </si>
  <si>
    <t>Sin relación directa relevante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</si>
  <si>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</si>
  <si>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</si>
  <si>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</si>
  <si>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</si>
  <si>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</si>
  <si>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</si>
  <si>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</si>
  <si>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</si>
  <si>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</si>
  <si>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</si>
  <si>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</si>
  <si>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</si>
  <si>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</si>
  <si>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16. Calidad crudo</t>
  </si>
  <si>
    <t>1-17</t>
  </si>
  <si>
    <t>17. Calidad cocido</t>
  </si>
  <si>
    <t>2-3</t>
  </si>
  <si>
    <t>Hoja 3 – TR-02</t>
  </si>
  <si>
    <t>2-4</t>
  </si>
  <si>
    <t>2-5</t>
  </si>
  <si>
    <t>2-6</t>
  </si>
  <si>
    <t>2-7</t>
  </si>
  <si>
    <t>2-8</t>
  </si>
  <si>
    <t>Hoja 3 – TR-08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</si>
  <si>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</si>
  <si>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</si>
  <si>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</si>
  <si>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</si>
  <si>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</si>
  <si>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</si>
  <si>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</si>
  <si>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</si>
  <si>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</si>
  <si>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3-4</t>
  </si>
  <si>
    <t>Hoja 3 – TR-03</t>
  </si>
  <si>
    <t>3-5</t>
  </si>
  <si>
    <t>3-6</t>
  </si>
  <si>
    <t>Hoja 3 – TR-16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</si>
  <si>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</si>
  <si>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</si>
  <si>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</si>
  <si>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</si>
  <si>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</si>
  <si>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</si>
  <si>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</si>
  <si>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</si>
  <si>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</si>
  <si>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</si>
  <si>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Ajuste manual solicitado: control de calidad crudo próximo a Amasado.</t>
  </si>
  <si>
    <t>3-17</t>
  </si>
  <si>
    <t>4-5</t>
  </si>
  <si>
    <t>Hoja 3 – TR-04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</si>
  <si>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</si>
  <si>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</si>
  <si>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</si>
  <si>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</si>
  <si>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</si>
  <si>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</si>
  <si>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</si>
  <si>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</si>
  <si>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</si>
  <si>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</si>
  <si>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Hoja 3 – TR-17</t>
  </si>
  <si>
    <t>4-16</t>
  </si>
  <si>
    <t>4-17</t>
  </si>
  <si>
    <t>5-6</t>
  </si>
  <si>
    <t>Hoja 3 – TR-05</t>
  </si>
  <si>
    <t>5-7</t>
  </si>
  <si>
    <t>5-8</t>
  </si>
  <si>
    <t>5-9</t>
  </si>
  <si>
    <t>5-10</t>
  </si>
  <si>
    <t>5-11</t>
  </si>
  <si>
    <t>5-12</t>
  </si>
  <si>
    <t>Ajuste manual: proximidad indeseable Horno Túnel G ↔ Enfriado P.</t>
  </si>
  <si>
    <t>5-13</t>
  </si>
  <si>
    <t>5-14</t>
  </si>
  <si>
    <t>5-15</t>
  </si>
  <si>
    <t>5-16</t>
  </si>
  <si>
    <t>5-17</t>
  </si>
  <si>
    <t>6-7</t>
  </si>
  <si>
    <t>Hoja 3 – TR-06</t>
  </si>
  <si>
    <t>6-8</t>
  </si>
  <si>
    <t>6-9</t>
  </si>
  <si>
    <t>6-10</t>
  </si>
  <si>
    <t>6-11</t>
  </si>
  <si>
    <t>6-12</t>
  </si>
  <si>
    <t>6-13</t>
  </si>
  <si>
    <t>6-14</t>
  </si>
  <si>
    <t>6-15</t>
  </si>
  <si>
    <t>Hoja 3 – TR-18</t>
  </si>
  <si>
    <t>6-16</t>
  </si>
  <si>
    <t>6-17</t>
  </si>
  <si>
    <t>Hoja 3 – TR-22</t>
  </si>
  <si>
    <t>7-8</t>
  </si>
  <si>
    <t>7-9</t>
  </si>
  <si>
    <t>7-10</t>
  </si>
  <si>
    <t>7-11</t>
  </si>
  <si>
    <t>7-12</t>
  </si>
  <si>
    <t>7-13</t>
  </si>
  <si>
    <t>7-14</t>
  </si>
  <si>
    <t>Hoja 3 – TR-07</t>
  </si>
  <si>
    <t>7-15</t>
  </si>
  <si>
    <t>7-16</t>
  </si>
  <si>
    <t>7-17</t>
  </si>
  <si>
    <t>Hoja 3 – TR-23</t>
  </si>
  <si>
    <t>8-9</t>
  </si>
  <si>
    <t>Hoja 3 – TR-09</t>
  </si>
  <si>
    <t>8-10</t>
  </si>
  <si>
    <t>8-11</t>
  </si>
  <si>
    <t>8-12</t>
  </si>
  <si>
    <t>8-13</t>
  </si>
  <si>
    <t>8-14</t>
  </si>
  <si>
    <t>8-15</t>
  </si>
  <si>
    <t>8-16</t>
  </si>
  <si>
    <t>Ajuste manual solicitado: control de calidad crudo próximo a Batido.</t>
  </si>
  <si>
    <t>8-17</t>
  </si>
  <si>
    <t>9-10</t>
  </si>
  <si>
    <t>Hoja 3 – TR-10</t>
  </si>
  <si>
    <t>9-11</t>
  </si>
  <si>
    <t>Hoja 3 – fila 17</t>
  </si>
  <si>
    <t>9-12</t>
  </si>
  <si>
    <t>9-13</t>
  </si>
  <si>
    <t>9-14</t>
  </si>
  <si>
    <t>9-15</t>
  </si>
  <si>
    <t>9-16</t>
  </si>
  <si>
    <t>9-17</t>
  </si>
  <si>
    <t>10-11</t>
  </si>
  <si>
    <t>Hoja 3 – TR-11</t>
  </si>
  <si>
    <t>10-12</t>
  </si>
  <si>
    <t>10-13</t>
  </si>
  <si>
    <t>10-14</t>
  </si>
  <si>
    <t>10-15</t>
  </si>
  <si>
    <t>10-16</t>
  </si>
  <si>
    <t>10-17</t>
  </si>
  <si>
    <t>11-12</t>
  </si>
  <si>
    <t>Hoja 3 – TR-12</t>
  </si>
  <si>
    <t>11-13</t>
  </si>
  <si>
    <t>11-14</t>
  </si>
  <si>
    <t>11-15</t>
  </si>
  <si>
    <t>11-16</t>
  </si>
  <si>
    <t>11-17</t>
  </si>
  <si>
    <t>12-13</t>
  </si>
  <si>
    <t>Hoja 3 – TR-13</t>
  </si>
  <si>
    <t>12-14</t>
  </si>
  <si>
    <t>12-15</t>
  </si>
  <si>
    <t>Hoja 3 – TR-19</t>
  </si>
  <si>
    <t>12-16</t>
  </si>
  <si>
    <t>12-17</t>
  </si>
  <si>
    <t>13-14</t>
  </si>
  <si>
    <t>Hoja 3 – TR-14</t>
  </si>
  <si>
    <t>13-15</t>
  </si>
  <si>
    <t>13-16</t>
  </si>
  <si>
    <t>13-17</t>
  </si>
  <si>
    <t>14-15</t>
  </si>
  <si>
    <t>14-16</t>
  </si>
  <si>
    <t>14-17</t>
  </si>
  <si>
    <t>15-16</t>
  </si>
  <si>
    <t>15-17</t>
  </si>
  <si>
    <t>16-17</t>
  </si>
  <si>
    <t>MATRIZ / DIAGRAMA REL – RELACIONES ENTRE ÁREAS</t>
  </si>
  <si>
    <t>Matriz derivada de 8. Carga REL. Diagrama inferior con la distribución del croquis del usuario.</t>
  </si>
  <si>
    <t>DESDE / HASTA</t>
  </si>
  <si>
    <t>DMP</t>
  </si>
  <si>
    <t>Pes</t>
  </si>
  <si>
    <t>M</t>
  </si>
  <si>
    <t>Htun</t>
  </si>
  <si>
    <t>EnfrG</t>
  </si>
  <si>
    <t>EnvG</t>
  </si>
  <si>
    <t>B</t>
  </si>
  <si>
    <t>DOS</t>
  </si>
  <si>
    <t>FER</t>
  </si>
  <si>
    <t>Hrot</t>
  </si>
  <si>
    <t>EnfrP</t>
  </si>
  <si>
    <t>EnvP</t>
  </si>
  <si>
    <t>DPT</t>
  </si>
  <si>
    <t>Scrap</t>
  </si>
  <si>
    <t>CCrud</t>
  </si>
  <si>
    <t>CCoc</t>
  </si>
  <si>
    <t>Representación</t>
  </si>
  <si>
    <t>4 líneas rojas</t>
  </si>
  <si>
    <t>3 líneas amarillas</t>
  </si>
  <si>
    <t>2 líneas verdes</t>
  </si>
  <si>
    <t>1 línea azul</t>
  </si>
  <si>
    <t>Sin línea</t>
  </si>
  <si>
    <t>Zigzag café</t>
  </si>
  <si>
    <t>ID</t>
  </si>
  <si>
    <t>Sector / Departamento</t>
  </si>
  <si>
    <t>Categoría SLP</t>
  </si>
  <si>
    <t>Tipo Modelado</t>
  </si>
  <si>
    <t>Ancho w [m]</t>
  </si>
  <si>
    <t>Largo h [m]</t>
  </si>
  <si>
    <t>Superficie Total [m²]</t>
  </si>
  <si>
    <t>% Sup. Productiva</t>
  </si>
  <si>
    <t>1. Aduana MP</t>
  </si>
  <si>
    <t>Almacén</t>
  </si>
  <si>
    <t>Punto Almacén MP</t>
  </si>
  <si>
    <t>2. Sección pesado</t>
  </si>
  <si>
    <t>Pesado</t>
  </si>
  <si>
    <t>Bloque Productivo</t>
  </si>
  <si>
    <t>3. Amasado</t>
  </si>
  <si>
    <t>Elaboración</t>
  </si>
  <si>
    <t>4. Batido</t>
  </si>
  <si>
    <t>5. Formadora</t>
  </si>
  <si>
    <t>6. Horno túnel</t>
  </si>
  <si>
    <t>Cocción</t>
  </si>
  <si>
    <t>7. Cinta de enfriado</t>
  </si>
  <si>
    <t>Enfriamiento</t>
  </si>
  <si>
    <t>8. Envasado 1° Galletitas</t>
  </si>
  <si>
    <t>Envasado</t>
  </si>
  <si>
    <t>10. Dosificado panificados</t>
  </si>
  <si>
    <t>11. Fermentado panes</t>
  </si>
  <si>
    <t>12. Horneado panificados</t>
  </si>
  <si>
    <t>13. Enfriado panificados</t>
  </si>
  <si>
    <t>14. Envasado 1° panificados</t>
  </si>
  <si>
    <t>TOTAL SUPERFICIE PRODUCTIVA (Puestos 2 a 15)</t>
  </si>
  <si>
    <t>2. Calidad crudo</t>
  </si>
  <si>
    <t>Ccocido</t>
  </si>
  <si>
    <t>bolsas</t>
  </si>
  <si>
    <t>TR-25</t>
  </si>
  <si>
    <t>2. Aduana MP</t>
  </si>
  <si>
    <t>Deposito PT</t>
  </si>
  <si>
    <t>Deposito MP</t>
  </si>
  <si>
    <t>TR-26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</si>
</sst>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53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Montserrat"/>
    </font>
    <font>
      <b/>
      <sz val="15"/>
      <color rgb="FF1F497D"/>
      <name val="Montserrat"/>
    </font>
    <font>
      <i/>
      <sz val="10"/>
      <color rgb="FF595959"/>
      <name val="Montserrat"/>
    </font>
    <font>
      <b/>
      <sz val="9"/>
      <color rgb="FF000000"/>
      <name val="Montserrat"/>
    </font>
    <font>
      <b/>
      <sz val="9"/>
      <color rgb="FF833C0C"/>
      <name val="Montserrat"/>
    </font>
    <font>
      <b/>
      <sz val="10"/>
      <color rgb="FFFFFFFF"/>
      <name val="Montserrat"/>
    </font>
    <font>
      <b/>
      <sz val="11"/>
      <color rgb="FF1F497D"/>
      <name val="Montserrat"/>
    </font>
    <font>
      <b/>
      <sz val="9"/>
      <color rgb="FF1F497D"/>
      <name val="Montserrat"/>
    </font>
    <font>
      <sz val="9"/>
      <color rgb="FF000000"/>
      <name val="Montserrat"/>
    </font>
    <font>
      <i/>
      <sz val="8"/>
      <color rgb="FF595959"/>
      <name val="Montserrat"/>
    </font>
    <font>
      <b/>
      <sz val="8"/>
      <color rgb="FF595959"/>
      <name val="Montserrat"/>
    </font>
    <font>
      <sz val="11"/>
      <name val="Calibri"/>
    </font>
    <font>
      <b/>
      <sz val="12"/>
      <color rgb="FF1F497D"/>
      <name val="Montserrat"/>
    </font>
    <font>
      <sz val="11"/>
      <color theme="1"/>
      <name val="Montserrat"/>
    </font>
    <font>
      <b/>
      <sz val="9"/>
      <color rgb="FFFFFFFF"/>
      <name val="Montserrat"/>
    </font>
    <font>
      <sz val="9"/>
      <color theme="1"/>
      <name val="Montserrat"/>
    </font>
    <font>
      <i/>
      <sz val="9"/>
      <color rgb="FF595959"/>
      <name val="Montserrat"/>
    </font>
    <font>
      <b/>
      <sz val="9"/>
      <color theme="1"/>
      <name val="Montserrat"/>
    </font>
    <font>
      <b/>
      <sz val="16"/>
      <color rgb="FF234F7D"/>
      <name val="Calibri"/>
    </font>
    <font>
      <i/>
      <sz val="10"/>
      <color rgb="FF666666"/>
      <name val="Calibri"/>
    </font>
    <font>
      <b/>
      <sz val="9"/>
      <color rgb="FF333333"/>
      <name val="Calibri"/>
    </font>
    <font>
      <b/>
      <sz val="8"/>
      <color rgb="FF8A4B20"/>
      <name val="Calibri"/>
    </font>
    <font>
      <b/>
      <sz val="8"/>
      <color rgb="FF333333"/>
      <name val="Calibri"/>
    </font>
    <font>
      <b/>
      <sz val="9"/>
      <color rgb="FFFFFFFF"/>
      <name val="Calibri"/>
    </font>
    <font>
      <b/>
      <sz val="8"/>
      <color rgb="FF1F1F1F"/>
      <name val="Calibri"/>
    </font>
    <font>
      <sz val="8"/>
      <color rgb="FF777777"/>
      <name val="Calibri"/>
    </font>
    <font>
      <sz val="8"/>
      <color rgb="FF1F1F1F"/>
      <name val="Calibri"/>
    </font>
    <font>
      <b/>
      <sz val="8"/>
      <color rgb="FFFFFFFF"/>
      <name val="Calibri"/>
    </font>
    <font>
      <b/>
      <sz val="10"/>
      <color rgb="FF234F7D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14"/>
      <color rgb="FFFFFFFF"/>
      <name val="Calibri"/>
    </font>
    <font>
      <i/>
      <sz val="11"/>
      <color rgb="FF1F2937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i/>
      <sz val="9"/>
      <color rgb="FF4B5563"/>
      <name val="Calibri"/>
    </font>
    <font>
      <sz val="11"/>
      <color theme="1"/>
      <name val="Calibri"/>
    </font>
    <font>
      <b/>
      <sz val="15"/>
      <color rgb="FFFFFFFF"/>
      <name val="Calibri"/>
    </font>
    <font>
      <i/>
      <sz val="11"/>
      <color rgb="FF1F1F1F"/>
      <name val="Calibri"/>
    </font>
    <font>
      <b/>
      <sz val="11"/>
      <color rgb="FF9C0006"/>
      <name val="Calibri"/>
    </font>
    <font>
      <b/>
      <sz val="11"/>
      <color rgb="FF666666"/>
      <name val="Calibri"/>
    </font>
    <font>
      <b/>
      <sz val="11"/>
      <color rgb="FF7F6000"/>
      <name val="Calibri"/>
    </font>
    <font>
      <b/>
      <sz val="11"/>
      <color rgb="FF005A9C"/>
      <name val="Calibri"/>
    </font>
    <font>
      <b/>
      <sz val="11"/>
      <color rgb="FF6B3E26"/>
      <name val="Calibri"/>
    </font>
    <font>
      <b/>
      <sz val="11"/>
      <color rgb="FF006100"/>
      <name val="Calibri"/>
    </font>
    <font>
      <b/>
      <sz val="11"/>
      <color rgb="FF1F1F1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"/>
      <color rgb="FF555555"/>
      <name val="Calibri"/>
    </font>
    <font>
      <sz val="8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EAEEF7"/>
      </patternFill>
    </fill>
    <fill>
      <patternFill patternType="solid">
        <fgColor rgb="FFF2F5F9"/>
      </patternFill>
    </fill>
    <fill>
      <patternFill patternType="solid">
        <fgColor rgb="FF2E75B6"/>
      </patternFill>
    </fill>
    <fill>
      <patternFill patternType="solid">
        <fgColor rgb="FF6AA84F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FFFF00"/>
      </patternFill>
    </fill>
    <fill>
      <patternFill patternType="solid">
        <fgColor rgb="FFF9CB9C"/>
      </patternFill>
    </fill>
    <fill>
      <patternFill patternType="solid">
        <fgColor rgb="FFFFF2CC"/>
      </patternFill>
    </fill>
    <fill>
      <patternFill patternType="solid">
        <fgColor rgb="FF234F7D"/>
      </patternFill>
    </fill>
    <fill>
      <patternFill patternType="solid">
        <fgColor rgb="FFD9D9D9"/>
      </patternFill>
    </fill>
    <fill>
      <patternFill patternType="solid">
        <fgColor rgb="FFD9E5F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0B5D37"/>
      </patternFill>
    </fill>
    <fill>
      <patternFill patternType="solid">
        <fgColor rgb="FFDDEF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E599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2F2F2"/>
      </patternFill>
    </fill>
    <fill>
      <patternFill patternType="solid">
        <fgColor rgb="FFD9B38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5B2B"/>
      </patternFill>
    </fill>
    <fill>
      <patternFill patternType="solid">
        <fgColor rgb="FFF4CCC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B08C"/>
      </patternFill>
    </fill>
    <fill>
      <patternFill patternType="solid">
        <fgColor rgb="FFD9EAD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97D"/>
      </left>
      <right style="thin">
        <color rgb="FF1F497D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97D"/>
      </left>
      <right style="thin">
        <color rgb="FF1F497D"/>
      </right>
      <top style="medium">
        <color rgb="FF1F497D"/>
      </top>
      <bottom style="medium">
        <color rgb="FF1F497D"/>
      </bottom>
      <diagonal/>
    </border>
    <border>
      <left/>
      <right/>
      <top style="medium">
        <color rgb="FF1F497D"/>
      </top>
      <bottom style="medium">
        <color rgb="FF1F497D"/>
      </bottom>
      <diagonal/>
    </border>
    <border>
      <left/>
      <right style="thin">
        <color rgb="FF1F497D"/>
      </right>
      <top style="medium">
        <color rgb="FF1F497D"/>
      </top>
      <bottom style="medium">
        <color rgb="FF1F497D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1F497D"/>
      </left>
      <right/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FFFFFF"/>
      </bottom>
      <diagonal/>
    </border>
    <border>
      <left/>
      <right style="hair">
        <color rgb="FFD9E1F2"/>
      </right>
      <top/>
      <bottom/>
      <diagonal/>
    </border>
    <border>
      <left/>
      <right/>
      <top/>
      <bottom style="hair">
        <color rgb="FFD9E1F2"/>
      </bottom>
      <diagonal/>
    </border>
    <border>
      <left/>
      <right style="hair">
        <color rgb="FFD9E1F2"/>
      </right>
      <top/>
      <bottom style="hair">
        <color rgb="FFD9E1F2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/>
    <xf numFmtId="0" fontId="11" fillId="0" borderId="2" xfId="0" applyFont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5" fontId="10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/>
    </xf>
    <xf numFmtId="166" fontId="6" fillId="2" borderId="1" xfId="0" applyNumberFormat="1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2" fontId="10" fillId="0" borderId="2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2" fontId="5" fillId="3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164" fontId="10" fillId="6" borderId="2" xfId="0" applyNumberFormat="1" applyFont="1" applyFill="1" applyBorder="1" applyAlignment="1">
      <alignment horizontal="right" vertical="center"/>
    </xf>
    <xf numFmtId="2" fontId="10" fillId="6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4" fontId="5" fillId="3" borderId="2" xfId="0" applyNumberFormat="1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15" fillId="0" borderId="7" xfId="0" applyFont="1" applyBorder="1"/>
    <xf numFmtId="4" fontId="5" fillId="0" borderId="7" xfId="0" applyNumberFormat="1" applyFont="1" applyBorder="1" applyAlignment="1">
      <alignment horizontal="right" vertical="center"/>
    </xf>
    <xf numFmtId="165" fontId="5" fillId="0" borderId="7" xfId="0" applyNumberFormat="1" applyFont="1" applyBorder="1" applyAlignment="1">
      <alignment horizontal="right" vertical="center"/>
    </xf>
    <xf numFmtId="164" fontId="5" fillId="0" borderId="7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/>
    </xf>
    <xf numFmtId="164" fontId="7" fillId="4" borderId="7" xfId="0" applyNumberFormat="1" applyFont="1" applyFill="1" applyBorder="1" applyAlignment="1">
      <alignment horizontal="right" vertical="center"/>
    </xf>
    <xf numFmtId="2" fontId="7" fillId="4" borderId="7" xfId="0" applyNumberFormat="1" applyFont="1" applyFill="1" applyBorder="1" applyAlignment="1">
      <alignment horizontal="right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7" fillId="0" borderId="0" xfId="0" applyFont="1"/>
    <xf numFmtId="0" fontId="9" fillId="0" borderId="0" xfId="0" applyFont="1"/>
    <xf numFmtId="0" fontId="18" fillId="0" borderId="0" xfId="0" applyFont="1"/>
    <xf numFmtId="0" fontId="18" fillId="0" borderId="2" xfId="0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10" fontId="17" fillId="0" borderId="0" xfId="0" applyNumberFormat="1" applyFont="1"/>
    <xf numFmtId="0" fontId="16" fillId="4" borderId="7" xfId="0" applyFont="1" applyFill="1" applyBorder="1" applyAlignment="1">
      <alignment horizontal="left" vertical="center"/>
    </xf>
    <xf numFmtId="0" fontId="17" fillId="0" borderId="7" xfId="0" applyFont="1" applyBorder="1"/>
    <xf numFmtId="164" fontId="16" fillId="4" borderId="7" xfId="0" applyNumberFormat="1" applyFont="1" applyFill="1" applyBorder="1" applyAlignment="1">
      <alignment horizontal="right" vertical="center"/>
    </xf>
    <xf numFmtId="2" fontId="16" fillId="4" borderId="7" xfId="0" applyNumberFormat="1" applyFont="1" applyFill="1" applyBorder="1" applyAlignment="1">
      <alignment horizontal="right" vertical="center"/>
    </xf>
    <xf numFmtId="0" fontId="18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3" fontId="19" fillId="9" borderId="11" xfId="0" applyNumberFormat="1" applyFont="1" applyFill="1" applyBorder="1" applyAlignment="1">
      <alignment horizontal="right" vertical="center" wrapText="1"/>
    </xf>
    <xf numFmtId="0" fontId="17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3" fontId="17" fillId="0" borderId="11" xfId="0" applyNumberFormat="1" applyFont="1" applyBorder="1" applyAlignment="1">
      <alignment horizontal="center" vertical="center" wrapText="1"/>
    </xf>
    <xf numFmtId="9" fontId="17" fillId="0" borderId="11" xfId="0" applyNumberFormat="1" applyFont="1" applyBorder="1" applyAlignment="1">
      <alignment horizontal="center" vertical="center" wrapText="1"/>
    </xf>
    <xf numFmtId="3" fontId="19" fillId="10" borderId="11" xfId="0" applyNumberFormat="1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horizontal="center" vertical="center" wrapText="1"/>
    </xf>
    <xf numFmtId="3" fontId="19" fillId="11" borderId="11" xfId="0" applyNumberFormat="1" applyFont="1" applyFill="1" applyBorder="1" applyAlignment="1">
      <alignment horizontal="right" vertical="center" wrapText="1"/>
    </xf>
    <xf numFmtId="0" fontId="19" fillId="11" borderId="11" xfId="0" applyFont="1" applyFill="1" applyBorder="1" applyAlignment="1">
      <alignment horizontal="right" vertical="center" wrapText="1"/>
    </xf>
    <xf numFmtId="0" fontId="1" fillId="11" borderId="11" xfId="0" applyFont="1" applyFill="1" applyBorder="1" applyAlignment="1">
      <alignment vertical="center" wrapText="1"/>
    </xf>
    <xf numFmtId="3" fontId="19" fillId="11" borderId="11" xfId="0" applyNumberFormat="1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right" vertical="center"/>
    </xf>
    <xf numFmtId="2" fontId="6" fillId="2" borderId="0" xfId="0" applyNumberFormat="1" applyFont="1" applyFill="1" applyAlignment="1">
      <alignment horizontal="right" vertical="center"/>
    </xf>
    <xf numFmtId="2" fontId="10" fillId="6" borderId="18" xfId="0" applyNumberFormat="1" applyFont="1" applyFill="1" applyBorder="1" applyAlignment="1">
      <alignment horizontal="right" vertical="center"/>
    </xf>
    <xf numFmtId="2" fontId="5" fillId="3" borderId="18" xfId="0" applyNumberFormat="1" applyFont="1" applyFill="1" applyBorder="1" applyAlignment="1">
      <alignment horizontal="right" vertical="center"/>
    </xf>
    <xf numFmtId="164" fontId="5" fillId="6" borderId="18" xfId="0" applyNumberFormat="1" applyFont="1" applyFill="1" applyBorder="1" applyAlignment="1">
      <alignment horizontal="right" vertical="center"/>
    </xf>
    <xf numFmtId="0" fontId="16" fillId="8" borderId="14" xfId="0" applyFont="1" applyFill="1" applyBorder="1" applyAlignment="1">
      <alignment vertical="center" wrapText="1"/>
    </xf>
    <xf numFmtId="1" fontId="2" fillId="0" borderId="0" xfId="0" applyNumberFormat="1" applyFont="1"/>
    <xf numFmtId="0" fontId="8" fillId="12" borderId="0" xfId="0" applyFont="1" applyFill="1"/>
    <xf numFmtId="0" fontId="1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10" fontId="19" fillId="9" borderId="0" xfId="0" applyNumberFormat="1" applyFont="1" applyFill="1" applyAlignment="1">
      <alignment horizontal="right" vertical="center" wrapText="1"/>
    </xf>
    <xf numFmtId="10" fontId="19" fillId="0" borderId="0" xfId="0" applyNumberFormat="1" applyFont="1" applyAlignment="1">
      <alignment horizontal="right" vertical="center" wrapText="1"/>
    </xf>
    <xf numFmtId="10" fontId="17" fillId="0" borderId="0" xfId="0" applyNumberFormat="1" applyFont="1" applyAlignment="1">
      <alignment horizontal="right" vertical="center" wrapText="1"/>
    </xf>
    <xf numFmtId="0" fontId="19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" fontId="1" fillId="0" borderId="11" xfId="0" applyNumberFormat="1" applyFont="1" applyBorder="1" applyAlignment="1">
      <alignment vertical="center" wrapText="1"/>
    </xf>
    <xf numFmtId="0" fontId="17" fillId="13" borderId="0" xfId="0" applyFont="1" applyFill="1" applyAlignment="1">
      <alignment horizontal="right" vertical="center" wrapText="1"/>
    </xf>
    <xf numFmtId="0" fontId="17" fillId="14" borderId="0" xfId="0" applyFont="1" applyFill="1" applyAlignment="1">
      <alignment horizontal="right" vertical="center" wrapText="1"/>
    </xf>
    <xf numFmtId="0" fontId="19" fillId="10" borderId="0" xfId="0" applyFont="1" applyFill="1" applyAlignment="1">
      <alignment horizontal="right" vertical="center" wrapText="1"/>
    </xf>
    <xf numFmtId="0" fontId="7" fillId="4" borderId="21" xfId="0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right" vertical="center"/>
    </xf>
    <xf numFmtId="164" fontId="5" fillId="3" borderId="20" xfId="0" applyNumberFormat="1" applyFont="1" applyFill="1" applyBorder="1" applyAlignment="1">
      <alignment horizontal="right" vertical="center"/>
    </xf>
    <xf numFmtId="166" fontId="6" fillId="2" borderId="19" xfId="0" applyNumberFormat="1" applyFont="1" applyFill="1" applyBorder="1" applyAlignment="1">
      <alignment horizontal="right" vertical="center"/>
    </xf>
    <xf numFmtId="2" fontId="6" fillId="2" borderId="19" xfId="0" applyNumberFormat="1" applyFont="1" applyFill="1" applyBorder="1" applyAlignment="1">
      <alignment horizontal="right" vertical="center"/>
    </xf>
    <xf numFmtId="2" fontId="5" fillId="3" borderId="20" xfId="0" applyNumberFormat="1" applyFont="1" applyFill="1" applyBorder="1" applyAlignment="1">
      <alignment horizontal="right" vertical="center"/>
    </xf>
    <xf numFmtId="0" fontId="11" fillId="6" borderId="20" xfId="0" applyFont="1" applyFill="1" applyBorder="1" applyAlignment="1">
      <alignment horizontal="left" vertical="center"/>
    </xf>
    <xf numFmtId="2" fontId="10" fillId="6" borderId="20" xfId="0" applyNumberFormat="1" applyFont="1" applyFill="1" applyBorder="1" applyAlignment="1">
      <alignment horizontal="right" vertical="center"/>
    </xf>
    <xf numFmtId="164" fontId="5" fillId="6" borderId="20" xfId="0" applyNumberFormat="1" applyFont="1" applyFill="1" applyBorder="1" applyAlignment="1">
      <alignment horizontal="right" vertical="center"/>
    </xf>
    <xf numFmtId="166" fontId="0" fillId="0" borderId="24" xfId="0" applyNumberFormat="1" applyBorder="1"/>
    <xf numFmtId="166" fontId="0" fillId="0" borderId="0" xfId="0" applyNumberForma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19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5" fillId="15" borderId="30" xfId="0" applyFont="1" applyFill="1" applyBorder="1" applyAlignment="1">
      <alignment horizontal="center" vertical="center" wrapText="1"/>
    </xf>
    <xf numFmtId="0" fontId="25" fillId="15" borderId="22" xfId="0" applyFont="1" applyFill="1" applyBorder="1" applyAlignment="1">
      <alignment horizontal="center" vertical="center" wrapText="1"/>
    </xf>
    <xf numFmtId="0" fontId="25" fillId="15" borderId="23" xfId="0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9" fillId="15" borderId="27" xfId="0" applyFont="1" applyFill="1" applyBorder="1" applyAlignment="1">
      <alignment horizontal="center" vertical="center"/>
    </xf>
    <xf numFmtId="166" fontId="27" fillId="16" borderId="2" xfId="0" applyNumberFormat="1" applyFont="1" applyFill="1" applyBorder="1" applyAlignment="1">
      <alignment horizontal="center" vertical="center"/>
    </xf>
    <xf numFmtId="166" fontId="28" fillId="17" borderId="2" xfId="0" applyNumberFormat="1" applyFont="1" applyFill="1" applyBorder="1" applyAlignment="1">
      <alignment horizontal="center" vertical="center"/>
    </xf>
    <xf numFmtId="166" fontId="26" fillId="17" borderId="25" xfId="0" applyNumberFormat="1" applyFont="1" applyFill="1" applyBorder="1" applyAlignment="1">
      <alignment horizontal="right" vertical="center"/>
    </xf>
    <xf numFmtId="166" fontId="26" fillId="17" borderId="26" xfId="0" applyNumberFormat="1" applyFont="1" applyFill="1" applyBorder="1" applyAlignment="1">
      <alignment horizontal="right" vertical="center"/>
    </xf>
    <xf numFmtId="166" fontId="28" fillId="17" borderId="0" xfId="0" applyNumberFormat="1" applyFont="1" applyFill="1" applyAlignment="1">
      <alignment horizontal="center" vertical="center"/>
    </xf>
    <xf numFmtId="166" fontId="28" fillId="18" borderId="2" xfId="0" applyNumberFormat="1" applyFont="1" applyFill="1" applyBorder="1" applyAlignment="1">
      <alignment horizontal="center" vertical="center"/>
    </xf>
    <xf numFmtId="166" fontId="27" fillId="16" borderId="18" xfId="0" applyNumberFormat="1" applyFont="1" applyFill="1" applyBorder="1" applyAlignment="1">
      <alignment horizontal="center" vertical="center"/>
    </xf>
    <xf numFmtId="166" fontId="27" fillId="16" borderId="0" xfId="0" applyNumberFormat="1" applyFont="1" applyFill="1" applyAlignment="1">
      <alignment horizontal="center" vertical="center"/>
    </xf>
    <xf numFmtId="166" fontId="26" fillId="17" borderId="28" xfId="0" applyNumberFormat="1" applyFont="1" applyFill="1" applyBorder="1" applyAlignment="1">
      <alignment horizontal="right" vertical="center"/>
    </xf>
    <xf numFmtId="166" fontId="29" fillId="15" borderId="29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0" borderId="24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8" xfId="0" applyFont="1" applyBorder="1" applyAlignment="1">
      <alignment wrapText="1"/>
    </xf>
    <xf numFmtId="0" fontId="32" fillId="18" borderId="31" xfId="0" applyFont="1" applyFill="1" applyBorder="1" applyAlignment="1">
      <alignment wrapText="1"/>
    </xf>
    <xf numFmtId="0" fontId="32" fillId="17" borderId="32" xfId="0" applyFont="1" applyFill="1" applyBorder="1" applyAlignment="1">
      <alignment wrapText="1"/>
    </xf>
    <xf numFmtId="0" fontId="32" fillId="20" borderId="27" xfId="0" applyFont="1" applyFill="1" applyBorder="1" applyAlignment="1">
      <alignment wrapText="1"/>
    </xf>
    <xf numFmtId="164" fontId="27" fillId="16" borderId="2" xfId="0" applyNumberFormat="1" applyFont="1" applyFill="1" applyBorder="1" applyAlignment="1">
      <alignment horizontal="center" vertical="center"/>
    </xf>
    <xf numFmtId="164" fontId="28" fillId="17" borderId="2" xfId="0" applyNumberFormat="1" applyFont="1" applyFill="1" applyBorder="1" applyAlignment="1">
      <alignment horizontal="center" vertical="center"/>
    </xf>
    <xf numFmtId="164" fontId="0" fillId="0" borderId="24" xfId="0" applyNumberFormat="1" applyBorder="1"/>
    <xf numFmtId="164" fontId="26" fillId="17" borderId="25" xfId="0" applyNumberFormat="1" applyFont="1" applyFill="1" applyBorder="1" applyAlignment="1">
      <alignment horizontal="right" vertical="center"/>
    </xf>
    <xf numFmtId="164" fontId="0" fillId="0" borderId="0" xfId="0" applyNumberFormat="1"/>
    <xf numFmtId="164" fontId="26" fillId="17" borderId="26" xfId="0" applyNumberFormat="1" applyFont="1" applyFill="1" applyBorder="1" applyAlignment="1">
      <alignment horizontal="right" vertical="center"/>
    </xf>
    <xf numFmtId="164" fontId="28" fillId="18" borderId="2" xfId="0" applyNumberFormat="1" applyFont="1" applyFill="1" applyBorder="1" applyAlignment="1">
      <alignment horizontal="center" vertical="center"/>
    </xf>
    <xf numFmtId="164" fontId="27" fillId="16" borderId="7" xfId="0" applyNumberFormat="1" applyFont="1" applyFill="1" applyBorder="1" applyAlignment="1">
      <alignment horizontal="center" vertical="center"/>
    </xf>
    <xf numFmtId="164" fontId="26" fillId="17" borderId="28" xfId="0" applyNumberFormat="1" applyFont="1" applyFill="1" applyBorder="1" applyAlignment="1">
      <alignment horizontal="right" vertical="center"/>
    </xf>
    <xf numFmtId="164" fontId="29" fillId="15" borderId="29" xfId="0" applyNumberFormat="1" applyFont="1" applyFill="1" applyBorder="1" applyAlignment="1">
      <alignment horizontal="right" vertical="center"/>
    </xf>
    <xf numFmtId="0" fontId="32" fillId="18" borderId="0" xfId="0" applyFont="1" applyFill="1" applyAlignment="1">
      <alignment wrapText="1"/>
    </xf>
    <xf numFmtId="0" fontId="32" fillId="17" borderId="0" xfId="0" applyFont="1" applyFill="1" applyAlignment="1">
      <alignment wrapText="1"/>
    </xf>
    <xf numFmtId="0" fontId="32" fillId="20" borderId="0" xfId="0" applyFont="1" applyFill="1" applyAlignment="1">
      <alignment wrapText="1"/>
    </xf>
    <xf numFmtId="0" fontId="0" fillId="0" borderId="33" xfId="0" applyBorder="1" applyAlignment="1">
      <alignment horizontal="center"/>
    </xf>
    <xf numFmtId="0" fontId="0" fillId="0" borderId="33" xfId="0" applyBorder="1"/>
    <xf numFmtId="0" fontId="36" fillId="23" borderId="33" xfId="0" applyFont="1" applyFill="1" applyBorder="1" applyAlignment="1">
      <alignment horizontal="center"/>
    </xf>
    <xf numFmtId="0" fontId="0" fillId="0" borderId="33" xfId="0" applyBorder="1" applyAlignment="1">
      <alignment wrapText="1"/>
    </xf>
    <xf numFmtId="0" fontId="35" fillId="21" borderId="33" xfId="0" applyFont="1" applyFill="1" applyBorder="1"/>
    <xf numFmtId="0" fontId="35" fillId="21" borderId="33" xfId="0" applyFont="1" applyFill="1" applyBorder="1" applyAlignment="1">
      <alignment horizontal="center" vertical="center" wrapText="1"/>
    </xf>
    <xf numFmtId="0" fontId="35" fillId="21" borderId="33" xfId="0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36" fillId="24" borderId="33" xfId="0" applyFont="1" applyFill="1" applyBorder="1"/>
    <xf numFmtId="0" fontId="36" fillId="25" borderId="33" xfId="0" applyFont="1" applyFill="1" applyBorder="1"/>
    <xf numFmtId="0" fontId="36" fillId="26" borderId="33" xfId="0" applyFont="1" applyFill="1" applyBorder="1"/>
    <xf numFmtId="0" fontId="36" fillId="27" borderId="33" xfId="0" applyFont="1" applyFill="1" applyBorder="1"/>
    <xf numFmtId="0" fontId="36" fillId="28" borderId="33" xfId="0" applyFont="1" applyFill="1" applyBorder="1"/>
    <xf numFmtId="0" fontId="36" fillId="29" borderId="33" xfId="0" applyFont="1" applyFill="1" applyBorder="1"/>
    <xf numFmtId="164" fontId="2" fillId="0" borderId="0" xfId="0" applyNumberFormat="1" applyFont="1"/>
    <xf numFmtId="0" fontId="38" fillId="0" borderId="0" xfId="0" applyFont="1"/>
    <xf numFmtId="0" fontId="38" fillId="0" borderId="33" xfId="0" applyFont="1" applyBorder="1"/>
    <xf numFmtId="2" fontId="10" fillId="0" borderId="20" xfId="0" applyNumberFormat="1" applyFont="1" applyBorder="1" applyAlignment="1">
      <alignment horizontal="right" vertical="center"/>
    </xf>
    <xf numFmtId="164" fontId="5" fillId="0" borderId="20" xfId="0" applyNumberFormat="1" applyFont="1" applyBorder="1" applyAlignment="1">
      <alignment horizontal="right" vertical="center"/>
    </xf>
    <xf numFmtId="0" fontId="35" fillId="32" borderId="35" xfId="0" applyFont="1" applyFill="1" applyBorder="1" applyAlignment="1">
      <alignment horizontal="center" vertical="center" wrapText="1"/>
    </xf>
    <xf numFmtId="0" fontId="35" fillId="3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41" fillId="33" borderId="0" xfId="0" applyFont="1" applyFill="1" applyAlignment="1">
      <alignment horizontal="center" vertical="center"/>
    </xf>
    <xf numFmtId="0" fontId="42" fillId="34" borderId="0" xfId="0" applyFont="1" applyFill="1" applyAlignment="1">
      <alignment horizontal="center" vertical="center"/>
    </xf>
    <xf numFmtId="0" fontId="43" fillId="35" borderId="0" xfId="0" applyFont="1" applyFill="1" applyAlignment="1">
      <alignment horizontal="center" vertical="center"/>
    </xf>
    <xf numFmtId="0" fontId="44" fillId="36" borderId="0" xfId="0" applyFont="1" applyFill="1" applyAlignment="1">
      <alignment horizontal="center" vertical="center"/>
    </xf>
    <xf numFmtId="0" fontId="45" fillId="37" borderId="0" xfId="0" applyFont="1" applyFill="1" applyAlignment="1">
      <alignment horizontal="center" vertical="center"/>
    </xf>
    <xf numFmtId="0" fontId="46" fillId="38" borderId="0" xfId="0" applyFont="1" applyFill="1" applyAlignment="1">
      <alignment horizontal="center" vertical="center"/>
    </xf>
    <xf numFmtId="0" fontId="42" fillId="34" borderId="37" xfId="0" applyFont="1" applyFill="1" applyBorder="1" applyAlignment="1">
      <alignment horizontal="center" vertical="center"/>
    </xf>
    <xf numFmtId="0" fontId="35" fillId="30" borderId="0" xfId="0" applyFont="1" applyFill="1" applyAlignment="1">
      <alignment horizontal="center" vertical="center" wrapText="1"/>
    </xf>
    <xf numFmtId="0" fontId="35" fillId="30" borderId="0" xfId="0" applyFont="1" applyFill="1" applyAlignment="1">
      <alignment horizontal="center" vertical="center"/>
    </xf>
    <xf numFmtId="0" fontId="42" fillId="3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vertical="center"/>
    </xf>
    <xf numFmtId="0" fontId="45" fillId="37" borderId="37" xfId="0" applyFont="1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48" fillId="41" borderId="47" xfId="0" applyFont="1" applyFill="1" applyBorder="1" applyAlignment="1">
      <alignment horizontal="center" vertical="center"/>
    </xf>
    <xf numFmtId="0" fontId="49" fillId="0" borderId="34" xfId="0" applyFont="1" applyBorder="1" applyAlignment="1">
      <alignment horizontal="center"/>
    </xf>
    <xf numFmtId="0" fontId="50" fillId="0" borderId="34" xfId="0" applyFont="1" applyBorder="1"/>
    <xf numFmtId="0" fontId="51" fillId="0" borderId="34" xfId="0" applyFont="1" applyBorder="1" applyAlignment="1">
      <alignment horizontal="center"/>
    </xf>
    <xf numFmtId="0" fontId="49" fillId="42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4" fontId="49" fillId="0" borderId="34" xfId="0" applyNumberFormat="1" applyFont="1" applyBorder="1" applyAlignment="1">
      <alignment horizontal="right"/>
    </xf>
    <xf numFmtId="0" fontId="50" fillId="0" borderId="34" xfId="0" applyFont="1" applyBorder="1" applyAlignment="1">
      <alignment horizontal="center"/>
    </xf>
    <xf numFmtId="2" fontId="0" fillId="0" borderId="34" xfId="0" applyNumberFormat="1" applyBorder="1" applyAlignment="1">
      <alignment horizontal="right"/>
    </xf>
    <xf numFmtId="165" fontId="0" fillId="0" borderId="34" xfId="0" applyNumberFormat="1" applyBorder="1" applyAlignment="1">
      <alignment horizontal="right"/>
    </xf>
    <xf numFmtId="0" fontId="49" fillId="0" borderId="0" xfId="0" applyFont="1"/>
    <xf numFmtId="4" fontId="49" fillId="42" borderId="0" xfId="0" applyNumberFormat="1" applyFont="1" applyFill="1"/>
    <xf numFmtId="165" fontId="49" fillId="0" borderId="0" xfId="0" applyNumberFormat="1" applyFont="1"/>
    <xf numFmtId="0" fontId="0" fillId="43" borderId="34" xfId="0" applyFill="1" applyBorder="1" applyAlignment="1">
      <alignment horizontal="center"/>
    </xf>
    <xf numFmtId="2" fontId="0" fillId="43" borderId="34" xfId="0" applyNumberFormat="1" applyFill="1" applyBorder="1" applyAlignment="1">
      <alignment horizontal="right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vertical="center" wrapText="1"/>
    </xf>
    <xf numFmtId="0" fontId="17" fillId="14" borderId="0" xfId="0" applyFont="1" applyFill="1" applyAlignment="1">
      <alignment vertical="center" wrapText="1"/>
    </xf>
    <xf numFmtId="0" fontId="19" fillId="10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13" fillId="0" borderId="6" xfId="0" applyFont="1" applyBorder="1"/>
    <xf numFmtId="0" fontId="12" fillId="5" borderId="4" xfId="0" applyFont="1" applyFill="1" applyBorder="1" applyAlignment="1">
      <alignment horizontal="center" vertical="center" wrapText="1"/>
    </xf>
    <xf numFmtId="4" fontId="14" fillId="5" borderId="4" xfId="0" applyNumberFormat="1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3" fontId="14" fillId="5" borderId="4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0" fillId="0" borderId="0" xfId="0"/>
    <xf numFmtId="0" fontId="31" fillId="0" borderId="25" xfId="0" applyFont="1" applyBorder="1" applyAlignment="1">
      <alignment wrapText="1"/>
    </xf>
    <xf numFmtId="0" fontId="31" fillId="0" borderId="26" xfId="0" applyFont="1" applyBorder="1" applyAlignment="1">
      <alignment wrapText="1"/>
    </xf>
    <xf numFmtId="0" fontId="31" fillId="0" borderId="29" xfId="0" applyFont="1" applyBorder="1" applyAlignment="1">
      <alignment wrapText="1"/>
    </xf>
    <xf numFmtId="0" fontId="39" fillId="30" borderId="0" xfId="0" applyFont="1" applyFill="1" applyAlignment="1">
      <alignment horizontal="center" vertical="center"/>
    </xf>
    <xf numFmtId="0" fontId="40" fillId="31" borderId="0" xfId="0" applyFont="1" applyFill="1" applyAlignment="1">
      <alignment horizontal="left" vertical="center"/>
    </xf>
    <xf numFmtId="0" fontId="37" fillId="0" borderId="0" xfId="0" applyFont="1" applyAlignment="1">
      <alignment wrapText="1"/>
    </xf>
    <xf numFmtId="0" fontId="33" fillId="21" borderId="0" xfId="0" applyFont="1" applyFill="1" applyAlignment="1">
      <alignment horizontal="center"/>
    </xf>
    <xf numFmtId="0" fontId="34" fillId="31" borderId="0" xfId="0" applyFont="1" applyFill="1" applyAlignment="1">
      <alignment horizontal="left"/>
    </xf>
    <xf numFmtId="0" fontId="34" fillId="22" borderId="0" xfId="0" applyFont="1" applyFill="1"/>
    <xf numFmtId="0" fontId="47" fillId="40" borderId="0" xfId="0" applyFont="1" applyFill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2" fontId="10" fillId="0" borderId="34" xfId="0" applyNumberFormat="1" applyFont="1" applyBorder="1" applyAlignment="1">
      <alignment horizontal="right" vertical="center"/>
    </xf>
    <xf numFmtId="2" fontId="5" fillId="3" borderId="34" xfId="0" applyNumberFormat="1" applyFont="1" applyFill="1" applyBorder="1" applyAlignment="1">
      <alignment horizontal="right" vertical="center"/>
    </xf>
    <xf numFmtId="164" fontId="5" fillId="0" borderId="34" xfId="0" applyNumberFormat="1" applyFont="1" applyBorder="1" applyAlignment="1">
      <alignment horizontal="right" vertical="center"/>
    </xf>
  </cellXfs>
  <cellStyles count="1">
    <cellStyle name="Normal" xfId="0" builtinId="0"/>
  </cellStyles>
  <dxfs count="12">
    <dxf>
      <font>
        <b/>
      </font>
      <fill>
        <patternFill>
          <bgColor rgb="FFD9B38C"/>
        </patternFill>
      </fill>
    </dxf>
    <dxf>
      <fill>
        <patternFill>
          <bgColor rgb="FFF2F2F2"/>
        </patternFill>
      </fill>
    </dxf>
    <dxf>
      <font>
        <b/>
      </font>
      <fill>
        <patternFill>
          <bgColor rgb="FFCFE2F3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FFE599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9B38C"/>
        </patternFill>
      </fill>
    </dxf>
    <dxf>
      <font>
        <b/>
      </font>
      <fill>
        <patternFill>
          <bgColor rgb="FFF2F2F2"/>
        </patternFill>
      </fill>
    </dxf>
    <dxf>
      <font>
        <b/>
      </font>
      <fill>
        <patternFill>
          <bgColor rgb="FFCFE2F3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FFE599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45719</xdr:colOff>
      <xdr:row>16</xdr:row>
      <xdr:rowOff>123264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0" y="0"/>
          <a:ext cx="45719" cy="44375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45719</xdr:colOff>
      <xdr:row>43</xdr:row>
      <xdr:rowOff>34739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0" y="0"/>
          <a:ext cx="45719" cy="9907121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2095500</xdr:colOff>
      <xdr:row>42</xdr:row>
      <xdr:rowOff>47625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2A642E9-9470-BCB2-6C52-CC3DE89A7D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2095500</xdr:colOff>
      <xdr:row>42</xdr:row>
      <xdr:rowOff>47625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6C50875C-A482-73B1-60FF-A3E71DE63B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2095500</xdr:colOff>
      <xdr:row>42</xdr:row>
      <xdr:rowOff>47625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C2371ECF-1AAC-607D-9C91-10060DEBEC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21</xdr:col>
      <xdr:colOff>1049250</xdr:colOff>
      <xdr:row>52</xdr:row>
      <xdr:rowOff>229600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B70C98-307D-E110-85D7-E1ACFAB4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934200"/>
          <a:ext cx="10745700" cy="7163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581025</xdr:colOff>
      <xdr:row>0</xdr:row>
      <xdr:rowOff>19050</xdr:rowOff>
    </xdr:from>
    <xdr:to>
      <xdr:col>20</xdr:col>
      <xdr:colOff>258300</xdr:colOff>
      <xdr:row>31</xdr:row>
      <xdr:rowOff>143718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B507ED-07F8-CE3A-E051-8E4AE361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19050"/>
          <a:ext cx="8059275" cy="6039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showGridLines="0" topLeftCell="A9" workbookViewId="0">
      <selection activeCell="K12" sqref="K12"/>
    </sheetView>
  </sheetViews>
  <sheetFormatPr baseColWidth="10" defaultRowHeight="15" x14ac:dyDescent="0.25"/>
  <cols>
    <col min="1" max="1" width="18.85546875" customWidth="1"/>
    <col min="2" max="2" width="13.42578125" customWidth="1"/>
    <col min="3" max="3" width="10.5703125" customWidth="1"/>
    <col min="4" max="5" width="10.28515625" customWidth="1"/>
    <col min="6" max="7" width="9.85546875" customWidth="1"/>
    <col min="8" max="8" width="7.42578125" customWidth="1"/>
    <col min="9" max="9" width="7.7109375" customWidth="1"/>
  </cols>
  <sheetData>
    <row r="1" spans="1:22" x14ac:dyDescent="0.25">
      <c r="A1" s="215" t="s">
        <v>0</v>
      </c>
      <c r="B1" s="216"/>
      <c r="C1" s="216"/>
      <c r="D1" s="216"/>
      <c r="E1" s="216"/>
      <c r="F1" s="216"/>
      <c r="G1" s="216"/>
      <c r="H1" s="216"/>
      <c r="I1" s="216"/>
      <c r="N1" s="215" t="s">
        <v>0</v>
      </c>
      <c r="O1" s="216"/>
      <c r="P1" s="216"/>
      <c r="Q1" s="216"/>
      <c r="R1" s="216"/>
      <c r="S1" s="216"/>
      <c r="T1" s="216"/>
      <c r="U1" s="216"/>
      <c r="V1" s="216"/>
    </row>
    <row r="2" spans="1:22" x14ac:dyDescent="0.25">
      <c r="A2" s="217" t="s">
        <v>1</v>
      </c>
      <c r="B2" s="217" t="s">
        <v>2</v>
      </c>
      <c r="C2" s="217" t="s">
        <v>3</v>
      </c>
      <c r="D2" s="215" t="s">
        <v>4</v>
      </c>
      <c r="E2" s="216"/>
      <c r="F2" s="216"/>
      <c r="G2" s="219"/>
      <c r="H2" s="220" t="s">
        <v>5</v>
      </c>
      <c r="I2" s="221"/>
      <c r="N2" s="217" t="s">
        <v>1</v>
      </c>
      <c r="O2" s="217" t="s">
        <v>2</v>
      </c>
      <c r="P2" s="217" t="s">
        <v>3</v>
      </c>
      <c r="Q2" s="215" t="s">
        <v>4</v>
      </c>
      <c r="R2" s="216"/>
      <c r="S2" s="216"/>
      <c r="T2" s="219"/>
      <c r="U2" s="220" t="s">
        <v>5</v>
      </c>
      <c r="V2" s="221"/>
    </row>
    <row r="3" spans="1:22" x14ac:dyDescent="0.25">
      <c r="A3" s="218"/>
      <c r="B3" s="218"/>
      <c r="C3" s="218"/>
      <c r="D3" s="215" t="s">
        <v>6</v>
      </c>
      <c r="E3" s="219"/>
      <c r="F3" s="215" t="s">
        <v>7</v>
      </c>
      <c r="G3" s="219"/>
      <c r="H3" s="222"/>
      <c r="I3" s="223"/>
      <c r="N3" s="218"/>
      <c r="O3" s="218"/>
      <c r="P3" s="218"/>
      <c r="Q3" s="215" t="s">
        <v>6</v>
      </c>
      <c r="R3" s="219"/>
      <c r="S3" s="215" t="s">
        <v>7</v>
      </c>
      <c r="T3" s="219"/>
      <c r="U3" s="222"/>
      <c r="V3" s="223"/>
    </row>
    <row r="4" spans="1:22" x14ac:dyDescent="0.25">
      <c r="A4" s="68" t="s">
        <v>8</v>
      </c>
      <c r="B4" s="72">
        <f t="shared" ref="B4:B10" si="0">+H4/(1-D4-F4)</f>
        <v>601.74233592409212</v>
      </c>
      <c r="C4" s="70" t="s">
        <v>9</v>
      </c>
      <c r="D4" s="71"/>
      <c r="E4" s="72">
        <f t="shared" ref="E4:E8" si="1">+B4*D4</f>
        <v>0</v>
      </c>
      <c r="F4" s="71"/>
      <c r="G4" s="71"/>
      <c r="H4" s="72">
        <f t="shared" ref="H4:H9" si="2">+B5</f>
        <v>601.74233592409212</v>
      </c>
      <c r="I4" s="70"/>
      <c r="N4" s="68" t="s">
        <v>8</v>
      </c>
      <c r="O4" s="72">
        <f>+B4/8</f>
        <v>75.217791990511515</v>
      </c>
      <c r="P4" s="70" t="s">
        <v>9</v>
      </c>
      <c r="Q4" s="71"/>
      <c r="R4" s="72">
        <f t="shared" ref="R4:R8" si="3">+O4*Q4</f>
        <v>0</v>
      </c>
      <c r="S4" s="71"/>
      <c r="T4" s="71"/>
      <c r="U4" s="72">
        <f t="shared" ref="U4:U9" si="4">+O5</f>
        <v>75.217791990511515</v>
      </c>
      <c r="V4" s="70"/>
    </row>
    <row r="5" spans="1:22" x14ac:dyDescent="0.25">
      <c r="A5" s="68" t="s">
        <v>10</v>
      </c>
      <c r="B5" s="72">
        <f t="shared" si="0"/>
        <v>601.74233592409212</v>
      </c>
      <c r="C5" s="70" t="s">
        <v>9</v>
      </c>
      <c r="D5" s="73">
        <v>0.01</v>
      </c>
      <c r="E5" s="72">
        <f t="shared" si="1"/>
        <v>6.0174233592409214</v>
      </c>
      <c r="F5" s="73">
        <v>0.01</v>
      </c>
      <c r="G5" s="96">
        <f t="shared" ref="G5:G8" si="5">+F5*B5</f>
        <v>6.0174233592409214</v>
      </c>
      <c r="H5" s="72">
        <f t="shared" si="2"/>
        <v>589.70748920561027</v>
      </c>
      <c r="I5" s="70"/>
      <c r="N5" s="68" t="s">
        <v>10</v>
      </c>
      <c r="O5" s="72">
        <f t="shared" ref="O5:O11" si="6">+B5/8</f>
        <v>75.217791990511515</v>
      </c>
      <c r="P5" s="70" t="s">
        <v>9</v>
      </c>
      <c r="Q5" s="73">
        <v>0.01</v>
      </c>
      <c r="R5" s="72">
        <f t="shared" si="3"/>
        <v>0.75217791990511518</v>
      </c>
      <c r="S5" s="73">
        <v>0.01</v>
      </c>
      <c r="T5" s="96">
        <f t="shared" ref="T5:T8" si="7">+S5*O5</f>
        <v>0.75217791990511518</v>
      </c>
      <c r="U5" s="72">
        <f t="shared" si="4"/>
        <v>73.713436150701284</v>
      </c>
      <c r="V5" s="70"/>
    </row>
    <row r="6" spans="1:22" x14ac:dyDescent="0.25">
      <c r="A6" s="68" t="s">
        <v>11</v>
      </c>
      <c r="B6" s="72">
        <f t="shared" si="0"/>
        <v>589.70748920561027</v>
      </c>
      <c r="C6" s="70" t="s">
        <v>9</v>
      </c>
      <c r="D6" s="71"/>
      <c r="E6" s="72">
        <f t="shared" si="1"/>
        <v>0</v>
      </c>
      <c r="F6" s="73">
        <v>7.0000000000000007E-2</v>
      </c>
      <c r="G6" s="96">
        <f t="shared" si="5"/>
        <v>41.279524244392725</v>
      </c>
      <c r="H6" s="72">
        <f t="shared" si="2"/>
        <v>548.42796496121753</v>
      </c>
      <c r="I6" s="70"/>
      <c r="N6" s="68" t="s">
        <v>11</v>
      </c>
      <c r="O6" s="72">
        <f t="shared" si="6"/>
        <v>73.713436150701284</v>
      </c>
      <c r="P6" s="70" t="s">
        <v>9</v>
      </c>
      <c r="Q6" s="71"/>
      <c r="R6" s="72">
        <f t="shared" si="3"/>
        <v>0</v>
      </c>
      <c r="S6" s="73">
        <v>7.0000000000000007E-2</v>
      </c>
      <c r="T6" s="96">
        <f t="shared" si="7"/>
        <v>5.1599405305490906</v>
      </c>
      <c r="U6" s="72">
        <f t="shared" si="4"/>
        <v>68.553495620152191</v>
      </c>
      <c r="V6" s="70"/>
    </row>
    <row r="7" spans="1:22" x14ac:dyDescent="0.25">
      <c r="A7" s="68" t="s">
        <v>12</v>
      </c>
      <c r="B7" s="72">
        <f t="shared" si="0"/>
        <v>548.42796496121753</v>
      </c>
      <c r="C7" s="70" t="s">
        <v>9</v>
      </c>
      <c r="D7" s="73">
        <v>0.04</v>
      </c>
      <c r="E7" s="72">
        <f t="shared" si="1"/>
        <v>21.937118598448702</v>
      </c>
      <c r="F7" s="73">
        <v>0.01</v>
      </c>
      <c r="G7" s="96">
        <f t="shared" si="5"/>
        <v>5.4842796496121755</v>
      </c>
      <c r="H7" s="72">
        <f t="shared" si="2"/>
        <v>521.00656671315664</v>
      </c>
      <c r="I7" s="70"/>
      <c r="N7" s="68" t="s">
        <v>12</v>
      </c>
      <c r="O7" s="72">
        <f t="shared" si="6"/>
        <v>68.553495620152191</v>
      </c>
      <c r="P7" s="70" t="s">
        <v>9</v>
      </c>
      <c r="Q7" s="73">
        <v>0.04</v>
      </c>
      <c r="R7" s="72">
        <f t="shared" si="3"/>
        <v>2.7421398248060878</v>
      </c>
      <c r="S7" s="73">
        <v>0.01</v>
      </c>
      <c r="T7" s="96">
        <f t="shared" si="7"/>
        <v>0.68553495620152194</v>
      </c>
      <c r="U7" s="72">
        <f t="shared" si="4"/>
        <v>65.125820839144581</v>
      </c>
      <c r="V7" s="70"/>
    </row>
    <row r="8" spans="1:22" ht="27" x14ac:dyDescent="0.25">
      <c r="A8" s="68" t="s">
        <v>13</v>
      </c>
      <c r="B8" s="72">
        <f t="shared" si="0"/>
        <v>521.00656671315664</v>
      </c>
      <c r="C8" s="70" t="s">
        <v>9</v>
      </c>
      <c r="D8" s="71"/>
      <c r="E8" s="72">
        <f t="shared" si="1"/>
        <v>0</v>
      </c>
      <c r="F8" s="71"/>
      <c r="G8" s="71">
        <f t="shared" si="5"/>
        <v>0</v>
      </c>
      <c r="H8" s="72">
        <f t="shared" si="2"/>
        <v>521.00656671315664</v>
      </c>
      <c r="I8" s="70"/>
      <c r="N8" s="68" t="s">
        <v>13</v>
      </c>
      <c r="O8" s="72">
        <f t="shared" si="6"/>
        <v>65.125820839144581</v>
      </c>
      <c r="P8" s="70" t="s">
        <v>9</v>
      </c>
      <c r="Q8" s="71"/>
      <c r="R8" s="72">
        <f t="shared" si="3"/>
        <v>0</v>
      </c>
      <c r="S8" s="71"/>
      <c r="T8" s="71">
        <f t="shared" si="7"/>
        <v>0</v>
      </c>
      <c r="U8" s="72">
        <f t="shared" si="4"/>
        <v>65.125820839144581</v>
      </c>
      <c r="V8" s="70"/>
    </row>
    <row r="9" spans="1:22" ht="27" x14ac:dyDescent="0.25">
      <c r="A9" s="68" t="s">
        <v>14</v>
      </c>
      <c r="B9" s="72">
        <f t="shared" si="0"/>
        <v>521.00656671315664</v>
      </c>
      <c r="C9" s="70" t="s">
        <v>9</v>
      </c>
      <c r="D9" s="73">
        <v>0.04</v>
      </c>
      <c r="E9" s="72">
        <f>+B9*D9</f>
        <v>20.840262668526265</v>
      </c>
      <c r="F9" s="71"/>
      <c r="G9" s="71">
        <f>+F9*B9</f>
        <v>0</v>
      </c>
      <c r="H9" s="72">
        <f t="shared" si="2"/>
        <v>500.16630404463035</v>
      </c>
      <c r="I9" s="70"/>
      <c r="N9" s="68" t="s">
        <v>14</v>
      </c>
      <c r="O9" s="72">
        <f t="shared" si="6"/>
        <v>65.125820839144581</v>
      </c>
      <c r="P9" s="70" t="s">
        <v>9</v>
      </c>
      <c r="Q9" s="73">
        <v>0.04</v>
      </c>
      <c r="R9" s="72">
        <f>+O9*Q9</f>
        <v>2.6050328335657831</v>
      </c>
      <c r="S9" s="71"/>
      <c r="T9" s="71">
        <f>+S9*O9</f>
        <v>0</v>
      </c>
      <c r="U9" s="72">
        <f t="shared" si="4"/>
        <v>62.520788005578794</v>
      </c>
      <c r="V9" s="70"/>
    </row>
    <row r="10" spans="1:22" ht="27" x14ac:dyDescent="0.25">
      <c r="A10" s="68" t="s">
        <v>15</v>
      </c>
      <c r="B10" s="72">
        <f t="shared" si="0"/>
        <v>500.16630404463035</v>
      </c>
      <c r="C10" s="70" t="s">
        <v>9</v>
      </c>
      <c r="D10" s="71"/>
      <c r="E10" s="71"/>
      <c r="F10" s="71"/>
      <c r="G10" s="71"/>
      <c r="H10" s="72">
        <f>+B11</f>
        <v>500.16630404463035</v>
      </c>
      <c r="I10" s="70"/>
      <c r="N10" s="68" t="s">
        <v>15</v>
      </c>
      <c r="O10" s="72">
        <f t="shared" si="6"/>
        <v>62.520788005578794</v>
      </c>
      <c r="P10" s="70" t="s">
        <v>9</v>
      </c>
      <c r="Q10" s="71"/>
      <c r="R10" s="71"/>
      <c r="S10" s="71"/>
      <c r="T10" s="71"/>
      <c r="U10" s="72">
        <f>+O11</f>
        <v>62.520788005578794</v>
      </c>
      <c r="V10" s="70"/>
    </row>
    <row r="11" spans="1:22" x14ac:dyDescent="0.25">
      <c r="A11" s="68" t="s">
        <v>16</v>
      </c>
      <c r="B11" s="72">
        <f>+H11/(1-D11-F11)</f>
        <v>500.16630404463035</v>
      </c>
      <c r="C11" s="70" t="s">
        <v>9</v>
      </c>
      <c r="D11" s="71"/>
      <c r="E11" s="71"/>
      <c r="F11" s="71"/>
      <c r="G11" s="71"/>
      <c r="H11" s="74">
        <f>+H12</f>
        <v>500.16630404463035</v>
      </c>
      <c r="I11" s="70"/>
      <c r="N11" s="68" t="s">
        <v>16</v>
      </c>
      <c r="O11" s="72">
        <f t="shared" si="6"/>
        <v>62.520788005578794</v>
      </c>
      <c r="P11" s="70" t="s">
        <v>9</v>
      </c>
      <c r="Q11" s="71"/>
      <c r="R11" s="71"/>
      <c r="S11" s="71"/>
      <c r="T11" s="71"/>
      <c r="U11" s="74">
        <f>+U12</f>
        <v>0</v>
      </c>
      <c r="V11" s="70"/>
    </row>
    <row r="12" spans="1:22" x14ac:dyDescent="0.25">
      <c r="A12" s="75" t="s">
        <v>17</v>
      </c>
      <c r="B12" s="76">
        <f>+B4</f>
        <v>601.74233592409212</v>
      </c>
      <c r="C12" s="77" t="s">
        <v>9</v>
      </c>
      <c r="D12" s="78"/>
      <c r="E12" s="79">
        <f>+SUM(E4:E11)</f>
        <v>48.794804626215893</v>
      </c>
      <c r="F12" s="78"/>
      <c r="G12" s="79">
        <f>+SUM(G4:G11)</f>
        <v>52.781227253245824</v>
      </c>
      <c r="H12" s="74">
        <f>+'2. PCP - Programa &amp; Lotes'!C26</f>
        <v>500.16630404463035</v>
      </c>
      <c r="I12" s="80"/>
      <c r="N12" s="75" t="s">
        <v>17</v>
      </c>
      <c r="O12" s="76">
        <f>+O4</f>
        <v>75.217791990511515</v>
      </c>
      <c r="P12" s="77" t="s">
        <v>9</v>
      </c>
      <c r="Q12" s="78"/>
      <c r="R12" s="79">
        <f>+SUM(R4:R11)</f>
        <v>6.0993505782769866</v>
      </c>
      <c r="S12" s="78"/>
      <c r="T12" s="79">
        <f>+SUM(T4:T11)</f>
        <v>6.597653406655728</v>
      </c>
      <c r="U12" s="74">
        <f>+'2. PCP - Programa &amp; Lotes'!P26</f>
        <v>0</v>
      </c>
      <c r="V12" s="80"/>
    </row>
    <row r="13" spans="1:22" x14ac:dyDescent="0.25">
      <c r="A13" s="89"/>
      <c r="B13" s="89"/>
      <c r="C13" s="89"/>
      <c r="D13" s="89"/>
      <c r="E13" s="89"/>
      <c r="F13" s="89"/>
      <c r="G13" s="89"/>
      <c r="H13" s="89"/>
      <c r="I13" s="89"/>
      <c r="N13" s="89"/>
      <c r="O13" s="89"/>
      <c r="P13" s="89"/>
      <c r="Q13" s="89"/>
      <c r="R13" s="89"/>
      <c r="S13" s="89"/>
      <c r="T13" s="89"/>
      <c r="U13" s="89"/>
      <c r="V13" s="89"/>
    </row>
    <row r="14" spans="1:22" ht="27" x14ac:dyDescent="0.25">
      <c r="A14" s="90" t="s">
        <v>18</v>
      </c>
      <c r="B14" s="91">
        <v>0.16880300000000001</v>
      </c>
      <c r="C14" s="89"/>
      <c r="D14" s="89"/>
      <c r="E14" s="89"/>
      <c r="F14" s="89"/>
      <c r="G14" s="90" t="s">
        <v>19</v>
      </c>
      <c r="H14" s="92">
        <v>0</v>
      </c>
      <c r="I14" s="89"/>
      <c r="N14" s="90" t="s">
        <v>18</v>
      </c>
      <c r="O14" s="91">
        <v>0.16880300000000001</v>
      </c>
      <c r="P14" s="89"/>
      <c r="Q14" s="89"/>
      <c r="R14" s="89"/>
      <c r="S14" s="89"/>
      <c r="T14" s="90" t="s">
        <v>19</v>
      </c>
      <c r="U14" s="92">
        <v>0</v>
      </c>
      <c r="V14" s="89"/>
    </row>
    <row r="15" spans="1:22" ht="54" x14ac:dyDescent="0.25">
      <c r="A15" s="90" t="s">
        <v>20</v>
      </c>
      <c r="B15" s="91">
        <v>8.7714E-2</v>
      </c>
      <c r="C15" s="93">
        <v>0.91228600000000004</v>
      </c>
      <c r="D15" s="89"/>
      <c r="E15" s="89"/>
      <c r="F15" s="89"/>
      <c r="G15" s="89"/>
      <c r="H15" s="89"/>
      <c r="I15" s="89"/>
      <c r="N15" s="90" t="s">
        <v>20</v>
      </c>
      <c r="O15" s="91">
        <v>8.7714E-2</v>
      </c>
      <c r="P15" s="93">
        <v>0.91228600000000004</v>
      </c>
      <c r="Q15" s="89"/>
      <c r="R15" s="89"/>
      <c r="S15" s="89"/>
      <c r="T15" s="89"/>
      <c r="U15" s="89"/>
      <c r="V15" s="89"/>
    </row>
    <row r="16" spans="1:22" x14ac:dyDescent="0.25">
      <c r="A16" s="89"/>
      <c r="B16" s="89"/>
      <c r="C16" s="89"/>
      <c r="D16" s="89"/>
      <c r="E16" s="89"/>
      <c r="F16" s="89"/>
      <c r="G16" s="89"/>
      <c r="H16" s="89"/>
      <c r="I16" s="89"/>
      <c r="N16" s="89"/>
      <c r="O16" s="89"/>
      <c r="P16" s="89"/>
      <c r="Q16" s="89"/>
      <c r="R16" s="89"/>
      <c r="S16" s="89"/>
      <c r="T16" s="89"/>
      <c r="U16" s="89"/>
      <c r="V16" s="89"/>
    </row>
    <row r="17" spans="1:22" ht="27" x14ac:dyDescent="0.25">
      <c r="A17" s="94" t="s">
        <v>21</v>
      </c>
      <c r="B17" s="95"/>
      <c r="C17" s="95"/>
      <c r="D17" s="95"/>
      <c r="E17" s="95"/>
      <c r="F17" s="95"/>
      <c r="G17" s="95"/>
      <c r="H17" s="95"/>
      <c r="I17" s="95"/>
      <c r="N17" s="94" t="s">
        <v>21</v>
      </c>
      <c r="O17" s="95"/>
      <c r="P17" s="95"/>
      <c r="Q17" s="95"/>
      <c r="R17" s="95"/>
      <c r="S17" s="95"/>
      <c r="T17" s="95"/>
      <c r="U17" s="95"/>
      <c r="V17" s="95"/>
    </row>
    <row r="18" spans="1:22" x14ac:dyDescent="0.25">
      <c r="A18" s="215" t="s">
        <v>0</v>
      </c>
      <c r="B18" s="216"/>
      <c r="C18" s="216"/>
      <c r="D18" s="216"/>
      <c r="E18" s="216"/>
      <c r="F18" s="216"/>
      <c r="G18" s="216"/>
      <c r="H18" s="216"/>
      <c r="I18" s="216"/>
      <c r="N18" s="215" t="s">
        <v>0</v>
      </c>
      <c r="O18" s="216"/>
      <c r="P18" s="216"/>
      <c r="Q18" s="216"/>
      <c r="R18" s="216"/>
      <c r="S18" s="216"/>
      <c r="T18" s="216"/>
      <c r="U18" s="216"/>
      <c r="V18" s="216"/>
    </row>
    <row r="19" spans="1:22" x14ac:dyDescent="0.25">
      <c r="A19" s="217" t="s">
        <v>1</v>
      </c>
      <c r="B19" s="217" t="s">
        <v>2</v>
      </c>
      <c r="C19" s="217" t="s">
        <v>3</v>
      </c>
      <c r="D19" s="215" t="s">
        <v>4</v>
      </c>
      <c r="E19" s="216"/>
      <c r="F19" s="216"/>
      <c r="G19" s="219"/>
      <c r="H19" s="220" t="s">
        <v>5</v>
      </c>
      <c r="I19" s="221"/>
      <c r="N19" s="217" t="s">
        <v>1</v>
      </c>
      <c r="O19" s="217" t="s">
        <v>2</v>
      </c>
      <c r="P19" s="217" t="s">
        <v>3</v>
      </c>
      <c r="Q19" s="215" t="s">
        <v>4</v>
      </c>
      <c r="R19" s="216"/>
      <c r="S19" s="216"/>
      <c r="T19" s="219"/>
      <c r="U19" s="220" t="s">
        <v>5</v>
      </c>
      <c r="V19" s="221"/>
    </row>
    <row r="20" spans="1:22" x14ac:dyDescent="0.25">
      <c r="A20" s="218"/>
      <c r="B20" s="218"/>
      <c r="C20" s="218"/>
      <c r="D20" s="215" t="s">
        <v>6</v>
      </c>
      <c r="E20" s="219"/>
      <c r="F20" s="215" t="s">
        <v>7</v>
      </c>
      <c r="G20" s="219"/>
      <c r="H20" s="222"/>
      <c r="I20" s="223"/>
      <c r="N20" s="218"/>
      <c r="O20" s="218"/>
      <c r="P20" s="218"/>
      <c r="Q20" s="215" t="s">
        <v>6</v>
      </c>
      <c r="R20" s="219"/>
      <c r="S20" s="215" t="s">
        <v>7</v>
      </c>
      <c r="T20" s="219"/>
      <c r="U20" s="222"/>
      <c r="V20" s="223"/>
    </row>
    <row r="21" spans="1:22" x14ac:dyDescent="0.25">
      <c r="A21" s="68" t="s">
        <v>22</v>
      </c>
      <c r="B21" s="72">
        <f t="shared" ref="B21:B27" si="8">+H21/(1-D21-F21)</f>
        <v>551.42408175345747</v>
      </c>
      <c r="C21" s="70" t="s">
        <v>9</v>
      </c>
      <c r="D21" s="71"/>
      <c r="E21" s="70" t="s">
        <v>9</v>
      </c>
      <c r="F21" s="71"/>
      <c r="G21" s="70" t="s">
        <v>9</v>
      </c>
      <c r="H21" s="74">
        <f t="shared" ref="H21:H26" si="9">+B22</f>
        <v>551.42408175345747</v>
      </c>
      <c r="I21" s="70"/>
      <c r="N21" s="68" t="s">
        <v>22</v>
      </c>
      <c r="O21" s="72">
        <f>+B21/8</f>
        <v>68.928010219182184</v>
      </c>
      <c r="P21" s="70" t="s">
        <v>9</v>
      </c>
      <c r="Q21" s="71"/>
      <c r="R21" s="70" t="s">
        <v>9</v>
      </c>
      <c r="S21" s="71"/>
      <c r="T21" s="70" t="s">
        <v>9</v>
      </c>
      <c r="U21" s="74">
        <f t="shared" ref="U21" si="10">+O22</f>
        <v>68.928010219182184</v>
      </c>
      <c r="V21" s="70"/>
    </row>
    <row r="22" spans="1:22" x14ac:dyDescent="0.25">
      <c r="A22" s="68" t="s">
        <v>23</v>
      </c>
      <c r="B22" s="72">
        <f t="shared" si="8"/>
        <v>551.42408175345747</v>
      </c>
      <c r="C22" s="70" t="s">
        <v>9</v>
      </c>
      <c r="D22" s="71"/>
      <c r="E22" s="70" t="s">
        <v>9</v>
      </c>
      <c r="F22" s="71"/>
      <c r="G22" s="71">
        <f t="shared" ref="G22:G28" si="11">+F22*B22</f>
        <v>0</v>
      </c>
      <c r="H22" s="74">
        <f>+B23/0.4</f>
        <v>551.42408175345747</v>
      </c>
      <c r="I22" s="70"/>
      <c r="N22" s="68" t="s">
        <v>23</v>
      </c>
      <c r="O22" s="72">
        <f t="shared" ref="O22:O28" si="12">+B22/8</f>
        <v>68.928010219182184</v>
      </c>
      <c r="P22" s="70" t="s">
        <v>9</v>
      </c>
      <c r="Q22" s="71"/>
      <c r="R22" s="70" t="s">
        <v>9</v>
      </c>
      <c r="S22" s="71"/>
      <c r="T22" s="71">
        <f t="shared" ref="T22:T28" si="13">+S22*O22</f>
        <v>0</v>
      </c>
      <c r="U22" s="74">
        <f>+O23/0.4</f>
        <v>68.928010219182184</v>
      </c>
      <c r="V22" s="70"/>
    </row>
    <row r="23" spans="1:22" ht="27" x14ac:dyDescent="0.25">
      <c r="A23" s="68" t="s">
        <v>24</v>
      </c>
      <c r="B23" s="72">
        <f t="shared" si="8"/>
        <v>220.569632701383</v>
      </c>
      <c r="C23" s="70" t="s">
        <v>9</v>
      </c>
      <c r="D23" s="71"/>
      <c r="E23" s="70" t="s">
        <v>9</v>
      </c>
      <c r="F23" s="71"/>
      <c r="G23" s="71">
        <f t="shared" si="11"/>
        <v>0</v>
      </c>
      <c r="H23" s="74">
        <f>+B24*0.4</f>
        <v>220.569632701383</v>
      </c>
      <c r="I23" s="70"/>
      <c r="N23" s="68" t="s">
        <v>24</v>
      </c>
      <c r="O23" s="72">
        <f t="shared" si="12"/>
        <v>27.571204087672875</v>
      </c>
      <c r="P23" s="70" t="s">
        <v>9</v>
      </c>
      <c r="Q23" s="71"/>
      <c r="R23" s="70" t="s">
        <v>9</v>
      </c>
      <c r="S23" s="71"/>
      <c r="T23" s="71">
        <f t="shared" si="13"/>
        <v>0</v>
      </c>
      <c r="U23" s="74">
        <f>+O24*0.4</f>
        <v>27.571204087672875</v>
      </c>
      <c r="V23" s="70"/>
    </row>
    <row r="24" spans="1:22" x14ac:dyDescent="0.25">
      <c r="A24" s="68" t="s">
        <v>11</v>
      </c>
      <c r="B24" s="72">
        <f t="shared" si="8"/>
        <v>551.42408175345747</v>
      </c>
      <c r="C24" s="70" t="s">
        <v>9</v>
      </c>
      <c r="D24" s="71"/>
      <c r="E24" s="70" t="s">
        <v>9</v>
      </c>
      <c r="F24" s="73">
        <v>0.13</v>
      </c>
      <c r="G24" s="96">
        <f t="shared" si="11"/>
        <v>71.685130627949476</v>
      </c>
      <c r="H24" s="74">
        <f t="shared" si="9"/>
        <v>479.73895112550804</v>
      </c>
      <c r="I24" s="70"/>
      <c r="N24" s="68" t="s">
        <v>11</v>
      </c>
      <c r="O24" s="72">
        <f t="shared" si="12"/>
        <v>68.928010219182184</v>
      </c>
      <c r="P24" s="70" t="s">
        <v>9</v>
      </c>
      <c r="Q24" s="71"/>
      <c r="R24" s="70" t="s">
        <v>9</v>
      </c>
      <c r="S24" s="73">
        <v>0.13</v>
      </c>
      <c r="T24" s="96">
        <f t="shared" si="13"/>
        <v>8.9606413284936846</v>
      </c>
      <c r="U24" s="74">
        <f t="shared" ref="U24:U26" si="14">+O25</f>
        <v>59.967368890688505</v>
      </c>
      <c r="V24" s="70"/>
    </row>
    <row r="25" spans="1:22" x14ac:dyDescent="0.25">
      <c r="A25" s="68" t="s">
        <v>25</v>
      </c>
      <c r="B25" s="72">
        <f t="shared" si="8"/>
        <v>479.73895112550804</v>
      </c>
      <c r="C25" s="70" t="s">
        <v>9</v>
      </c>
      <c r="D25" s="71"/>
      <c r="E25" s="70" t="s">
        <v>9</v>
      </c>
      <c r="F25" s="71"/>
      <c r="G25" s="96">
        <f t="shared" si="11"/>
        <v>0</v>
      </c>
      <c r="H25" s="74">
        <f t="shared" si="9"/>
        <v>479.73895112550804</v>
      </c>
      <c r="I25" s="70"/>
      <c r="N25" s="68" t="s">
        <v>25</v>
      </c>
      <c r="O25" s="72">
        <f t="shared" si="12"/>
        <v>59.967368890688505</v>
      </c>
      <c r="P25" s="70" t="s">
        <v>9</v>
      </c>
      <c r="Q25" s="71"/>
      <c r="R25" s="70" t="s">
        <v>9</v>
      </c>
      <c r="S25" s="71"/>
      <c r="T25" s="96">
        <f t="shared" si="13"/>
        <v>0</v>
      </c>
      <c r="U25" s="74">
        <f t="shared" si="14"/>
        <v>59.967368890688505</v>
      </c>
      <c r="V25" s="70"/>
    </row>
    <row r="26" spans="1:22" x14ac:dyDescent="0.25">
      <c r="A26" s="68" t="s">
        <v>12</v>
      </c>
      <c r="B26" s="72">
        <f t="shared" si="8"/>
        <v>479.73895112550804</v>
      </c>
      <c r="C26" s="70" t="s">
        <v>9</v>
      </c>
      <c r="D26" s="71"/>
      <c r="E26" s="70" t="s">
        <v>9</v>
      </c>
      <c r="F26" s="73">
        <v>7.0000000000000007E-2</v>
      </c>
      <c r="G26" s="96">
        <f t="shared" si="11"/>
        <v>33.581726578785563</v>
      </c>
      <c r="H26" s="74">
        <f t="shared" si="9"/>
        <v>446.15722454672243</v>
      </c>
      <c r="I26" s="70"/>
      <c r="N26" s="68" t="s">
        <v>12</v>
      </c>
      <c r="O26" s="72">
        <f t="shared" si="12"/>
        <v>59.967368890688505</v>
      </c>
      <c r="P26" s="70" t="s">
        <v>9</v>
      </c>
      <c r="Q26" s="71"/>
      <c r="R26" s="70" t="s">
        <v>9</v>
      </c>
      <c r="S26" s="73">
        <v>7.0000000000000007E-2</v>
      </c>
      <c r="T26" s="96">
        <f t="shared" si="13"/>
        <v>4.1977158223481954</v>
      </c>
      <c r="U26" s="74">
        <f t="shared" si="14"/>
        <v>55.769653068340304</v>
      </c>
      <c r="V26" s="70"/>
    </row>
    <row r="27" spans="1:22" ht="27" x14ac:dyDescent="0.25">
      <c r="A27" s="68" t="s">
        <v>14</v>
      </c>
      <c r="B27" s="72">
        <f t="shared" si="8"/>
        <v>446.15722454672243</v>
      </c>
      <c r="C27" s="70" t="s">
        <v>9</v>
      </c>
      <c r="D27" s="71"/>
      <c r="E27" s="70" t="s">
        <v>9</v>
      </c>
      <c r="F27" s="71"/>
      <c r="G27" s="71">
        <f t="shared" si="11"/>
        <v>0</v>
      </c>
      <c r="H27" s="74">
        <f>+B28</f>
        <v>446.15722454672243</v>
      </c>
      <c r="I27" s="70"/>
      <c r="N27" s="68" t="s">
        <v>14</v>
      </c>
      <c r="O27" s="72">
        <f t="shared" si="12"/>
        <v>55.769653068340304</v>
      </c>
      <c r="P27" s="70" t="s">
        <v>9</v>
      </c>
      <c r="Q27" s="71"/>
      <c r="R27" s="70" t="s">
        <v>9</v>
      </c>
      <c r="S27" s="71"/>
      <c r="T27" s="71">
        <f t="shared" si="13"/>
        <v>0</v>
      </c>
      <c r="U27" s="74">
        <f>+O28</f>
        <v>55.769653068340304</v>
      </c>
      <c r="V27" s="70"/>
    </row>
    <row r="28" spans="1:22" ht="27" x14ac:dyDescent="0.25">
      <c r="A28" s="68" t="s">
        <v>15</v>
      </c>
      <c r="B28" s="72">
        <f>+H28/(1-D28-F28)</f>
        <v>446.15722454672243</v>
      </c>
      <c r="C28" s="70" t="s">
        <v>9</v>
      </c>
      <c r="D28" s="71"/>
      <c r="E28" s="70" t="s">
        <v>9</v>
      </c>
      <c r="F28" s="71"/>
      <c r="G28" s="71">
        <f t="shared" si="11"/>
        <v>0</v>
      </c>
      <c r="H28" s="74">
        <f>+H29</f>
        <v>446.15722454672243</v>
      </c>
      <c r="I28" s="70"/>
      <c r="N28" s="68" t="s">
        <v>15</v>
      </c>
      <c r="O28" s="72">
        <f t="shared" si="12"/>
        <v>55.769653068340304</v>
      </c>
      <c r="P28" s="70" t="s">
        <v>9</v>
      </c>
      <c r="Q28" s="71"/>
      <c r="R28" s="70" t="s">
        <v>9</v>
      </c>
      <c r="S28" s="71"/>
      <c r="T28" s="71">
        <f t="shared" si="13"/>
        <v>0</v>
      </c>
      <c r="U28" s="74">
        <f>+U29</f>
        <v>0</v>
      </c>
      <c r="V28" s="70"/>
    </row>
    <row r="29" spans="1:22" x14ac:dyDescent="0.25">
      <c r="A29" s="75" t="s">
        <v>17</v>
      </c>
      <c r="B29" s="76">
        <f>+B21</f>
        <v>551.42408175345747</v>
      </c>
      <c r="C29" s="77" t="s">
        <v>9</v>
      </c>
      <c r="D29" s="78"/>
      <c r="E29" s="80" t="s">
        <v>9</v>
      </c>
      <c r="F29" s="78"/>
      <c r="G29" s="79">
        <f>+SUM(G21:G28)</f>
        <v>105.26685720673504</v>
      </c>
      <c r="H29" s="74">
        <f>+'2. PCP - Programa &amp; Lotes'!D26</f>
        <v>446.15722454672243</v>
      </c>
      <c r="I29" s="80"/>
      <c r="N29" s="75" t="s">
        <v>17</v>
      </c>
      <c r="O29" s="76">
        <f>+O21</f>
        <v>68.928010219182184</v>
      </c>
      <c r="P29" s="77" t="s">
        <v>9</v>
      </c>
      <c r="Q29" s="78"/>
      <c r="R29" s="80" t="s">
        <v>9</v>
      </c>
      <c r="S29" s="78"/>
      <c r="T29" s="79">
        <f>+SUM(T21:T28)</f>
        <v>13.15835715084188</v>
      </c>
      <c r="U29" s="74">
        <f>+'2. PCP - Programa &amp; Lotes'!Q26</f>
        <v>0</v>
      </c>
      <c r="V29" s="80"/>
    </row>
    <row r="34" spans="14:21" x14ac:dyDescent="0.25">
      <c r="N34" s="227" t="s">
        <v>26</v>
      </c>
      <c r="O34" s="227"/>
      <c r="P34" s="227"/>
      <c r="S34" s="227" t="s">
        <v>27</v>
      </c>
      <c r="T34" s="227"/>
      <c r="U34" s="227"/>
    </row>
    <row r="35" spans="14:21" x14ac:dyDescent="0.25">
      <c r="N35" s="227" t="s">
        <v>28</v>
      </c>
      <c r="O35" s="227"/>
      <c r="P35" s="227"/>
      <c r="S35" s="227" t="s">
        <v>28</v>
      </c>
      <c r="T35" s="227"/>
      <c r="U35" s="227"/>
    </row>
    <row r="36" spans="14:21" ht="28.5" customHeight="1" x14ac:dyDescent="0.25">
      <c r="N36" s="224" t="s">
        <v>29</v>
      </c>
      <c r="O36" s="224"/>
      <c r="P36" s="97">
        <v>37.5</v>
      </c>
      <c r="S36" s="224" t="s">
        <v>29</v>
      </c>
      <c r="T36" s="224"/>
      <c r="U36" s="97">
        <v>50</v>
      </c>
    </row>
    <row r="37" spans="14:21" ht="28.5" customHeight="1" x14ac:dyDescent="0.25">
      <c r="N37" s="225" t="s">
        <v>30</v>
      </c>
      <c r="O37" s="225"/>
      <c r="P37" s="98">
        <v>0.33</v>
      </c>
      <c r="S37" s="225" t="s">
        <v>31</v>
      </c>
      <c r="T37" s="225"/>
      <c r="U37" s="98">
        <v>0.2</v>
      </c>
    </row>
    <row r="38" spans="14:21" ht="28.5" customHeight="1" x14ac:dyDescent="0.25">
      <c r="N38" s="226" t="s">
        <v>32</v>
      </c>
      <c r="O38" s="226"/>
      <c r="P38" s="99">
        <v>112.5</v>
      </c>
      <c r="S38" s="226" t="s">
        <v>32</v>
      </c>
      <c r="T38" s="226"/>
      <c r="U38" s="99">
        <v>250</v>
      </c>
    </row>
    <row r="43" spans="14:21" ht="27" customHeight="1" x14ac:dyDescent="0.25"/>
  </sheetData>
  <mergeCells count="42">
    <mergeCell ref="S36:T36"/>
    <mergeCell ref="S37:T37"/>
    <mergeCell ref="S38:T38"/>
    <mergeCell ref="S34:U34"/>
    <mergeCell ref="N35:P35"/>
    <mergeCell ref="N36:O36"/>
    <mergeCell ref="N37:O37"/>
    <mergeCell ref="N38:O38"/>
    <mergeCell ref="N34:P34"/>
    <mergeCell ref="S35:U35"/>
    <mergeCell ref="N18:V18"/>
    <mergeCell ref="N19:N20"/>
    <mergeCell ref="O19:O20"/>
    <mergeCell ref="P19:P20"/>
    <mergeCell ref="Q19:T19"/>
    <mergeCell ref="U19:V20"/>
    <mergeCell ref="Q20:R20"/>
    <mergeCell ref="S20:T20"/>
    <mergeCell ref="N1:V1"/>
    <mergeCell ref="N2:N3"/>
    <mergeCell ref="O2:O3"/>
    <mergeCell ref="P2:P3"/>
    <mergeCell ref="Q2:T2"/>
    <mergeCell ref="U2:V3"/>
    <mergeCell ref="Q3:R3"/>
    <mergeCell ref="S3:T3"/>
    <mergeCell ref="A18:I18"/>
    <mergeCell ref="A19:A20"/>
    <mergeCell ref="B19:B20"/>
    <mergeCell ref="C19:C20"/>
    <mergeCell ref="D19:G19"/>
    <mergeCell ref="H19:I20"/>
    <mergeCell ref="D20:E20"/>
    <mergeCell ref="F20:G20"/>
    <mergeCell ref="A1:I1"/>
    <mergeCell ref="A2:A3"/>
    <mergeCell ref="B2:B3"/>
    <mergeCell ref="C2:C3"/>
    <mergeCell ref="D2:G2"/>
    <mergeCell ref="H2:I3"/>
    <mergeCell ref="D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3" workbookViewId="0"/>
  </sheetViews>
  <sheetFormatPr baseColWidth="10" defaultColWidth="14.42578125" defaultRowHeight="15" x14ac:dyDescent="0.25"/>
  <cols>
    <col min="1" max="1" width="10" customWidth="1"/>
    <col min="2" max="2" width="53.28515625" customWidth="1"/>
    <col min="3" max="3" width="95.28515625" customWidth="1"/>
    <col min="4" max="4" width="39.140625" customWidth="1"/>
    <col min="5" max="5" width="37.85546875" customWidth="1"/>
    <col min="6" max="7" width="10" customWidth="1"/>
    <col min="8" max="8" width="39" customWidth="1"/>
    <col min="9" max="10" width="10" customWidth="1"/>
    <col min="11" max="26" width="8.7109375" customWidth="1"/>
  </cols>
  <sheetData>
    <row r="1" spans="1:26" ht="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x14ac:dyDescent="0.4">
      <c r="A2" s="1"/>
      <c r="B2" s="2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35">
      <c r="A4" s="1"/>
      <c r="B4" s="4" t="s">
        <v>35</v>
      </c>
      <c r="C4" s="5" t="s">
        <v>36</v>
      </c>
      <c r="D4" s="1"/>
      <c r="E4" s="6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35">
      <c r="A6" s="1"/>
      <c r="B6" s="8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1"/>
      <c r="B7" s="12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x14ac:dyDescent="0.35">
      <c r="A8" s="1"/>
      <c r="B8" s="12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35">
      <c r="A10" s="1"/>
      <c r="B10" s="8" t="s">
        <v>41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x14ac:dyDescent="0.35">
      <c r="A12" s="1"/>
      <c r="B12" s="231" t="s">
        <v>42</v>
      </c>
      <c r="C12" s="229"/>
      <c r="D12" s="230"/>
      <c r="E12" s="231" t="s">
        <v>43</v>
      </c>
      <c r="F12" s="229"/>
      <c r="G12" s="230"/>
      <c r="H12" s="231" t="s">
        <v>44</v>
      </c>
      <c r="I12" s="229"/>
      <c r="J12" s="23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35">
      <c r="A13" s="1"/>
      <c r="B13" s="232">
        <f>'2. PCP - Programa &amp; Lotes'!F20</f>
        <v>678513.97</v>
      </c>
      <c r="C13" s="229"/>
      <c r="D13" s="230"/>
      <c r="E13" s="233" t="s">
        <v>45</v>
      </c>
      <c r="F13" s="229"/>
      <c r="G13" s="230"/>
      <c r="H13" s="232">
        <f>'2. PCP - Programa &amp; Lotes'!J20</f>
        <v>946.32352859135278</v>
      </c>
      <c r="I13" s="229"/>
      <c r="J13" s="23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35">
      <c r="A14" s="1"/>
      <c r="B14" s="228" t="s">
        <v>46</v>
      </c>
      <c r="C14" s="229"/>
      <c r="D14" s="230"/>
      <c r="E14" s="228" t="s">
        <v>47</v>
      </c>
      <c r="F14" s="229"/>
      <c r="G14" s="230"/>
      <c r="H14" s="228" t="s">
        <v>48</v>
      </c>
      <c r="I14" s="229"/>
      <c r="J14" s="23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35">
      <c r="A16" s="1"/>
      <c r="B16" s="231" t="s">
        <v>49</v>
      </c>
      <c r="C16" s="229"/>
      <c r="D16" s="230"/>
      <c r="E16" s="231" t="s">
        <v>50</v>
      </c>
      <c r="F16" s="229"/>
      <c r="G16" s="230"/>
      <c r="H16" s="231" t="s">
        <v>51</v>
      </c>
      <c r="I16" s="229"/>
      <c r="J16" s="2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35">
      <c r="A17" s="1"/>
      <c r="B17" s="234">
        <f>'4. Dimensionamiento Stocks'!C9</f>
        <v>60</v>
      </c>
      <c r="C17" s="229"/>
      <c r="D17" s="230"/>
      <c r="E17" s="234">
        <f>'4. Dimensionamiento Stocks'!C10</f>
        <v>10</v>
      </c>
      <c r="F17" s="229"/>
      <c r="G17" s="230"/>
      <c r="H17" s="232" t="e">
        <f>'3. Cuantificación Frecuencias'!N33</f>
        <v>#VALUE!</v>
      </c>
      <c r="I17" s="229"/>
      <c r="J17" s="23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35">
      <c r="A18" s="1"/>
      <c r="B18" s="228" t="s">
        <v>52</v>
      </c>
      <c r="C18" s="229"/>
      <c r="D18" s="230"/>
      <c r="E18" s="228" t="s">
        <v>53</v>
      </c>
      <c r="F18" s="229"/>
      <c r="G18" s="230"/>
      <c r="H18" s="228" t="s">
        <v>54</v>
      </c>
      <c r="I18" s="229"/>
      <c r="J18" s="23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8" t="s">
        <v>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7" t="s">
        <v>56</v>
      </c>
      <c r="C23" s="7" t="s">
        <v>57</v>
      </c>
      <c r="D23" s="7" t="s">
        <v>58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0" t="s">
        <v>59</v>
      </c>
      <c r="C24" s="11" t="s">
        <v>60</v>
      </c>
      <c r="D24" s="6" t="s">
        <v>61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0" t="s">
        <v>62</v>
      </c>
      <c r="C25" s="11" t="s">
        <v>63</v>
      </c>
      <c r="D25" s="6" t="s">
        <v>64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0" t="s">
        <v>65</v>
      </c>
      <c r="C26" s="11" t="s">
        <v>66</v>
      </c>
      <c r="D26" s="6" t="s">
        <v>67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0" t="s">
        <v>68</v>
      </c>
      <c r="C27" s="11" t="s">
        <v>69</v>
      </c>
      <c r="D27" s="6" t="s">
        <v>70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0" t="s">
        <v>71</v>
      </c>
      <c r="C28" s="11" t="s">
        <v>72</v>
      </c>
      <c r="D28" s="6" t="s">
        <v>73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E18:G18"/>
    <mergeCell ref="H18:J18"/>
    <mergeCell ref="B16:D16"/>
    <mergeCell ref="E16:G16"/>
    <mergeCell ref="H16:J16"/>
    <mergeCell ref="B17:D17"/>
    <mergeCell ref="E17:G17"/>
    <mergeCell ref="H17:J17"/>
    <mergeCell ref="B18:D18"/>
    <mergeCell ref="E14:G14"/>
    <mergeCell ref="H14:J14"/>
    <mergeCell ref="B12:D12"/>
    <mergeCell ref="E12:G12"/>
    <mergeCell ref="H12:J12"/>
    <mergeCell ref="B13:D13"/>
    <mergeCell ref="E13:G13"/>
    <mergeCell ref="H13:J13"/>
    <mergeCell ref="B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opLeftCell="A16" workbookViewId="0">
      <selection activeCell="B36" sqref="B36:H49"/>
    </sheetView>
  </sheetViews>
  <sheetFormatPr baseColWidth="10" defaultColWidth="14.42578125" defaultRowHeight="15" x14ac:dyDescent="0.25"/>
  <cols>
    <col min="1" max="1" width="10" customWidth="1"/>
    <col min="2" max="2" width="42" customWidth="1"/>
    <col min="3" max="3" width="34.85546875" customWidth="1"/>
    <col min="4" max="4" width="29.28515625" customWidth="1"/>
    <col min="5" max="5" width="30.28515625" customWidth="1"/>
    <col min="6" max="6" width="47.42578125" customWidth="1"/>
    <col min="7" max="7" width="7.28515625" customWidth="1"/>
    <col min="8" max="8" width="17" customWidth="1"/>
    <col min="9" max="9" width="14.5703125" customWidth="1"/>
    <col min="10" max="10" width="14.42578125" customWidth="1"/>
    <col min="11" max="12" width="14.140625" customWidth="1"/>
    <col min="13" max="13" width="30" customWidth="1"/>
    <col min="14" max="26" width="8.7109375" customWidth="1"/>
  </cols>
  <sheetData>
    <row r="1" spans="1:26" ht="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x14ac:dyDescent="0.4">
      <c r="A2" s="1"/>
      <c r="B2" s="2" t="s">
        <v>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3" t="s">
        <v>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x14ac:dyDescent="0.35">
      <c r="A4" s="1"/>
      <c r="B4" s="4" t="s">
        <v>35</v>
      </c>
      <c r="C4" s="5" t="s">
        <v>36</v>
      </c>
      <c r="D4" s="1"/>
      <c r="E4" s="6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35">
      <c r="A6" s="1"/>
      <c r="B6" s="8" t="s">
        <v>76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x14ac:dyDescent="0.35">
      <c r="A8" s="1"/>
      <c r="B8" s="7" t="s">
        <v>77</v>
      </c>
      <c r="C8" s="7" t="s">
        <v>78</v>
      </c>
      <c r="D8" s="7" t="s">
        <v>79</v>
      </c>
      <c r="E8" s="7" t="s">
        <v>80</v>
      </c>
      <c r="F8" s="7" t="s">
        <v>81</v>
      </c>
      <c r="G8" s="7" t="s">
        <v>82</v>
      </c>
      <c r="H8" s="7" t="s">
        <v>83</v>
      </c>
      <c r="I8" s="7" t="s">
        <v>84</v>
      </c>
      <c r="J8" s="7" t="s">
        <v>85</v>
      </c>
      <c r="K8" s="7" t="s">
        <v>86</v>
      </c>
      <c r="L8" s="7" t="s">
        <v>87</v>
      </c>
      <c r="M8" s="7" t="s">
        <v>88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35">
      <c r="A9" s="1"/>
      <c r="B9" s="11" t="s">
        <v>89</v>
      </c>
      <c r="C9" s="9" t="s">
        <v>90</v>
      </c>
      <c r="D9" s="10" t="s">
        <v>91</v>
      </c>
      <c r="E9" s="15" t="s">
        <v>92</v>
      </c>
      <c r="F9" s="16">
        <v>101019.36</v>
      </c>
      <c r="G9" s="19">
        <f t="shared" ref="G9:G19" si="0">F9/$F$20</f>
        <v>0.14888324259557986</v>
      </c>
      <c r="H9" s="21">
        <f t="shared" ref="H9:H19" si="1">F9/12</f>
        <v>8418.2800000000007</v>
      </c>
      <c r="I9" s="21">
        <f t="shared" ref="I9:I19" si="2">F9/239</f>
        <v>422.67514644351462</v>
      </c>
      <c r="J9" s="21">
        <f t="shared" ref="J9:J19" si="3">I9/3</f>
        <v>140.89171548117153</v>
      </c>
      <c r="K9" s="22">
        <f t="shared" ref="K9:K16" si="4">J9/(0.15*20)</f>
        <v>46.96390516039051</v>
      </c>
      <c r="L9" s="22">
        <f t="shared" ref="L9:L16" si="5">(F9/47.8)/(0.15*20*105)</f>
        <v>6.709129308627217</v>
      </c>
      <c r="M9" s="13" t="s">
        <v>93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35">
      <c r="A10" s="1"/>
      <c r="B10" s="11" t="s">
        <v>89</v>
      </c>
      <c r="C10" s="9" t="s">
        <v>94</v>
      </c>
      <c r="D10" s="10" t="s">
        <v>95</v>
      </c>
      <c r="E10" s="15" t="s">
        <v>92</v>
      </c>
      <c r="F10" s="16">
        <v>13132.52</v>
      </c>
      <c r="G10" s="19">
        <f t="shared" si="0"/>
        <v>1.9354826253614205E-2</v>
      </c>
      <c r="H10" s="21">
        <f t="shared" si="1"/>
        <v>1094.3766666666668</v>
      </c>
      <c r="I10" s="21">
        <f t="shared" si="2"/>
        <v>54.947782426778247</v>
      </c>
      <c r="J10" s="21">
        <f t="shared" si="3"/>
        <v>18.315927475592748</v>
      </c>
      <c r="K10" s="22">
        <f t="shared" si="4"/>
        <v>6.1053091585309156</v>
      </c>
      <c r="L10" s="22">
        <f t="shared" si="5"/>
        <v>0.87218702264727377</v>
      </c>
      <c r="M10" s="13" t="s">
        <v>96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35">
      <c r="A11" s="1"/>
      <c r="B11" s="11" t="s">
        <v>89</v>
      </c>
      <c r="C11" s="9" t="s">
        <v>97</v>
      </c>
      <c r="D11" s="10" t="s">
        <v>98</v>
      </c>
      <c r="E11" s="15" t="s">
        <v>92</v>
      </c>
      <c r="F11" s="16">
        <v>30642.71</v>
      </c>
      <c r="G11" s="19">
        <f t="shared" si="0"/>
        <v>4.5161501980570867E-2</v>
      </c>
      <c r="H11" s="21">
        <f t="shared" si="1"/>
        <v>2553.5591666666664</v>
      </c>
      <c r="I11" s="21">
        <f t="shared" si="2"/>
        <v>128.21217573221756</v>
      </c>
      <c r="J11" s="21">
        <f t="shared" si="3"/>
        <v>42.737391910739184</v>
      </c>
      <c r="K11" s="22">
        <f t="shared" si="4"/>
        <v>14.245797303579728</v>
      </c>
      <c r="L11" s="22">
        <f t="shared" si="5"/>
        <v>2.0351139005113903</v>
      </c>
      <c r="M11" s="13" t="s">
        <v>99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x14ac:dyDescent="0.35">
      <c r="A12" s="1"/>
      <c r="B12" s="11" t="s">
        <v>89</v>
      </c>
      <c r="C12" s="9" t="s">
        <v>100</v>
      </c>
      <c r="D12" s="10" t="s">
        <v>101</v>
      </c>
      <c r="E12" s="15" t="s">
        <v>92</v>
      </c>
      <c r="F12" s="16">
        <v>94284.9</v>
      </c>
      <c r="G12" s="19">
        <f t="shared" si="0"/>
        <v>0.13895793479388494</v>
      </c>
      <c r="H12" s="21">
        <f t="shared" si="1"/>
        <v>7857.0749999999998</v>
      </c>
      <c r="I12" s="21">
        <f t="shared" si="2"/>
        <v>394.49748953974893</v>
      </c>
      <c r="J12" s="21">
        <f t="shared" si="3"/>
        <v>131.49916317991631</v>
      </c>
      <c r="K12" s="22">
        <f t="shared" si="4"/>
        <v>43.833054393305439</v>
      </c>
      <c r="L12" s="22">
        <f t="shared" si="5"/>
        <v>6.2618649133293482</v>
      </c>
      <c r="M12" s="13" t="s">
        <v>102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35">
      <c r="A13" s="1"/>
      <c r="B13" s="11" t="s">
        <v>89</v>
      </c>
      <c r="C13" s="9" t="s">
        <v>103</v>
      </c>
      <c r="D13" s="10" t="s">
        <v>104</v>
      </c>
      <c r="E13" s="15" t="s">
        <v>92</v>
      </c>
      <c r="F13" s="16">
        <v>13132.52</v>
      </c>
      <c r="G13" s="19">
        <f t="shared" si="0"/>
        <v>1.9354826253614205E-2</v>
      </c>
      <c r="H13" s="21">
        <f t="shared" si="1"/>
        <v>1094.3766666666668</v>
      </c>
      <c r="I13" s="21">
        <f t="shared" si="2"/>
        <v>54.947782426778247</v>
      </c>
      <c r="J13" s="21">
        <f t="shared" si="3"/>
        <v>18.315927475592748</v>
      </c>
      <c r="K13" s="22">
        <f t="shared" si="4"/>
        <v>6.1053091585309156</v>
      </c>
      <c r="L13" s="22">
        <f t="shared" si="5"/>
        <v>0.87218702264727377</v>
      </c>
      <c r="M13" s="13" t="s">
        <v>96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35">
      <c r="A14" s="1"/>
      <c r="B14" s="11" t="s">
        <v>89</v>
      </c>
      <c r="C14" s="9" t="s">
        <v>105</v>
      </c>
      <c r="D14" s="10" t="s">
        <v>106</v>
      </c>
      <c r="E14" s="15" t="s">
        <v>92</v>
      </c>
      <c r="F14" s="16">
        <v>30642.71</v>
      </c>
      <c r="G14" s="19">
        <f t="shared" si="0"/>
        <v>4.5161501980570867E-2</v>
      </c>
      <c r="H14" s="21">
        <f t="shared" si="1"/>
        <v>2553.5591666666664</v>
      </c>
      <c r="I14" s="21">
        <f t="shared" si="2"/>
        <v>128.21217573221756</v>
      </c>
      <c r="J14" s="21">
        <f t="shared" si="3"/>
        <v>42.737391910739184</v>
      </c>
      <c r="K14" s="22">
        <f t="shared" si="4"/>
        <v>14.245797303579728</v>
      </c>
      <c r="L14" s="22">
        <f t="shared" si="5"/>
        <v>2.0351139005113903</v>
      </c>
      <c r="M14" s="13" t="s">
        <v>99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11" t="s">
        <v>89</v>
      </c>
      <c r="C15" s="9" t="s">
        <v>107</v>
      </c>
      <c r="D15" s="10" t="s">
        <v>108</v>
      </c>
      <c r="E15" s="15" t="s">
        <v>92</v>
      </c>
      <c r="F15" s="16">
        <v>22729.360000000001</v>
      </c>
      <c r="G15" s="19">
        <f t="shared" si="0"/>
        <v>3.3498735479241495E-2</v>
      </c>
      <c r="H15" s="21">
        <f t="shared" si="1"/>
        <v>1894.1133333333335</v>
      </c>
      <c r="I15" s="21">
        <f t="shared" si="2"/>
        <v>95.101924686192476</v>
      </c>
      <c r="J15" s="21">
        <f t="shared" si="3"/>
        <v>31.70064156206416</v>
      </c>
      <c r="K15" s="22">
        <f t="shared" si="4"/>
        <v>10.566880520688054</v>
      </c>
      <c r="L15" s="22">
        <f t="shared" si="5"/>
        <v>1.5095543600982932</v>
      </c>
      <c r="M15" s="13" t="s">
        <v>109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35">
      <c r="A16" s="1"/>
      <c r="B16" s="11" t="s">
        <v>89</v>
      </c>
      <c r="C16" s="9" t="s">
        <v>110</v>
      </c>
      <c r="D16" s="10" t="s">
        <v>111</v>
      </c>
      <c r="E16" s="15" t="s">
        <v>92</v>
      </c>
      <c r="F16" s="16">
        <v>53035.16</v>
      </c>
      <c r="G16" s="19">
        <f t="shared" si="0"/>
        <v>7.8163696467443408E-2</v>
      </c>
      <c r="H16" s="21">
        <f t="shared" si="1"/>
        <v>4419.5966666666673</v>
      </c>
      <c r="I16" s="21">
        <f t="shared" si="2"/>
        <v>221.90443514644352</v>
      </c>
      <c r="J16" s="21">
        <f t="shared" si="3"/>
        <v>73.968145048814506</v>
      </c>
      <c r="K16" s="22">
        <f t="shared" si="4"/>
        <v>24.656048349604834</v>
      </c>
      <c r="L16" s="22">
        <f t="shared" si="5"/>
        <v>3.5222926213721197</v>
      </c>
      <c r="M16" s="13" t="s">
        <v>112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35">
      <c r="A17" s="1"/>
      <c r="B17" s="11" t="s">
        <v>113</v>
      </c>
      <c r="C17" s="9" t="s">
        <v>114</v>
      </c>
      <c r="D17" s="10" t="s">
        <v>115</v>
      </c>
      <c r="E17" s="15" t="s">
        <v>116</v>
      </c>
      <c r="F17" s="16">
        <v>117855.92</v>
      </c>
      <c r="G17" s="19">
        <f t="shared" si="0"/>
        <v>0.17369711636150986</v>
      </c>
      <c r="H17" s="21">
        <f t="shared" si="1"/>
        <v>9821.3266666666659</v>
      </c>
      <c r="I17" s="21">
        <f t="shared" si="2"/>
        <v>493.1210041841004</v>
      </c>
      <c r="J17" s="21">
        <f t="shared" si="3"/>
        <v>164.3736680613668</v>
      </c>
      <c r="K17" s="22">
        <f>J17/(0.4*10)</f>
        <v>41.0934170153417</v>
      </c>
      <c r="L17" s="22">
        <f>(F17/47.8)/(0.4*10*80)</f>
        <v>7.7050156903765696</v>
      </c>
      <c r="M17" s="13" t="s">
        <v>117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35">
      <c r="A18" s="1"/>
      <c r="B18" s="11" t="s">
        <v>113</v>
      </c>
      <c r="C18" s="9" t="s">
        <v>118</v>
      </c>
      <c r="D18" s="10" t="s">
        <v>119</v>
      </c>
      <c r="E18" s="15" t="s">
        <v>120</v>
      </c>
      <c r="F18" s="16">
        <v>141427.20000000001</v>
      </c>
      <c r="G18" s="19">
        <f t="shared" si="0"/>
        <v>0.20843668111947647</v>
      </c>
      <c r="H18" s="21">
        <f t="shared" si="1"/>
        <v>11785.6</v>
      </c>
      <c r="I18" s="21">
        <f t="shared" si="2"/>
        <v>591.74560669456071</v>
      </c>
      <c r="J18" s="21">
        <f t="shared" si="3"/>
        <v>197.24853556485357</v>
      </c>
      <c r="K18" s="22">
        <f t="shared" ref="K18:K19" si="6">J18/(0.18*20)</f>
        <v>54.791259879125995</v>
      </c>
      <c r="L18" s="22">
        <f t="shared" ref="L18:L19" si="7">(F18/47.8)/(0.18*20*90)</f>
        <v>9.1318766465210004</v>
      </c>
      <c r="M18" s="13" t="s">
        <v>121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35">
      <c r="A19" s="1"/>
      <c r="B19" s="11" t="s">
        <v>113</v>
      </c>
      <c r="C19" s="9" t="s">
        <v>122</v>
      </c>
      <c r="D19" s="10" t="s">
        <v>123</v>
      </c>
      <c r="E19" s="15" t="s">
        <v>120</v>
      </c>
      <c r="F19" s="16">
        <v>60611.61</v>
      </c>
      <c r="G19" s="19">
        <f t="shared" si="0"/>
        <v>8.9329936714493879E-2</v>
      </c>
      <c r="H19" s="21">
        <f t="shared" si="1"/>
        <v>5050.9674999999997</v>
      </c>
      <c r="I19" s="21">
        <f t="shared" si="2"/>
        <v>253.60506276150628</v>
      </c>
      <c r="J19" s="21">
        <f t="shared" si="3"/>
        <v>84.535020920502092</v>
      </c>
      <c r="K19" s="22">
        <f t="shared" si="6"/>
        <v>23.481950255695029</v>
      </c>
      <c r="L19" s="22">
        <f t="shared" si="7"/>
        <v>3.9136583759491721</v>
      </c>
      <c r="M19" s="13" t="s">
        <v>124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35">
      <c r="A20" s="1"/>
      <c r="B20" s="40" t="s">
        <v>125</v>
      </c>
      <c r="C20" s="41"/>
      <c r="D20" s="41"/>
      <c r="E20" s="41"/>
      <c r="F20" s="42">
        <f t="shared" ref="F20:L20" si="8">SUM(F9:F19)</f>
        <v>678513.97</v>
      </c>
      <c r="G20" s="43">
        <f t="shared" si="8"/>
        <v>1</v>
      </c>
      <c r="H20" s="42">
        <f t="shared" si="8"/>
        <v>56542.830833333333</v>
      </c>
      <c r="I20" s="42">
        <f t="shared" si="8"/>
        <v>2838.9705857740587</v>
      </c>
      <c r="J20" s="42">
        <f t="shared" si="8"/>
        <v>946.32352859135278</v>
      </c>
      <c r="K20" s="44">
        <f t="shared" si="8"/>
        <v>286.08872849837286</v>
      </c>
      <c r="L20" s="44">
        <f t="shared" si="8"/>
        <v>44.567993762591044</v>
      </c>
      <c r="M20" s="40" t="s">
        <v>126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8" t="s">
        <v>127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39" t="s">
        <v>128</v>
      </c>
      <c r="C25" s="39" t="s">
        <v>89</v>
      </c>
      <c r="D25" s="39" t="s">
        <v>113</v>
      </c>
      <c r="E25" s="39" t="s">
        <v>129</v>
      </c>
      <c r="F25" s="39" t="s">
        <v>130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0" t="s">
        <v>131</v>
      </c>
      <c r="C26" s="45">
        <f>SUM(J9:J16)</f>
        <v>500.16630404463035</v>
      </c>
      <c r="D26" s="45">
        <f>SUM(J17:J19)</f>
        <v>446.15722454672243</v>
      </c>
      <c r="E26" s="20" t="s">
        <v>132</v>
      </c>
      <c r="F26" s="11" t="s">
        <v>133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0" t="s">
        <v>134</v>
      </c>
      <c r="C27" s="46">
        <v>0.91220000000000001</v>
      </c>
      <c r="D27" s="46">
        <v>0.80900000000000005</v>
      </c>
      <c r="E27" s="20" t="s">
        <v>135</v>
      </c>
      <c r="F27" s="11" t="s">
        <v>136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0" t="s">
        <v>137</v>
      </c>
      <c r="C28" s="45">
        <f>C26/C27</f>
        <v>548.30772203971753</v>
      </c>
      <c r="D28" s="45">
        <f>D26/D27</f>
        <v>551.49224295021315</v>
      </c>
      <c r="E28" s="20" t="s">
        <v>138</v>
      </c>
      <c r="F28" s="11" t="s">
        <v>139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0" t="s">
        <v>140</v>
      </c>
      <c r="C29" s="47">
        <f t="shared" ref="C29:D29" si="9">25*6</f>
        <v>150</v>
      </c>
      <c r="D29" s="47">
        <f t="shared" si="9"/>
        <v>150</v>
      </c>
      <c r="E29" s="20" t="s">
        <v>141</v>
      </c>
      <c r="F29" s="11" t="s">
        <v>142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0" t="s">
        <v>143</v>
      </c>
      <c r="C30" s="48">
        <f t="shared" ref="C30:D30" si="10">ROUNDUP(C28/C29, 0)</f>
        <v>4</v>
      </c>
      <c r="D30" s="48">
        <f t="shared" si="10"/>
        <v>4</v>
      </c>
      <c r="E30" s="20" t="s">
        <v>144</v>
      </c>
      <c r="F30" s="11" t="s">
        <v>145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0" t="s">
        <v>146</v>
      </c>
      <c r="C31" s="47">
        <f>50</f>
        <v>50</v>
      </c>
      <c r="D31" s="49">
        <v>40.5</v>
      </c>
      <c r="E31" s="20" t="s">
        <v>147</v>
      </c>
      <c r="F31" s="11" t="s">
        <v>148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0" t="s">
        <v>149</v>
      </c>
      <c r="C32" s="48">
        <f t="shared" ref="C32:D32" si="11">ROUNDUP(C28/C31, 0)</f>
        <v>11</v>
      </c>
      <c r="D32" s="48">
        <f t="shared" si="11"/>
        <v>14</v>
      </c>
      <c r="E32" s="20" t="s">
        <v>150</v>
      </c>
      <c r="F32" s="11" t="s">
        <v>151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0" t="s">
        <v>152</v>
      </c>
      <c r="C33" s="47">
        <v>15</v>
      </c>
      <c r="D33" s="47">
        <v>75</v>
      </c>
      <c r="E33" s="20" t="s">
        <v>153</v>
      </c>
      <c r="F33" s="11" t="s">
        <v>154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0" t="s">
        <v>155</v>
      </c>
      <c r="C34" s="48">
        <f>SUM(K9:K16)</f>
        <v>166.72210134821012</v>
      </c>
      <c r="D34" s="48">
        <f>SUM(K17:K19)</f>
        <v>119.36662715016273</v>
      </c>
      <c r="E34" s="20" t="s">
        <v>156</v>
      </c>
      <c r="F34" s="11" t="s">
        <v>157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0" t="s">
        <v>158</v>
      </c>
      <c r="C35" s="45">
        <f>+ROUNDUP(SUM(L9:L16)/15,0)</f>
        <v>2</v>
      </c>
      <c r="D35" s="45">
        <f>+ROUNDUP(SUM(L17:L19)/15,0)</f>
        <v>2</v>
      </c>
      <c r="E35" s="20" t="s">
        <v>159</v>
      </c>
      <c r="F35" s="11" t="s">
        <v>160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88" t="s">
        <v>161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39" t="s">
        <v>128</v>
      </c>
      <c r="C38" s="39" t="s">
        <v>89</v>
      </c>
      <c r="D38" s="39" t="s">
        <v>113</v>
      </c>
      <c r="E38" s="39" t="s">
        <v>129</v>
      </c>
      <c r="F38" s="39" t="s">
        <v>130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0" t="s">
        <v>131</v>
      </c>
      <c r="C39" s="45">
        <f>SUM(J9:J16)</f>
        <v>500.16630404463035</v>
      </c>
      <c r="D39" s="45">
        <f>SUM(J17:J19)</f>
        <v>446.15722454672243</v>
      </c>
      <c r="E39" s="20" t="s">
        <v>132</v>
      </c>
      <c r="F39" s="11" t="s">
        <v>133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0" t="s">
        <v>134</v>
      </c>
      <c r="C40" s="46">
        <v>0.91220000000000001</v>
      </c>
      <c r="D40" s="46">
        <v>0.80900000000000005</v>
      </c>
      <c r="E40" s="20" t="s">
        <v>135</v>
      </c>
      <c r="F40" s="11" t="s">
        <v>136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0" t="s">
        <v>137</v>
      </c>
      <c r="C41" s="45">
        <f>C39/C40</f>
        <v>548.30772203971753</v>
      </c>
      <c r="D41" s="45">
        <f>D39/D40</f>
        <v>551.49224295021315</v>
      </c>
      <c r="E41" s="20" t="s">
        <v>138</v>
      </c>
      <c r="F41" s="11" t="s">
        <v>139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0" t="s">
        <v>140</v>
      </c>
      <c r="C42" s="47">
        <f t="shared" ref="C42:D42" si="12">25*6</f>
        <v>150</v>
      </c>
      <c r="D42" s="47">
        <f t="shared" si="12"/>
        <v>150</v>
      </c>
      <c r="E42" s="20" t="s">
        <v>141</v>
      </c>
      <c r="F42" s="11" t="s">
        <v>142</v>
      </c>
      <c r="G42" s="1" t="s">
        <v>162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0" t="s">
        <v>146</v>
      </c>
      <c r="C43" s="47">
        <v>100</v>
      </c>
      <c r="D43" s="49">
        <v>100</v>
      </c>
      <c r="E43" s="20" t="s">
        <v>147</v>
      </c>
      <c r="F43" s="11" t="s">
        <v>148</v>
      </c>
      <c r="G43" s="1" t="s">
        <v>163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0" t="s">
        <v>149</v>
      </c>
      <c r="C44" s="48">
        <f>ROUNDUP(C41/C43, 0)</f>
        <v>6</v>
      </c>
      <c r="D44" s="48">
        <f>ROUNDUP(D41/D43, 0)</f>
        <v>6</v>
      </c>
      <c r="E44" s="20" t="s">
        <v>150</v>
      </c>
      <c r="F44" s="11" t="s">
        <v>151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0" t="s">
        <v>152</v>
      </c>
      <c r="C45" s="47">
        <v>15</v>
      </c>
      <c r="D45" s="47">
        <v>75</v>
      </c>
      <c r="E45" s="20" t="s">
        <v>153</v>
      </c>
      <c r="F45" s="11" t="s">
        <v>154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0" t="s">
        <v>155</v>
      </c>
      <c r="C46" s="48">
        <f>+ROUNDUP(SUM(K9:K16),0)</f>
        <v>167</v>
      </c>
      <c r="D46" s="48">
        <f>SUM(K17:K19)</f>
        <v>119.36662715016273</v>
      </c>
      <c r="E46" s="20" t="s">
        <v>156</v>
      </c>
      <c r="F46" s="11" t="s">
        <v>157</v>
      </c>
      <c r="G46" s="1" t="s">
        <v>164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0" t="s">
        <v>158</v>
      </c>
      <c r="C47" s="45">
        <f>+ROUNDUP(SUM(L9:L16)/15,0)</f>
        <v>2</v>
      </c>
      <c r="D47" s="45">
        <f>+ROUNDUP(SUM(L17:L19)/15,0)</f>
        <v>2</v>
      </c>
      <c r="E47" s="20" t="s">
        <v>159</v>
      </c>
      <c r="F47" s="11" t="s">
        <v>160</v>
      </c>
      <c r="G47" s="1" t="s">
        <v>164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215" t="s">
        <v>0</v>
      </c>
      <c r="C55" s="216"/>
      <c r="D55" s="216"/>
      <c r="E55" s="216"/>
      <c r="F55" s="216"/>
      <c r="G55" s="216"/>
      <c r="H55" s="216"/>
      <c r="I55" s="216"/>
      <c r="J55" s="21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217" t="s">
        <v>1</v>
      </c>
      <c r="C56" s="217" t="s">
        <v>2</v>
      </c>
      <c r="D56" s="217" t="s">
        <v>3</v>
      </c>
      <c r="E56" s="215" t="s">
        <v>4</v>
      </c>
      <c r="F56" s="216"/>
      <c r="G56" s="216"/>
      <c r="H56" s="219"/>
      <c r="I56" s="220" t="s">
        <v>5</v>
      </c>
      <c r="J56" s="2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218"/>
      <c r="C57" s="218"/>
      <c r="D57" s="218"/>
      <c r="E57" s="215" t="s">
        <v>6</v>
      </c>
      <c r="F57" s="219"/>
      <c r="G57" s="215" t="s">
        <v>7</v>
      </c>
      <c r="H57" s="219"/>
      <c r="I57" s="222"/>
      <c r="J57" s="2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68" t="s">
        <v>8</v>
      </c>
      <c r="C58" s="69">
        <v>431449</v>
      </c>
      <c r="D58" s="70" t="s">
        <v>9</v>
      </c>
      <c r="E58" s="71"/>
      <c r="F58" s="71"/>
      <c r="G58" s="71"/>
      <c r="H58" s="71"/>
      <c r="I58" s="72">
        <v>431449</v>
      </c>
      <c r="J58" s="70" t="s">
        <v>165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68" t="s">
        <v>10</v>
      </c>
      <c r="C59" s="72">
        <v>431449</v>
      </c>
      <c r="D59" s="70" t="s">
        <v>9</v>
      </c>
      <c r="E59" s="73">
        <v>0.01</v>
      </c>
      <c r="F59" s="72">
        <v>4314</v>
      </c>
      <c r="G59" s="73">
        <v>0.01</v>
      </c>
      <c r="H59" s="72">
        <v>4314</v>
      </c>
      <c r="I59" s="72">
        <v>422820</v>
      </c>
      <c r="J59" s="70" t="s">
        <v>165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68" t="s">
        <v>11</v>
      </c>
      <c r="C60" s="72">
        <v>422820</v>
      </c>
      <c r="D60" s="70" t="s">
        <v>9</v>
      </c>
      <c r="E60" s="71"/>
      <c r="F60" s="71"/>
      <c r="G60" s="73">
        <v>7.0000000000000007E-2</v>
      </c>
      <c r="H60" s="72">
        <v>29597</v>
      </c>
      <c r="I60" s="72">
        <v>393223</v>
      </c>
      <c r="J60" s="70" t="s">
        <v>165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68" t="s">
        <v>12</v>
      </c>
      <c r="C61" s="72">
        <v>393223</v>
      </c>
      <c r="D61" s="70" t="s">
        <v>9</v>
      </c>
      <c r="E61" s="73">
        <v>0.04</v>
      </c>
      <c r="F61" s="72">
        <v>15729</v>
      </c>
      <c r="G61" s="73">
        <v>0.01</v>
      </c>
      <c r="H61" s="72">
        <v>3932</v>
      </c>
      <c r="I61" s="72">
        <v>373562</v>
      </c>
      <c r="J61" s="70" t="s">
        <v>165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68" t="s">
        <v>13</v>
      </c>
      <c r="C62" s="72">
        <v>373562</v>
      </c>
      <c r="D62" s="70" t="s">
        <v>9</v>
      </c>
      <c r="E62" s="71"/>
      <c r="F62" s="71"/>
      <c r="G62" s="71"/>
      <c r="H62" s="71"/>
      <c r="I62" s="72">
        <v>373562</v>
      </c>
      <c r="J62" s="70" t="s">
        <v>165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68" t="s">
        <v>14</v>
      </c>
      <c r="C63" s="72">
        <v>373562</v>
      </c>
      <c r="D63" s="70" t="s">
        <v>9</v>
      </c>
      <c r="E63" s="73">
        <v>0.04</v>
      </c>
      <c r="F63" s="72">
        <v>14942</v>
      </c>
      <c r="G63" s="71"/>
      <c r="H63" s="71"/>
      <c r="I63" s="72">
        <v>358619</v>
      </c>
      <c r="J63" s="70" t="s">
        <v>165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68" t="s">
        <v>15</v>
      </c>
      <c r="C64" s="72">
        <v>358619</v>
      </c>
      <c r="D64" s="70" t="s">
        <v>9</v>
      </c>
      <c r="E64" s="71"/>
      <c r="F64" s="71"/>
      <c r="G64" s="71"/>
      <c r="H64" s="71"/>
      <c r="I64" s="72">
        <v>358619</v>
      </c>
      <c r="J64" s="70" t="s">
        <v>165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68" t="s">
        <v>16</v>
      </c>
      <c r="C65" s="72">
        <v>358619</v>
      </c>
      <c r="D65" s="70" t="s">
        <v>9</v>
      </c>
      <c r="E65" s="71"/>
      <c r="F65" s="71"/>
      <c r="G65" s="71"/>
      <c r="H65" s="71"/>
      <c r="I65" s="74">
        <v>358619</v>
      </c>
      <c r="J65" s="70" t="s">
        <v>165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75" t="s">
        <v>17</v>
      </c>
      <c r="C66" s="76">
        <v>431449</v>
      </c>
      <c r="D66" s="77" t="s">
        <v>9</v>
      </c>
      <c r="E66" s="78"/>
      <c r="F66" s="79">
        <v>34986</v>
      </c>
      <c r="G66" s="78"/>
      <c r="H66" s="79">
        <v>37844</v>
      </c>
      <c r="I66" s="74">
        <v>358619</v>
      </c>
      <c r="J66" s="80" t="s">
        <v>165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86" t="s">
        <v>166</v>
      </c>
      <c r="F67" s="87">
        <f>+F66/12</f>
        <v>2915.5</v>
      </c>
      <c r="G67" s="1" t="s">
        <v>167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86" t="s">
        <v>168</v>
      </c>
      <c r="F68" s="87">
        <f>+F67/30</f>
        <v>97.183333333333337</v>
      </c>
      <c r="G68" s="1" t="s">
        <v>167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E69" s="86" t="s">
        <v>169</v>
      </c>
      <c r="F69" s="87">
        <f>+F68/3</f>
        <v>32.394444444444446</v>
      </c>
      <c r="G69" s="1" t="s">
        <v>167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8">
    <mergeCell ref="B55:J55"/>
    <mergeCell ref="B56:B57"/>
    <mergeCell ref="C56:C57"/>
    <mergeCell ref="D56:D57"/>
    <mergeCell ref="E56:H56"/>
    <mergeCell ref="I56:J57"/>
    <mergeCell ref="E57:F57"/>
    <mergeCell ref="G57:H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6"/>
  <sheetViews>
    <sheetView showGridLines="0" topLeftCell="B3" zoomScale="85" zoomScaleNormal="85" workbookViewId="0">
      <selection activeCell="G7" sqref="G7:H29"/>
    </sheetView>
  </sheetViews>
  <sheetFormatPr baseColWidth="10" defaultColWidth="14.42578125" defaultRowHeight="15" x14ac:dyDescent="0.25"/>
  <cols>
    <col min="1" max="1" width="10" customWidth="1"/>
    <col min="2" max="2" width="46.5703125" customWidth="1"/>
    <col min="3" max="3" width="34.85546875" customWidth="1"/>
    <col min="4" max="4" width="20" customWidth="1"/>
    <col min="5" max="5" width="59.140625" customWidth="1"/>
    <col min="6" max="6" width="28.42578125" customWidth="1"/>
    <col min="7" max="7" width="19.85546875" customWidth="1"/>
    <col min="8" max="8" width="27.28515625" customWidth="1"/>
    <col min="9" max="9" width="22.42578125" customWidth="1"/>
    <col min="10" max="10" width="16.140625" hidden="1" customWidth="1"/>
    <col min="11" max="11" width="21.140625" hidden="1" customWidth="1"/>
    <col min="12" max="12" width="18.5703125" hidden="1" customWidth="1"/>
    <col min="13" max="13" width="23.85546875" hidden="1" customWidth="1"/>
    <col min="14" max="14" width="26.28515625" hidden="1" customWidth="1"/>
    <col min="15" max="15" width="34.140625" hidden="1" customWidth="1"/>
    <col min="16" max="26" width="8.7109375" customWidth="1"/>
  </cols>
  <sheetData>
    <row r="1" spans="1:26" ht="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x14ac:dyDescent="0.4">
      <c r="A2" s="1"/>
      <c r="B2" s="2" t="s">
        <v>170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3" t="s">
        <v>171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x14ac:dyDescent="0.35">
      <c r="A4" s="1"/>
      <c r="B4" s="4" t="s">
        <v>35</v>
      </c>
      <c r="C4" s="5" t="s">
        <v>36</v>
      </c>
      <c r="D4" s="1"/>
      <c r="E4" s="6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x14ac:dyDescent="0.35">
      <c r="A6" s="1"/>
      <c r="B6" s="7" t="s">
        <v>172</v>
      </c>
      <c r="C6" s="7" t="s">
        <v>173</v>
      </c>
      <c r="D6" s="7" t="s">
        <v>174</v>
      </c>
      <c r="E6" s="7" t="s">
        <v>175</v>
      </c>
      <c r="F6" s="7" t="s">
        <v>176</v>
      </c>
      <c r="G6" s="7" t="s">
        <v>177</v>
      </c>
      <c r="H6" s="7" t="s">
        <v>178</v>
      </c>
      <c r="I6" s="7" t="s">
        <v>179</v>
      </c>
      <c r="J6" s="7" t="s">
        <v>180</v>
      </c>
      <c r="K6" s="7" t="s">
        <v>181</v>
      </c>
      <c r="L6" s="7" t="s">
        <v>182</v>
      </c>
      <c r="M6" s="7" t="s">
        <v>183</v>
      </c>
      <c r="N6" s="7" t="s">
        <v>184</v>
      </c>
      <c r="O6" s="7" t="s">
        <v>185</v>
      </c>
      <c r="P6" s="100" t="s">
        <v>186</v>
      </c>
      <c r="Q6" s="100" t="s">
        <v>187</v>
      </c>
      <c r="R6" s="100" t="s">
        <v>188</v>
      </c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1"/>
      <c r="B7" s="9" t="s">
        <v>189</v>
      </c>
      <c r="C7" s="10" t="s">
        <v>190</v>
      </c>
      <c r="D7" s="10" t="s">
        <v>725</v>
      </c>
      <c r="E7" s="11" t="s">
        <v>192</v>
      </c>
      <c r="F7" s="13" t="s">
        <v>193</v>
      </c>
      <c r="G7" s="14">
        <v>300</v>
      </c>
      <c r="H7" s="18">
        <f>ROUNDUP(('2. PCP - Programa &amp; Lotes'!C28+'2. PCP - Programa &amp; Lotes'!D28)/G7, 0)</f>
        <v>4</v>
      </c>
      <c r="I7" s="22">
        <f>'2. PCP - Programa &amp; Lotes'!C28+'2. PCP - Programa &amp; Lotes'!D28</f>
        <v>1099.7999649899307</v>
      </c>
      <c r="J7" s="23">
        <v>4.5</v>
      </c>
      <c r="K7" s="23">
        <v>36</v>
      </c>
      <c r="L7" s="24">
        <v>0.5</v>
      </c>
      <c r="M7" s="26">
        <f t="shared" ref="M7:M27" si="0">IF(H7&gt;0, (2*J7/K7) + L7, 0)</f>
        <v>0.75</v>
      </c>
      <c r="N7" s="28">
        <f t="shared" ref="N7:N27" si="1">H7*M7/60</f>
        <v>0.05</v>
      </c>
      <c r="O7" s="30">
        <f t="shared" ref="O7:O27" si="2">H7*J7*G7</f>
        <v>5400</v>
      </c>
      <c r="P7" s="166">
        <f>+ROUNDUP(I7/110,0)</f>
        <v>10</v>
      </c>
      <c r="Q7" s="166" t="s">
        <v>194</v>
      </c>
      <c r="R7" s="1" t="s">
        <v>195</v>
      </c>
      <c r="S7" s="1" t="s">
        <v>196</v>
      </c>
      <c r="T7" s="1">
        <v>24</v>
      </c>
      <c r="U7" s="1" t="s">
        <v>723</v>
      </c>
      <c r="V7" s="1"/>
      <c r="W7" s="1"/>
      <c r="X7" s="1"/>
      <c r="Y7" s="1"/>
      <c r="Z7" s="1"/>
    </row>
    <row r="8" spans="1:26" ht="18" x14ac:dyDescent="0.35">
      <c r="A8" s="1"/>
      <c r="B8" s="9" t="s">
        <v>197</v>
      </c>
      <c r="C8" s="10" t="s">
        <v>725</v>
      </c>
      <c r="D8" s="31" t="s">
        <v>191</v>
      </c>
      <c r="E8" s="247"/>
      <c r="F8" s="248"/>
      <c r="G8" s="14">
        <v>150</v>
      </c>
      <c r="H8" s="18">
        <v>4</v>
      </c>
      <c r="I8" s="22">
        <v>1099.8</v>
      </c>
      <c r="J8" s="103"/>
      <c r="K8" s="103"/>
      <c r="L8" s="104"/>
      <c r="M8" s="249"/>
      <c r="N8" s="250"/>
      <c r="O8" s="251"/>
      <c r="P8" s="166">
        <f>+ROUNDUP(I8/110,0)</f>
        <v>10</v>
      </c>
      <c r="Q8" s="166" t="s">
        <v>194</v>
      </c>
      <c r="R8" s="1" t="s">
        <v>195</v>
      </c>
      <c r="S8" s="1" t="s">
        <v>196</v>
      </c>
      <c r="T8" s="1"/>
      <c r="U8" s="1"/>
      <c r="V8" s="1"/>
      <c r="W8" s="1"/>
      <c r="X8" s="1"/>
      <c r="Y8" s="1"/>
      <c r="Z8" s="1"/>
    </row>
    <row r="9" spans="1:26" ht="18" x14ac:dyDescent="0.35">
      <c r="A9" s="1"/>
      <c r="B9" s="9" t="s">
        <v>202</v>
      </c>
      <c r="C9" s="31" t="s">
        <v>191</v>
      </c>
      <c r="D9" s="31" t="s">
        <v>198</v>
      </c>
      <c r="E9" s="32" t="s">
        <v>199</v>
      </c>
      <c r="F9" s="33" t="s">
        <v>200</v>
      </c>
      <c r="G9" s="14">
        <f>'2. PCP - Programa &amp; Lotes'!C29</f>
        <v>150</v>
      </c>
      <c r="H9" s="18">
        <f>+ROUNDUP('2. PCP - Programa &amp; Lotes'!C28/'3. Cuantificación Frecuencias'!G9,0)</f>
        <v>4</v>
      </c>
      <c r="I9" s="34">
        <f>+H9*G9</f>
        <v>600</v>
      </c>
      <c r="J9" s="23">
        <v>3.5</v>
      </c>
      <c r="K9" s="23">
        <v>48</v>
      </c>
      <c r="L9" s="24">
        <v>0.3</v>
      </c>
      <c r="M9" s="35">
        <f t="shared" si="0"/>
        <v>0.4458333333333333</v>
      </c>
      <c r="N9" s="28">
        <f t="shared" si="1"/>
        <v>2.9722222222222219E-2</v>
      </c>
      <c r="O9" s="37">
        <f t="shared" si="2"/>
        <v>2100</v>
      </c>
      <c r="P9" s="166">
        <f>+ROUNDUP(I9/110,0)</f>
        <v>6</v>
      </c>
      <c r="Q9" s="167" t="s">
        <v>195</v>
      </c>
      <c r="R9" s="1" t="s">
        <v>195</v>
      </c>
      <c r="S9" s="1" t="s">
        <v>201</v>
      </c>
      <c r="T9" s="1"/>
      <c r="U9" s="1"/>
      <c r="V9" s="1"/>
      <c r="W9" s="1"/>
      <c r="X9" s="1"/>
      <c r="Y9" s="1"/>
      <c r="Z9" s="1"/>
    </row>
    <row r="10" spans="1:26" ht="18" x14ac:dyDescent="0.35">
      <c r="A10" s="1"/>
      <c r="B10" s="9" t="s">
        <v>206</v>
      </c>
      <c r="C10" s="10" t="s">
        <v>198</v>
      </c>
      <c r="D10" s="10" t="s">
        <v>203</v>
      </c>
      <c r="E10" s="11" t="s">
        <v>204</v>
      </c>
      <c r="F10" s="13" t="s">
        <v>205</v>
      </c>
      <c r="G10" s="14">
        <v>100</v>
      </c>
      <c r="H10" s="18">
        <f>+ROUNDUP('2. PCP - Programa &amp; Lotes'!C41/'3. Cuantificación Frecuencias'!G10,0)</f>
        <v>6</v>
      </c>
      <c r="I10" s="34">
        <f t="shared" ref="I10:I32" si="3">+H10*G10</f>
        <v>600</v>
      </c>
      <c r="J10" s="23">
        <v>3</v>
      </c>
      <c r="K10" s="23">
        <v>42</v>
      </c>
      <c r="L10" s="24">
        <v>0.35</v>
      </c>
      <c r="M10" s="26">
        <f t="shared" si="0"/>
        <v>0.49285714285714283</v>
      </c>
      <c r="N10" s="28">
        <f t="shared" si="1"/>
        <v>4.928571428571428E-2</v>
      </c>
      <c r="O10" s="30">
        <f t="shared" si="2"/>
        <v>1800</v>
      </c>
      <c r="P10" s="166">
        <f>+ROUNDUP(I10/110,0)</f>
        <v>6</v>
      </c>
      <c r="Q10" s="167" t="s">
        <v>195</v>
      </c>
      <c r="R10" s="1" t="s">
        <v>194</v>
      </c>
      <c r="S10" s="1" t="s">
        <v>196</v>
      </c>
      <c r="T10" s="1"/>
      <c r="U10" s="1"/>
      <c r="V10" s="1"/>
      <c r="W10" s="1"/>
      <c r="X10" s="1"/>
      <c r="Y10" s="1"/>
      <c r="Z10" s="1"/>
    </row>
    <row r="11" spans="1:26" ht="18" x14ac:dyDescent="0.35">
      <c r="A11" s="1"/>
      <c r="B11" s="9" t="s">
        <v>211</v>
      </c>
      <c r="C11" s="31" t="s">
        <v>203</v>
      </c>
      <c r="D11" s="31" t="s">
        <v>207</v>
      </c>
      <c r="E11" s="32" t="s">
        <v>208</v>
      </c>
      <c r="F11" s="33" t="s">
        <v>209</v>
      </c>
      <c r="G11" s="14" t="s">
        <v>210</v>
      </c>
      <c r="H11" s="18" t="s">
        <v>210</v>
      </c>
      <c r="I11" s="34" t="s">
        <v>210</v>
      </c>
      <c r="J11" s="23">
        <v>5</v>
      </c>
      <c r="K11" s="23">
        <v>60</v>
      </c>
      <c r="L11" s="24">
        <v>0</v>
      </c>
      <c r="M11" s="35">
        <f t="shared" si="0"/>
        <v>0.16666666666666666</v>
      </c>
      <c r="N11" s="28" t="e">
        <f t="shared" si="1"/>
        <v>#VALUE!</v>
      </c>
      <c r="O11" s="37" t="e">
        <f t="shared" si="2"/>
        <v>#VALUE!</v>
      </c>
      <c r="P11" s="166">
        <v>0</v>
      </c>
      <c r="Q11" s="168" t="s">
        <v>194</v>
      </c>
      <c r="R11" s="1" t="s">
        <v>9</v>
      </c>
      <c r="S11" s="1" t="s">
        <v>196</v>
      </c>
      <c r="T11" s="1"/>
      <c r="U11" s="1"/>
      <c r="V11" s="1"/>
      <c r="W11" s="1"/>
      <c r="X11" s="1"/>
      <c r="Y11" s="1"/>
      <c r="Z11" s="1"/>
    </row>
    <row r="12" spans="1:26" ht="18" x14ac:dyDescent="0.35">
      <c r="A12" s="1"/>
      <c r="B12" s="9" t="s">
        <v>214</v>
      </c>
      <c r="C12" s="10" t="s">
        <v>207</v>
      </c>
      <c r="D12" s="10" t="s">
        <v>212</v>
      </c>
      <c r="E12" s="11" t="s">
        <v>213</v>
      </c>
      <c r="F12" s="13" t="s">
        <v>209</v>
      </c>
      <c r="G12" s="14" t="s">
        <v>210</v>
      </c>
      <c r="H12" s="18" t="s">
        <v>210</v>
      </c>
      <c r="I12" s="34" t="s">
        <v>210</v>
      </c>
      <c r="J12" s="23">
        <v>6</v>
      </c>
      <c r="K12" s="23">
        <v>60</v>
      </c>
      <c r="L12" s="24">
        <v>0</v>
      </c>
      <c r="M12" s="26">
        <f t="shared" si="0"/>
        <v>0.2</v>
      </c>
      <c r="N12" s="28" t="e">
        <f t="shared" si="1"/>
        <v>#VALUE!</v>
      </c>
      <c r="O12" s="30" t="e">
        <f t="shared" si="2"/>
        <v>#VALUE!</v>
      </c>
      <c r="P12" s="166">
        <v>0</v>
      </c>
      <c r="Q12" s="168" t="s">
        <v>194</v>
      </c>
      <c r="R12" s="1" t="s">
        <v>9</v>
      </c>
      <c r="S12" s="1" t="s">
        <v>196</v>
      </c>
      <c r="T12" s="1"/>
      <c r="U12" s="1"/>
      <c r="V12" s="1"/>
      <c r="W12" s="1"/>
      <c r="X12" s="1"/>
      <c r="Y12" s="1"/>
      <c r="Z12" s="1"/>
    </row>
    <row r="13" spans="1:26" ht="18" x14ac:dyDescent="0.35">
      <c r="A13" s="1"/>
      <c r="B13" s="9" t="s">
        <v>218</v>
      </c>
      <c r="C13" s="31" t="s">
        <v>212</v>
      </c>
      <c r="D13" s="31" t="s">
        <v>215</v>
      </c>
      <c r="E13" s="32" t="s">
        <v>216</v>
      </c>
      <c r="F13" s="33" t="s">
        <v>217</v>
      </c>
      <c r="G13" s="14" t="s">
        <v>210</v>
      </c>
      <c r="H13" s="18" t="s">
        <v>210</v>
      </c>
      <c r="I13" s="34" t="s">
        <v>210</v>
      </c>
      <c r="J13" s="23">
        <v>4</v>
      </c>
      <c r="K13" s="23">
        <v>60</v>
      </c>
      <c r="L13" s="24">
        <v>0</v>
      </c>
      <c r="M13" s="35">
        <f t="shared" si="0"/>
        <v>0.13333333333333333</v>
      </c>
      <c r="N13" s="28" t="e">
        <f t="shared" si="1"/>
        <v>#VALUE!</v>
      </c>
      <c r="O13" s="37" t="e">
        <f t="shared" si="2"/>
        <v>#VALUE!</v>
      </c>
      <c r="P13" s="166">
        <v>0</v>
      </c>
      <c r="Q13" s="168" t="s">
        <v>194</v>
      </c>
      <c r="R13" s="1" t="s">
        <v>9</v>
      </c>
      <c r="S13" s="1" t="s">
        <v>196</v>
      </c>
      <c r="T13" s="1"/>
      <c r="U13" s="1"/>
      <c r="V13" s="1"/>
      <c r="W13" s="1"/>
      <c r="X13" s="1"/>
      <c r="Y13" s="1"/>
      <c r="Z13" s="1"/>
    </row>
    <row r="14" spans="1:26" ht="18" x14ac:dyDescent="0.35">
      <c r="A14" s="1"/>
      <c r="B14" s="9" t="s">
        <v>223</v>
      </c>
      <c r="C14" s="31" t="s">
        <v>215</v>
      </c>
      <c r="D14" s="31" t="s">
        <v>219</v>
      </c>
      <c r="E14" s="32" t="s">
        <v>220</v>
      </c>
      <c r="F14" s="33" t="s">
        <v>193</v>
      </c>
      <c r="G14" s="14">
        <v>315</v>
      </c>
      <c r="H14" s="18">
        <f>'2. PCP - Programa &amp; Lotes'!C35</f>
        <v>2</v>
      </c>
      <c r="I14" s="34">
        <f t="shared" si="3"/>
        <v>630</v>
      </c>
      <c r="J14" s="23">
        <v>5</v>
      </c>
      <c r="K14" s="23">
        <v>36</v>
      </c>
      <c r="L14" s="24">
        <v>0.75</v>
      </c>
      <c r="M14" s="35">
        <f t="shared" si="0"/>
        <v>1.0277777777777777</v>
      </c>
      <c r="N14" s="28">
        <f t="shared" si="1"/>
        <v>3.4259259259259253E-2</v>
      </c>
      <c r="O14" s="37">
        <f t="shared" si="2"/>
        <v>3150</v>
      </c>
      <c r="P14" s="166">
        <f t="shared" ref="P14:P32" si="4">+ROUNDUP(I14/110,0)</f>
        <v>6</v>
      </c>
      <c r="Q14" t="s">
        <v>195</v>
      </c>
      <c r="R14" s="1" t="s">
        <v>221</v>
      </c>
      <c r="S14" s="1" t="s">
        <v>222</v>
      </c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9" t="s">
        <v>226</v>
      </c>
      <c r="C15" s="10" t="s">
        <v>191</v>
      </c>
      <c r="D15" s="10" t="s">
        <v>224</v>
      </c>
      <c r="E15" s="11" t="s">
        <v>225</v>
      </c>
      <c r="F15" s="13" t="s">
        <v>200</v>
      </c>
      <c r="G15" s="14">
        <f>+'2. PCP - Programa &amp; Lotes'!D42</f>
        <v>150</v>
      </c>
      <c r="H15" s="18">
        <f>+ROUNDUP('2. PCP - Programa &amp; Lotes'!D41/'3. Cuantificación Frecuencias'!G15,0)</f>
        <v>4</v>
      </c>
      <c r="I15" s="34">
        <f t="shared" si="3"/>
        <v>600</v>
      </c>
      <c r="J15" s="23">
        <v>5.5</v>
      </c>
      <c r="K15" s="23">
        <v>48</v>
      </c>
      <c r="L15" s="24">
        <v>0.35</v>
      </c>
      <c r="M15" s="26">
        <f t="shared" si="0"/>
        <v>0.57916666666666661</v>
      </c>
      <c r="N15" s="28">
        <f t="shared" si="1"/>
        <v>3.861111111111111E-2</v>
      </c>
      <c r="O15" s="30">
        <f t="shared" si="2"/>
        <v>3300</v>
      </c>
      <c r="P15" s="166">
        <f t="shared" si="4"/>
        <v>6</v>
      </c>
      <c r="Q15" s="167" t="s">
        <v>195</v>
      </c>
      <c r="R15" s="1" t="s">
        <v>195</v>
      </c>
      <c r="S15" s="1" t="s">
        <v>201</v>
      </c>
      <c r="T15" s="1"/>
      <c r="U15" s="1"/>
      <c r="V15" s="1"/>
      <c r="W15" s="1"/>
      <c r="X15" s="1"/>
      <c r="Y15" s="1"/>
      <c r="Z15" s="1"/>
    </row>
    <row r="16" spans="1:26" ht="18" x14ac:dyDescent="0.35">
      <c r="A16" s="1"/>
      <c r="B16" s="9" t="s">
        <v>229</v>
      </c>
      <c r="C16" s="31" t="s">
        <v>224</v>
      </c>
      <c r="D16" s="31" t="s">
        <v>227</v>
      </c>
      <c r="E16" s="32" t="s">
        <v>228</v>
      </c>
      <c r="F16" s="33" t="s">
        <v>205</v>
      </c>
      <c r="G16" s="14">
        <f>+'2. PCP - Programa &amp; Lotes'!D43</f>
        <v>100</v>
      </c>
      <c r="H16" s="18">
        <f>+ROUNDUP('2. PCP - Programa &amp; Lotes'!D41/'3. Cuantificación Frecuencias'!G16,0)</f>
        <v>6</v>
      </c>
      <c r="I16" s="34">
        <f>+H16*G16</f>
        <v>600</v>
      </c>
      <c r="J16" s="23">
        <v>3</v>
      </c>
      <c r="K16" s="23">
        <v>42</v>
      </c>
      <c r="L16" s="24">
        <v>0.35</v>
      </c>
      <c r="M16" s="35">
        <f t="shared" si="0"/>
        <v>0.49285714285714283</v>
      </c>
      <c r="N16" s="28">
        <f t="shared" si="1"/>
        <v>4.928571428571428E-2</v>
      </c>
      <c r="O16" s="37">
        <f t="shared" si="2"/>
        <v>1800</v>
      </c>
      <c r="P16" s="166">
        <f t="shared" si="4"/>
        <v>6</v>
      </c>
      <c r="Q16" s="167" t="s">
        <v>195</v>
      </c>
      <c r="R16" s="1" t="s">
        <v>194</v>
      </c>
      <c r="S16" s="1" t="s">
        <v>196</v>
      </c>
      <c r="T16" s="1"/>
      <c r="U16" s="1"/>
      <c r="V16" s="1"/>
      <c r="W16" s="1"/>
      <c r="X16" s="1"/>
      <c r="Y16" s="1"/>
      <c r="Z16" s="1"/>
    </row>
    <row r="17" spans="1:26" ht="18" x14ac:dyDescent="0.35">
      <c r="A17" s="1"/>
      <c r="B17" s="9" t="s">
        <v>234</v>
      </c>
      <c r="C17" s="10" t="s">
        <v>227</v>
      </c>
      <c r="D17" s="10" t="s">
        <v>230</v>
      </c>
      <c r="E17" s="11" t="s">
        <v>231</v>
      </c>
      <c r="F17" s="13" t="s">
        <v>232</v>
      </c>
      <c r="G17" s="14">
        <v>43.2</v>
      </c>
      <c r="H17" s="18">
        <f>+ROUNDUP('2. PCP - Programa &amp; Lotes'!$D$41*0.4/'3. Cuantificación Frecuencias'!G17,0)</f>
        <v>6</v>
      </c>
      <c r="I17" s="34">
        <f t="shared" si="3"/>
        <v>259.20000000000005</v>
      </c>
      <c r="J17" s="23">
        <v>3</v>
      </c>
      <c r="K17" s="23">
        <v>42</v>
      </c>
      <c r="L17" s="24">
        <v>0.4</v>
      </c>
      <c r="M17" s="26">
        <f t="shared" si="0"/>
        <v>0.54285714285714293</v>
      </c>
      <c r="N17" s="28">
        <f t="shared" si="1"/>
        <v>5.4285714285714291E-2</v>
      </c>
      <c r="O17" s="30">
        <f t="shared" si="2"/>
        <v>777.6</v>
      </c>
      <c r="P17" s="166">
        <f t="shared" si="4"/>
        <v>3</v>
      </c>
      <c r="Q17" s="168" t="s">
        <v>221</v>
      </c>
      <c r="R17" s="1" t="s">
        <v>194</v>
      </c>
      <c r="S17" s="1" t="s">
        <v>201</v>
      </c>
      <c r="T17" s="1"/>
      <c r="U17" s="1"/>
      <c r="V17" s="1"/>
      <c r="W17" s="1"/>
      <c r="X17" s="1"/>
      <c r="Y17" s="1"/>
      <c r="Z17" s="1"/>
    </row>
    <row r="18" spans="1:26" ht="18" x14ac:dyDescent="0.35">
      <c r="A18" s="1"/>
      <c r="B18" s="9" t="s">
        <v>236</v>
      </c>
      <c r="C18" s="10" t="s">
        <v>227</v>
      </c>
      <c r="D18" s="31" t="s">
        <v>233</v>
      </c>
      <c r="E18" s="11" t="s">
        <v>231</v>
      </c>
      <c r="F18" s="13" t="s">
        <v>232</v>
      </c>
      <c r="G18" s="14">
        <v>43.2</v>
      </c>
      <c r="H18" s="102">
        <f>+ROUNDUP('2. PCP - Programa &amp; Lotes'!D28*0.6/'3. Cuantificación Frecuencias'!G18,0)</f>
        <v>8</v>
      </c>
      <c r="I18" s="34">
        <f t="shared" si="3"/>
        <v>345.6</v>
      </c>
      <c r="J18" s="103"/>
      <c r="K18" s="103"/>
      <c r="L18" s="104"/>
      <c r="M18" s="169"/>
      <c r="N18" s="105"/>
      <c r="O18" s="170"/>
      <c r="P18" s="166">
        <f t="shared" si="4"/>
        <v>4</v>
      </c>
      <c r="Q18" s="168" t="s">
        <v>195</v>
      </c>
      <c r="R18" s="1" t="s">
        <v>194</v>
      </c>
      <c r="S18" s="1" t="s">
        <v>196</v>
      </c>
      <c r="T18" s="1"/>
      <c r="U18" s="1"/>
      <c r="V18" s="1"/>
      <c r="W18" s="1"/>
      <c r="X18" s="1"/>
      <c r="Y18" s="1"/>
      <c r="Z18" s="1"/>
    </row>
    <row r="19" spans="1:26" ht="18" x14ac:dyDescent="0.35">
      <c r="A19" s="1"/>
      <c r="B19" s="9" t="s">
        <v>239</v>
      </c>
      <c r="C19" s="31" t="s">
        <v>230</v>
      </c>
      <c r="D19" s="31" t="s">
        <v>233</v>
      </c>
      <c r="E19" s="32" t="s">
        <v>235</v>
      </c>
      <c r="F19" s="33" t="s">
        <v>232</v>
      </c>
      <c r="G19" s="14">
        <v>43.2</v>
      </c>
      <c r="H19" s="18">
        <f>+ROUNDUP('2. PCP - Programa &amp; Lotes'!$D$41*0.4/'3. Cuantificación Frecuencias'!G19,0)</f>
        <v>6</v>
      </c>
      <c r="I19" s="34">
        <f t="shared" si="3"/>
        <v>259.20000000000005</v>
      </c>
      <c r="J19" s="23">
        <v>4</v>
      </c>
      <c r="K19" s="23">
        <v>42</v>
      </c>
      <c r="L19" s="24">
        <v>0.4</v>
      </c>
      <c r="M19" s="35">
        <f t="shared" si="0"/>
        <v>0.59047619047619049</v>
      </c>
      <c r="N19" s="28">
        <f t="shared" si="1"/>
        <v>5.9047619047619043E-2</v>
      </c>
      <c r="O19" s="37">
        <f t="shared" si="2"/>
        <v>1036.8000000000002</v>
      </c>
      <c r="P19" s="166">
        <f t="shared" si="4"/>
        <v>3</v>
      </c>
      <c r="Q19" s="168" t="s">
        <v>221</v>
      </c>
      <c r="R19" s="1" t="s">
        <v>194</v>
      </c>
      <c r="S19" s="1" t="s">
        <v>201</v>
      </c>
      <c r="T19" s="1"/>
      <c r="U19" s="1"/>
      <c r="V19" s="1"/>
      <c r="W19" s="1"/>
      <c r="X19" s="1"/>
      <c r="Y19" s="1"/>
      <c r="Z19" s="1"/>
    </row>
    <row r="20" spans="1:26" ht="18" x14ac:dyDescent="0.35">
      <c r="A20" s="1"/>
      <c r="B20" s="9" t="s">
        <v>243</v>
      </c>
      <c r="C20" s="10" t="s">
        <v>233</v>
      </c>
      <c r="D20" s="10" t="s">
        <v>237</v>
      </c>
      <c r="E20" s="11" t="s">
        <v>238</v>
      </c>
      <c r="F20" s="13" t="s">
        <v>232</v>
      </c>
      <c r="G20" s="14">
        <v>43.2</v>
      </c>
      <c r="H20" s="18">
        <f>'2. PCP - Programa &amp; Lotes'!D32</f>
        <v>14</v>
      </c>
      <c r="I20" s="34">
        <f t="shared" si="3"/>
        <v>604.80000000000007</v>
      </c>
      <c r="J20" s="23">
        <v>3.5</v>
      </c>
      <c r="K20" s="23">
        <v>36</v>
      </c>
      <c r="L20" s="24">
        <v>0.45</v>
      </c>
      <c r="M20" s="26">
        <f t="shared" si="0"/>
        <v>0.64444444444444449</v>
      </c>
      <c r="N20" s="28">
        <f t="shared" si="1"/>
        <v>0.15037037037037038</v>
      </c>
      <c r="O20" s="30">
        <f t="shared" si="2"/>
        <v>2116.8000000000002</v>
      </c>
      <c r="P20" s="166">
        <f t="shared" si="4"/>
        <v>6</v>
      </c>
      <c r="Q20" s="168" t="s">
        <v>195</v>
      </c>
      <c r="R20" s="1" t="s">
        <v>194</v>
      </c>
      <c r="S20" s="1" t="s">
        <v>196</v>
      </c>
      <c r="T20" s="1"/>
      <c r="U20" s="1"/>
      <c r="V20" s="1"/>
      <c r="W20" s="1"/>
      <c r="X20" s="1"/>
      <c r="Y20" s="1"/>
      <c r="Z20" s="1"/>
    </row>
    <row r="21" spans="1:26" ht="18" x14ac:dyDescent="0.35">
      <c r="A21" s="1"/>
      <c r="B21" s="9" t="s">
        <v>245</v>
      </c>
      <c r="C21" s="31" t="s">
        <v>237</v>
      </c>
      <c r="D21" s="10" t="s">
        <v>240</v>
      </c>
      <c r="E21" s="32" t="s">
        <v>241</v>
      </c>
      <c r="F21" s="33" t="s">
        <v>242</v>
      </c>
      <c r="G21" s="14">
        <v>30</v>
      </c>
      <c r="H21" s="18">
        <f>'2. PCP - Programa &amp; Lotes'!D32</f>
        <v>14</v>
      </c>
      <c r="I21" s="34">
        <f t="shared" si="3"/>
        <v>420</v>
      </c>
      <c r="J21" s="23">
        <v>4</v>
      </c>
      <c r="K21" s="23">
        <v>42</v>
      </c>
      <c r="L21" s="24">
        <v>0.35</v>
      </c>
      <c r="M21" s="35">
        <f t="shared" si="0"/>
        <v>0.54047619047619044</v>
      </c>
      <c r="N21" s="28">
        <f t="shared" si="1"/>
        <v>0.12611111111111112</v>
      </c>
      <c r="O21" s="37">
        <f t="shared" si="2"/>
        <v>1680</v>
      </c>
      <c r="P21" s="166">
        <f t="shared" si="4"/>
        <v>4</v>
      </c>
      <c r="Q21" s="168" t="s">
        <v>195</v>
      </c>
      <c r="R21" s="1" t="s">
        <v>194</v>
      </c>
      <c r="S21" s="1" t="s">
        <v>196</v>
      </c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9" t="s">
        <v>249</v>
      </c>
      <c r="C22" s="10" t="s">
        <v>240</v>
      </c>
      <c r="D22" s="10" t="s">
        <v>219</v>
      </c>
      <c r="E22" s="11" t="s">
        <v>244</v>
      </c>
      <c r="F22" s="13" t="s">
        <v>193</v>
      </c>
      <c r="G22" s="14">
        <v>250</v>
      </c>
      <c r="H22" s="18">
        <f>'2. PCP - Programa &amp; Lotes'!D35</f>
        <v>2</v>
      </c>
      <c r="I22" s="34">
        <f t="shared" si="3"/>
        <v>500</v>
      </c>
      <c r="J22" s="23">
        <v>5</v>
      </c>
      <c r="K22" s="23">
        <v>36</v>
      </c>
      <c r="L22" s="24">
        <v>0.75</v>
      </c>
      <c r="M22" s="26">
        <f t="shared" si="0"/>
        <v>1.0277777777777777</v>
      </c>
      <c r="N22" s="28">
        <f t="shared" si="1"/>
        <v>3.4259259259259253E-2</v>
      </c>
      <c r="O22" s="30">
        <f t="shared" si="2"/>
        <v>2500</v>
      </c>
      <c r="P22" s="166">
        <f t="shared" si="4"/>
        <v>5</v>
      </c>
      <c r="Q22" s="168" t="s">
        <v>195</v>
      </c>
      <c r="R22" s="1" t="s">
        <v>221</v>
      </c>
      <c r="S22" s="1" t="s">
        <v>222</v>
      </c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9" t="s">
        <v>250</v>
      </c>
      <c r="C23" s="31" t="s">
        <v>203</v>
      </c>
      <c r="D23" s="31" t="str">
        <f>+C10</f>
        <v>3. Amasado G</v>
      </c>
      <c r="E23" s="32" t="s">
        <v>246</v>
      </c>
      <c r="F23" s="33" t="s">
        <v>247</v>
      </c>
      <c r="G23" s="14">
        <f>+'0. Capacidades x hora - turno'!E5</f>
        <v>6.0174233592409214</v>
      </c>
      <c r="H23" s="18">
        <v>1</v>
      </c>
      <c r="I23" s="34">
        <f t="shared" si="3"/>
        <v>6.0174233592409214</v>
      </c>
      <c r="J23" s="23">
        <v>8</v>
      </c>
      <c r="K23" s="23">
        <v>48</v>
      </c>
      <c r="L23" s="24">
        <v>0.3</v>
      </c>
      <c r="M23" s="35">
        <f t="shared" si="0"/>
        <v>0.6333333333333333</v>
      </c>
      <c r="N23" s="28">
        <f t="shared" si="1"/>
        <v>1.0555555555555556E-2</v>
      </c>
      <c r="O23" s="37">
        <f t="shared" si="2"/>
        <v>48.139386873927371</v>
      </c>
      <c r="P23" s="166">
        <f t="shared" si="4"/>
        <v>1</v>
      </c>
      <c r="Q23" s="1" t="s">
        <v>221</v>
      </c>
      <c r="R23" s="1" t="s">
        <v>221</v>
      </c>
      <c r="S23" s="1" t="s">
        <v>248</v>
      </c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9" t="s">
        <v>253</v>
      </c>
      <c r="C24" s="31" t="s">
        <v>212</v>
      </c>
      <c r="D24" s="31" t="s">
        <v>198</v>
      </c>
      <c r="E24" s="32" t="s">
        <v>246</v>
      </c>
      <c r="F24" s="106"/>
      <c r="G24" s="101">
        <f>+'0. Capacidades x hora - turno'!E7</f>
        <v>21.937118598448702</v>
      </c>
      <c r="H24" s="102">
        <v>1</v>
      </c>
      <c r="I24" s="34">
        <f t="shared" si="3"/>
        <v>21.937118598448702</v>
      </c>
      <c r="J24" s="103"/>
      <c r="K24" s="103"/>
      <c r="L24" s="104"/>
      <c r="M24" s="107"/>
      <c r="N24" s="105"/>
      <c r="O24" s="108"/>
      <c r="P24" s="166">
        <f t="shared" si="4"/>
        <v>1</v>
      </c>
      <c r="Q24" s="1" t="s">
        <v>221</v>
      </c>
      <c r="R24" s="1" t="s">
        <v>221</v>
      </c>
      <c r="S24" s="1" t="s">
        <v>248</v>
      </c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9" t="s">
        <v>254</v>
      </c>
      <c r="C25" s="31" t="s">
        <v>203</v>
      </c>
      <c r="D25" s="31" t="s">
        <v>251</v>
      </c>
      <c r="E25" s="32" t="s">
        <v>252</v>
      </c>
      <c r="F25" s="106"/>
      <c r="G25" s="101">
        <f>+'0. Capacidades x hora - turno'!G5</f>
        <v>6.0174233592409214</v>
      </c>
      <c r="H25" s="102">
        <v>1</v>
      </c>
      <c r="I25" s="34">
        <f t="shared" si="3"/>
        <v>6.0174233592409214</v>
      </c>
      <c r="J25" s="103"/>
      <c r="K25" s="103"/>
      <c r="L25" s="104"/>
      <c r="M25" s="107"/>
      <c r="N25" s="105"/>
      <c r="O25" s="108"/>
      <c r="P25" s="166">
        <f t="shared" si="4"/>
        <v>1</v>
      </c>
      <c r="Q25" s="1" t="s">
        <v>221</v>
      </c>
      <c r="R25" s="1" t="s">
        <v>221</v>
      </c>
      <c r="S25" s="1" t="s">
        <v>248</v>
      </c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9" t="s">
        <v>256</v>
      </c>
      <c r="C26" s="31" t="s">
        <v>212</v>
      </c>
      <c r="D26" s="31" t="s">
        <v>251</v>
      </c>
      <c r="E26" s="32" t="s">
        <v>252</v>
      </c>
      <c r="F26" s="106"/>
      <c r="G26" s="101">
        <f>+'0. Capacidades x hora - turno'!G7</f>
        <v>5.4842796496121755</v>
      </c>
      <c r="H26" s="102">
        <v>1</v>
      </c>
      <c r="I26" s="34">
        <f t="shared" si="3"/>
        <v>5.4842796496121755</v>
      </c>
      <c r="J26" s="103"/>
      <c r="K26" s="103"/>
      <c r="L26" s="104"/>
      <c r="M26" s="107"/>
      <c r="N26" s="105"/>
      <c r="O26" s="108"/>
      <c r="P26" s="166">
        <f t="shared" si="4"/>
        <v>1</v>
      </c>
      <c r="Q26" s="1" t="s">
        <v>221</v>
      </c>
      <c r="R26" s="1" t="s">
        <v>221</v>
      </c>
      <c r="S26" s="1" t="s">
        <v>248</v>
      </c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9" t="s">
        <v>260</v>
      </c>
      <c r="C27" s="31" t="s">
        <v>237</v>
      </c>
      <c r="D27" s="31" t="s">
        <v>251</v>
      </c>
      <c r="E27" s="32" t="s">
        <v>252</v>
      </c>
      <c r="F27" s="33" t="s">
        <v>255</v>
      </c>
      <c r="G27" s="14">
        <v>50</v>
      </c>
      <c r="H27" s="18">
        <f>+ROUNDUP(('0. Capacidades x hora - turno'!G5+'0. Capacidades x hora - turno'!G7+'0. Capacidades x hora - turno'!G26)/'3. Cuantificación Frecuencias'!G27,0)</f>
        <v>1</v>
      </c>
      <c r="I27" s="34">
        <f t="shared" si="3"/>
        <v>50</v>
      </c>
      <c r="J27" s="23">
        <v>10</v>
      </c>
      <c r="K27" s="23">
        <v>42</v>
      </c>
      <c r="L27" s="24">
        <v>0.4</v>
      </c>
      <c r="M27" s="35">
        <f t="shared" si="0"/>
        <v>0.87619047619047619</v>
      </c>
      <c r="N27" s="28">
        <f t="shared" si="1"/>
        <v>1.4603174603174602E-2</v>
      </c>
      <c r="O27" s="37">
        <f t="shared" si="2"/>
        <v>500</v>
      </c>
      <c r="P27" s="166">
        <f t="shared" si="4"/>
        <v>1</v>
      </c>
      <c r="Q27" s="1" t="s">
        <v>221</v>
      </c>
      <c r="R27" s="1" t="s">
        <v>221</v>
      </c>
      <c r="S27" s="1" t="s">
        <v>248</v>
      </c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9" t="s">
        <v>262</v>
      </c>
      <c r="C28" s="10" t="s">
        <v>224</v>
      </c>
      <c r="D28" s="10" t="s">
        <v>257</v>
      </c>
      <c r="E28" s="11" t="s">
        <v>258</v>
      </c>
      <c r="F28" s="13" t="s">
        <v>259</v>
      </c>
      <c r="G28" s="14"/>
      <c r="H28" s="18">
        <f>+ROUNDUP('0. Capacidades x hora - turno'!B21/'0. Capacidades x hora - turno'!P36,0)</f>
        <v>15</v>
      </c>
      <c r="I28" s="34">
        <f t="shared" si="3"/>
        <v>0</v>
      </c>
      <c r="J28" s="81"/>
      <c r="K28" s="81"/>
      <c r="L28" s="82"/>
      <c r="M28" s="83"/>
      <c r="N28" s="84"/>
      <c r="O28" s="85"/>
      <c r="P28" s="166">
        <f t="shared" si="4"/>
        <v>0</v>
      </c>
      <c r="Q28" s="1" t="s">
        <v>221</v>
      </c>
      <c r="R28" s="1" t="s">
        <v>194</v>
      </c>
      <c r="S28" s="1" t="s">
        <v>222</v>
      </c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9" t="s">
        <v>265</v>
      </c>
      <c r="C29" s="31" t="s">
        <v>198</v>
      </c>
      <c r="D29" s="31" t="s">
        <v>257</v>
      </c>
      <c r="E29" s="11" t="s">
        <v>261</v>
      </c>
      <c r="F29" s="13" t="s">
        <v>259</v>
      </c>
      <c r="G29" s="14"/>
      <c r="H29" s="18">
        <f>+ROUNDUP('0. Capacidades x hora - turno'!B4/'0. Capacidades x hora - turno'!U36,0)</f>
        <v>13</v>
      </c>
      <c r="I29" s="34">
        <f t="shared" si="3"/>
        <v>0</v>
      </c>
      <c r="J29" s="81"/>
      <c r="K29" s="81"/>
      <c r="L29" s="82"/>
      <c r="M29" s="83"/>
      <c r="N29" s="84"/>
      <c r="O29" s="85"/>
      <c r="P29" s="166">
        <f t="shared" si="4"/>
        <v>0</v>
      </c>
      <c r="Q29" s="1" t="s">
        <v>221</v>
      </c>
      <c r="R29" s="1" t="s">
        <v>194</v>
      </c>
      <c r="S29" s="1" t="s">
        <v>222</v>
      </c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9" t="s">
        <v>266</v>
      </c>
      <c r="C30" s="10" t="s">
        <v>212</v>
      </c>
      <c r="D30" s="10" t="s">
        <v>263</v>
      </c>
      <c r="E30" s="11" t="s">
        <v>264</v>
      </c>
      <c r="F30" s="13"/>
      <c r="G30" s="14"/>
      <c r="H30" s="18">
        <v>16</v>
      </c>
      <c r="I30" s="34">
        <f t="shared" si="3"/>
        <v>0</v>
      </c>
      <c r="J30" s="81"/>
      <c r="K30" s="81"/>
      <c r="L30" s="82"/>
      <c r="M30" s="83"/>
      <c r="N30" s="84"/>
      <c r="O30" s="85"/>
      <c r="P30" s="166">
        <f t="shared" si="4"/>
        <v>0</v>
      </c>
      <c r="Q30" s="1" t="s">
        <v>221</v>
      </c>
      <c r="R30" s="1" t="s">
        <v>194</v>
      </c>
      <c r="S30" s="1" t="s">
        <v>222</v>
      </c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9" t="s">
        <v>724</v>
      </c>
      <c r="C31" s="31" t="s">
        <v>215</v>
      </c>
      <c r="D31" s="31" t="s">
        <v>263</v>
      </c>
      <c r="E31" s="11" t="s">
        <v>264</v>
      </c>
      <c r="F31" s="33"/>
      <c r="G31" s="14"/>
      <c r="H31" s="18">
        <v>16</v>
      </c>
      <c r="I31" s="34">
        <f t="shared" si="3"/>
        <v>0</v>
      </c>
      <c r="J31" s="81"/>
      <c r="K31" s="81"/>
      <c r="L31" s="82"/>
      <c r="M31" s="83"/>
      <c r="N31" s="84"/>
      <c r="O31" s="85"/>
      <c r="P31" s="166">
        <f t="shared" si="4"/>
        <v>0</v>
      </c>
      <c r="Q31" s="1" t="s">
        <v>221</v>
      </c>
      <c r="R31" s="1" t="s">
        <v>194</v>
      </c>
      <c r="S31" s="1" t="s">
        <v>222</v>
      </c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9" t="s">
        <v>728</v>
      </c>
      <c r="C32" s="10" t="s">
        <v>237</v>
      </c>
      <c r="D32" s="10" t="s">
        <v>263</v>
      </c>
      <c r="E32" s="11" t="s">
        <v>264</v>
      </c>
      <c r="F32" s="13"/>
      <c r="G32" s="14"/>
      <c r="H32" s="18">
        <v>16</v>
      </c>
      <c r="I32" s="34">
        <f t="shared" si="3"/>
        <v>0</v>
      </c>
      <c r="J32" s="81"/>
      <c r="K32" s="81"/>
      <c r="L32" s="82"/>
      <c r="M32" s="83"/>
      <c r="N32" s="84"/>
      <c r="O32" s="85"/>
      <c r="P32" s="166">
        <f t="shared" si="4"/>
        <v>0</v>
      </c>
      <c r="Q32" s="1" t="s">
        <v>221</v>
      </c>
      <c r="R32" s="1" t="s">
        <v>194</v>
      </c>
      <c r="S32" s="1" t="s">
        <v>222</v>
      </c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50" t="s">
        <v>267</v>
      </c>
      <c r="C33" s="41"/>
      <c r="D33" s="41"/>
      <c r="E33" s="41"/>
      <c r="F33" s="41"/>
      <c r="G33" s="41"/>
      <c r="H33" s="51">
        <f>+SUM(H7:H32)</f>
        <v>161</v>
      </c>
      <c r="I33" s="51">
        <f>+SUM(I7:I32)</f>
        <v>7707.8562099564724</v>
      </c>
      <c r="J33" s="41"/>
      <c r="K33" s="41"/>
      <c r="L33" s="41"/>
      <c r="M33" s="41"/>
      <c r="N33" s="52" t="e">
        <f>SUM(N7:N27)</f>
        <v>#VALUE!</v>
      </c>
      <c r="O33" s="51" t="e">
        <f>SUM(O7:O27)</f>
        <v>#VALUE!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8" t="s">
        <v>268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0" t="s">
        <v>269</v>
      </c>
      <c r="C37" s="28" t="e">
        <f>N33</f>
        <v>#VALUE!</v>
      </c>
      <c r="D37" s="20" t="s">
        <v>270</v>
      </c>
      <c r="E37" s="235" t="s">
        <v>271</v>
      </c>
      <c r="F37" s="229"/>
      <c r="G37" s="229"/>
      <c r="H37" s="229"/>
      <c r="I37" s="229"/>
      <c r="J37" s="2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0" t="s">
        <v>272</v>
      </c>
      <c r="C38" s="28" t="e">
        <f>C37/8</f>
        <v>#VALUE!</v>
      </c>
      <c r="D38" s="20" t="s">
        <v>273</v>
      </c>
      <c r="E38" s="235" t="s">
        <v>274</v>
      </c>
      <c r="F38" s="229"/>
      <c r="G38" s="229"/>
      <c r="H38" s="229"/>
      <c r="I38" s="229"/>
      <c r="J38" s="2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0" t="s">
        <v>275</v>
      </c>
      <c r="C39" s="18" t="e">
        <f>O33</f>
        <v>#VALUE!</v>
      </c>
      <c r="D39" s="20" t="s">
        <v>276</v>
      </c>
      <c r="E39" s="235" t="s">
        <v>277</v>
      </c>
      <c r="F39" s="229"/>
      <c r="G39" s="229"/>
      <c r="H39" s="229"/>
      <c r="I39" s="229"/>
      <c r="J39" s="2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3">
    <mergeCell ref="E37:J37"/>
    <mergeCell ref="E38:J38"/>
    <mergeCell ref="E39:J39"/>
  </mergeCells>
  <phoneticPr fontId="5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topLeftCell="A10" workbookViewId="0">
      <selection activeCell="D27" sqref="D27"/>
    </sheetView>
  </sheetViews>
  <sheetFormatPr baseColWidth="10" defaultColWidth="14.42578125" defaultRowHeight="15" x14ac:dyDescent="0.25"/>
  <cols>
    <col min="1" max="1" width="10" customWidth="1"/>
    <col min="2" max="2" width="45" customWidth="1"/>
    <col min="3" max="3" width="30.7109375" customWidth="1"/>
    <col min="4" max="4" width="27" customWidth="1"/>
    <col min="5" max="5" width="45" customWidth="1"/>
    <col min="6" max="26" width="8.7109375" customWidth="1"/>
  </cols>
  <sheetData>
    <row r="1" spans="1:26" ht="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x14ac:dyDescent="0.4">
      <c r="A2" s="1"/>
      <c r="B2" s="2" t="s">
        <v>278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3" t="s">
        <v>279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x14ac:dyDescent="0.35">
      <c r="A4" s="1"/>
      <c r="B4" s="4" t="s">
        <v>35</v>
      </c>
      <c r="C4" s="5" t="s">
        <v>36</v>
      </c>
      <c r="D4" s="1"/>
      <c r="E4" s="6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35">
      <c r="A6" s="1"/>
      <c r="B6" s="7" t="s">
        <v>280</v>
      </c>
      <c r="C6" s="7" t="s">
        <v>281</v>
      </c>
      <c r="D6" s="7" t="s">
        <v>129</v>
      </c>
      <c r="E6" s="7" t="s">
        <v>282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1"/>
      <c r="B7" s="11" t="s">
        <v>283</v>
      </c>
      <c r="C7" s="17">
        <f>'2. PCP - Programa &amp; Lotes'!C35*15</f>
        <v>30</v>
      </c>
      <c r="D7" s="20" t="s">
        <v>284</v>
      </c>
      <c r="E7" s="11" t="s">
        <v>285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x14ac:dyDescent="0.35">
      <c r="A8" s="1"/>
      <c r="B8" s="11" t="s">
        <v>286</v>
      </c>
      <c r="C8" s="17">
        <f>'2. PCP - Programa &amp; Lotes'!D35*15</f>
        <v>30</v>
      </c>
      <c r="D8" s="20" t="s">
        <v>284</v>
      </c>
      <c r="E8" s="11" t="s">
        <v>287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35">
      <c r="A9" s="1"/>
      <c r="B9" s="11" t="s">
        <v>288</v>
      </c>
      <c r="C9" s="17">
        <f>C7+C8</f>
        <v>60</v>
      </c>
      <c r="D9" s="20" t="s">
        <v>284</v>
      </c>
      <c r="E9" s="11" t="s">
        <v>289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35">
      <c r="A10" s="1"/>
      <c r="B10" s="11" t="s">
        <v>290</v>
      </c>
      <c r="C10" s="25">
        <v>10</v>
      </c>
      <c r="D10" s="20" t="s">
        <v>291</v>
      </c>
      <c r="E10" s="11" t="s">
        <v>292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35">
      <c r="A11" s="1"/>
      <c r="B11" s="10" t="s">
        <v>293</v>
      </c>
      <c r="C11" s="27">
        <f>C9*(C10/5)</f>
        <v>120</v>
      </c>
      <c r="D11" s="20" t="s">
        <v>294</v>
      </c>
      <c r="E11" s="11" t="s">
        <v>295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x14ac:dyDescent="0.35">
      <c r="A12" s="1"/>
      <c r="B12" s="11" t="s">
        <v>296</v>
      </c>
      <c r="C12" s="29" t="s">
        <v>297</v>
      </c>
      <c r="D12" s="20" t="s">
        <v>9</v>
      </c>
      <c r="E12" s="11" t="s">
        <v>298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35">
      <c r="A13" s="1"/>
      <c r="B13" s="11" t="s">
        <v>299</v>
      </c>
      <c r="C13" s="29" t="s">
        <v>300</v>
      </c>
      <c r="D13" s="20" t="s">
        <v>9</v>
      </c>
      <c r="E13" s="11" t="s">
        <v>301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35">
      <c r="A14" s="1"/>
      <c r="B14" s="11" t="s">
        <v>302</v>
      </c>
      <c r="C14" s="25">
        <v>3</v>
      </c>
      <c r="D14" s="20" t="s">
        <v>303</v>
      </c>
      <c r="E14" s="11" t="s">
        <v>304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11" t="s">
        <v>305</v>
      </c>
      <c r="C15" s="27">
        <f>ROUNDUP(C11/(C14*2), 0)</f>
        <v>20</v>
      </c>
      <c r="D15" s="20" t="s">
        <v>306</v>
      </c>
      <c r="E15" s="11" t="s">
        <v>307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35">
      <c r="A16" s="1"/>
      <c r="B16" s="11" t="s">
        <v>308</v>
      </c>
      <c r="C16" s="17">
        <f>C15*2.7*1.1</f>
        <v>59.400000000000006</v>
      </c>
      <c r="D16" s="20" t="s">
        <v>309</v>
      </c>
      <c r="E16" s="11" t="s">
        <v>310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35">
      <c r="A17" s="1"/>
      <c r="B17" s="11" t="s">
        <v>311</v>
      </c>
      <c r="C17" s="25">
        <v>3</v>
      </c>
      <c r="D17" s="20" t="s">
        <v>312</v>
      </c>
      <c r="E17" s="11" t="s">
        <v>313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35">
      <c r="A18" s="1"/>
      <c r="B18" s="11" t="s">
        <v>314</v>
      </c>
      <c r="C18" s="25">
        <v>95</v>
      </c>
      <c r="D18" s="20" t="s">
        <v>309</v>
      </c>
      <c r="E18" s="11" t="s">
        <v>315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35">
      <c r="A19" s="1"/>
      <c r="B19" s="11" t="s">
        <v>316</v>
      </c>
      <c r="C19" s="25">
        <v>25</v>
      </c>
      <c r="D19" s="20" t="s">
        <v>309</v>
      </c>
      <c r="E19" s="11" t="s">
        <v>317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35">
      <c r="A20" s="1"/>
      <c r="B20" s="36" t="s">
        <v>318</v>
      </c>
      <c r="C20" s="38">
        <f>C16+C18+C19</f>
        <v>179.4</v>
      </c>
      <c r="D20" s="6" t="s">
        <v>309</v>
      </c>
      <c r="E20" s="36" t="s">
        <v>319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39" t="s">
        <v>280</v>
      </c>
      <c r="C22" s="39" t="s">
        <v>281</v>
      </c>
      <c r="D22" s="39" t="s">
        <v>129</v>
      </c>
      <c r="E22" s="39" t="s">
        <v>282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1" t="s">
        <v>320</v>
      </c>
      <c r="C23" s="17">
        <f>'2. PCP - Programa &amp; Lotes'!C28*15</f>
        <v>8224.6158305957633</v>
      </c>
      <c r="D23" s="20" t="s">
        <v>321</v>
      </c>
      <c r="E23" s="11" t="s">
        <v>322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1" t="s">
        <v>323</v>
      </c>
      <c r="C24" s="17">
        <f>'2. PCP - Programa &amp; Lotes'!D28*15</f>
        <v>8272.3836442531974</v>
      </c>
      <c r="D24" s="20" t="s">
        <v>321</v>
      </c>
      <c r="E24" s="11" t="s">
        <v>324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1" t="s">
        <v>325</v>
      </c>
      <c r="C25" s="17">
        <f>C23+C24</f>
        <v>16496.999474848963</v>
      </c>
      <c r="D25" s="20" t="s">
        <v>321</v>
      </c>
      <c r="E25" s="11" t="s">
        <v>326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1" t="s">
        <v>327</v>
      </c>
      <c r="C26" s="25">
        <v>15</v>
      </c>
      <c r="D26" s="20" t="s">
        <v>291</v>
      </c>
      <c r="E26" s="11" t="s">
        <v>328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0" t="s">
        <v>329</v>
      </c>
      <c r="C27" s="27">
        <f>ROUNDUP((C25*(C26/5))/1000, 0)</f>
        <v>50</v>
      </c>
      <c r="D27" s="20" t="s">
        <v>294</v>
      </c>
      <c r="E27" s="11" t="s">
        <v>330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1" t="s">
        <v>331</v>
      </c>
      <c r="C28" s="25">
        <v>12</v>
      </c>
      <c r="D28" s="20" t="s">
        <v>309</v>
      </c>
      <c r="E28" s="11" t="s">
        <v>332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1" t="s">
        <v>333</v>
      </c>
      <c r="C29" s="17">
        <f>ROUNDUP(C27/6, 0)*2.7*1.1</f>
        <v>26.730000000000004</v>
      </c>
      <c r="D29" s="20" t="s">
        <v>309</v>
      </c>
      <c r="E29" s="11" t="s">
        <v>334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1" t="s">
        <v>335</v>
      </c>
      <c r="C30" s="25">
        <v>45</v>
      </c>
      <c r="D30" s="20" t="s">
        <v>309</v>
      </c>
      <c r="E30" s="11" t="s">
        <v>336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1" t="s">
        <v>337</v>
      </c>
      <c r="C31" s="25">
        <v>15</v>
      </c>
      <c r="D31" s="20" t="s">
        <v>309</v>
      </c>
      <c r="E31" s="11" t="s">
        <v>338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36" t="s">
        <v>339</v>
      </c>
      <c r="C32" s="38">
        <f>C28+C29+C30+C31</f>
        <v>98.73</v>
      </c>
      <c r="D32" s="6" t="s">
        <v>309</v>
      </c>
      <c r="E32" s="36" t="s">
        <v>319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7" t="s">
        <v>340</v>
      </c>
      <c r="C35" s="7" t="s">
        <v>341</v>
      </c>
      <c r="D35" s="7" t="s">
        <v>342</v>
      </c>
      <c r="E35" s="7" t="s">
        <v>343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0" t="s">
        <v>344</v>
      </c>
      <c r="C36" s="15" t="s">
        <v>345</v>
      </c>
      <c r="D36" s="14">
        <v>18</v>
      </c>
      <c r="E36" s="13" t="s">
        <v>346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0" t="s">
        <v>347</v>
      </c>
      <c r="C37" s="15" t="s">
        <v>348</v>
      </c>
      <c r="D37" s="14">
        <v>8.5</v>
      </c>
      <c r="E37" s="13" t="s">
        <v>349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0" t="s">
        <v>350</v>
      </c>
      <c r="C38" s="15" t="s">
        <v>351</v>
      </c>
      <c r="D38" s="14">
        <v>6</v>
      </c>
      <c r="E38" s="13" t="s">
        <v>352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0" t="s">
        <v>353</v>
      </c>
      <c r="C39" s="15" t="s">
        <v>354</v>
      </c>
      <c r="D39" s="14">
        <v>4.5</v>
      </c>
      <c r="E39" s="13" t="s">
        <v>355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0" t="s">
        <v>356</v>
      </c>
      <c r="C40" s="15" t="s">
        <v>357</v>
      </c>
      <c r="D40" s="14">
        <v>6</v>
      </c>
      <c r="E40" s="13" t="s">
        <v>358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69"/>
  <sheetViews>
    <sheetView showGridLines="0" workbookViewId="0"/>
  </sheetViews>
  <sheetFormatPr baseColWidth="10" defaultColWidth="14.42578125" defaultRowHeight="15" x14ac:dyDescent="0.25"/>
  <cols>
    <col min="1" max="1" width="8.7109375" customWidth="1"/>
    <col min="2" max="2" width="27" customWidth="1"/>
    <col min="3" max="21" width="11.42578125" customWidth="1"/>
    <col min="22" max="22" width="13.42578125" customWidth="1"/>
    <col min="23" max="26" width="8.7109375" customWidth="1"/>
  </cols>
  <sheetData>
    <row r="1" spans="1:26" ht="9" customHeight="1" x14ac:dyDescent="0.35">
      <c r="A1" s="1"/>
      <c r="W1" s="1"/>
      <c r="X1" s="1"/>
      <c r="Y1" s="1"/>
      <c r="Z1" s="1"/>
    </row>
    <row r="2" spans="1:26" ht="21" x14ac:dyDescent="0.35">
      <c r="A2" s="1"/>
      <c r="B2" s="111" t="s">
        <v>359</v>
      </c>
      <c r="W2" s="1"/>
      <c r="X2" s="1"/>
      <c r="Y2" s="1"/>
      <c r="Z2" s="1"/>
    </row>
    <row r="3" spans="1:26" ht="18" x14ac:dyDescent="0.35">
      <c r="A3" s="1"/>
      <c r="B3" s="112" t="s">
        <v>360</v>
      </c>
      <c r="W3" s="1"/>
      <c r="X3" s="1"/>
      <c r="Y3" s="1"/>
      <c r="Z3" s="1"/>
    </row>
    <row r="4" spans="1:26" ht="42" customHeight="1" x14ac:dyDescent="0.35">
      <c r="A4" s="1"/>
      <c r="B4" s="113" t="s">
        <v>35</v>
      </c>
      <c r="C4" s="114" t="s">
        <v>361</v>
      </c>
      <c r="E4" s="115" t="s">
        <v>362</v>
      </c>
      <c r="W4" s="1"/>
      <c r="X4" s="1"/>
      <c r="Y4" s="1"/>
      <c r="Z4" s="1"/>
    </row>
    <row r="5" spans="1:26" ht="18" x14ac:dyDescent="0.35">
      <c r="A5" s="1"/>
      <c r="W5" s="1"/>
      <c r="X5" s="1"/>
      <c r="Y5" s="1"/>
      <c r="Z5" s="1"/>
    </row>
    <row r="6" spans="1:26" ht="36" customHeight="1" x14ac:dyDescent="0.35">
      <c r="A6" s="1"/>
      <c r="B6" s="116" t="s">
        <v>363</v>
      </c>
      <c r="C6" s="117" t="s">
        <v>364</v>
      </c>
      <c r="D6" s="117" t="s">
        <v>365</v>
      </c>
      <c r="E6" s="117" t="s">
        <v>198</v>
      </c>
      <c r="F6" s="117" t="s">
        <v>203</v>
      </c>
      <c r="G6" s="117" t="s">
        <v>207</v>
      </c>
      <c r="H6" s="117" t="s">
        <v>366</v>
      </c>
      <c r="I6" s="117" t="s">
        <v>367</v>
      </c>
      <c r="J6" s="117" t="s">
        <v>368</v>
      </c>
      <c r="K6" s="117" t="s">
        <v>369</v>
      </c>
      <c r="L6" s="117" t="s">
        <v>370</v>
      </c>
      <c r="M6" s="117" t="s">
        <v>371</v>
      </c>
      <c r="N6" s="117" t="s">
        <v>372</v>
      </c>
      <c r="O6" s="117" t="s">
        <v>373</v>
      </c>
      <c r="P6" s="117" t="s">
        <v>374</v>
      </c>
      <c r="Q6" s="117" t="s">
        <v>375</v>
      </c>
      <c r="R6" s="117" t="s">
        <v>376</v>
      </c>
      <c r="S6" s="117" t="s">
        <v>377</v>
      </c>
      <c r="T6" s="117" t="s">
        <v>378</v>
      </c>
      <c r="U6" s="117" t="s">
        <v>379</v>
      </c>
      <c r="V6" s="118" t="s">
        <v>380</v>
      </c>
      <c r="W6" s="1"/>
      <c r="X6" s="1"/>
      <c r="Y6" s="1"/>
      <c r="Z6" s="1"/>
    </row>
    <row r="7" spans="1:26" ht="21" customHeight="1" x14ac:dyDescent="0.35">
      <c r="A7" s="1"/>
      <c r="B7" s="119" t="s">
        <v>190</v>
      </c>
      <c r="C7" s="122" t="s">
        <v>9</v>
      </c>
      <c r="D7" s="123">
        <f>'3. Cuantificación Frecuencias'!H7</f>
        <v>4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24">
        <f t="shared" ref="V7:V25" si="0">SUM(C7:U7)</f>
        <v>4</v>
      </c>
      <c r="W7" s="1"/>
      <c r="X7" s="1"/>
      <c r="Y7" s="1"/>
      <c r="Z7" s="1"/>
    </row>
    <row r="8" spans="1:26" ht="21" customHeight="1" x14ac:dyDescent="0.35">
      <c r="A8" s="1"/>
      <c r="B8" s="120" t="s">
        <v>191</v>
      </c>
      <c r="C8" s="110"/>
      <c r="D8" s="122" t="s">
        <v>9</v>
      </c>
      <c r="E8" s="123">
        <f>'3. Cuantificación Frecuencias'!H9</f>
        <v>4</v>
      </c>
      <c r="F8" s="110"/>
      <c r="G8" s="110"/>
      <c r="H8" s="110"/>
      <c r="I8" s="110"/>
      <c r="J8" s="123">
        <f>'3. Cuantificación Frecuencias'!H15</f>
        <v>4</v>
      </c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25">
        <f t="shared" si="0"/>
        <v>8</v>
      </c>
      <c r="W8" s="1"/>
      <c r="X8" s="1"/>
      <c r="Y8" s="1"/>
      <c r="Z8" s="1"/>
    </row>
    <row r="9" spans="1:26" ht="21" customHeight="1" x14ac:dyDescent="0.35">
      <c r="A9" s="1"/>
      <c r="B9" s="120" t="s">
        <v>198</v>
      </c>
      <c r="C9" s="110"/>
      <c r="D9" s="110"/>
      <c r="E9" s="122" t="s">
        <v>9</v>
      </c>
      <c r="F9" s="123">
        <f>'3. Cuantificación Frecuencias'!H10</f>
        <v>6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26">
        <f>'3. Cuantificación Frecuencias'!H29</f>
        <v>13</v>
      </c>
      <c r="U9" s="110"/>
      <c r="V9" s="125">
        <f t="shared" si="0"/>
        <v>19</v>
      </c>
      <c r="W9" s="1"/>
      <c r="X9" s="1"/>
      <c r="Y9" s="1"/>
      <c r="Z9" s="1"/>
    </row>
    <row r="10" spans="1:26" ht="21" customHeight="1" x14ac:dyDescent="0.35">
      <c r="A10" s="1"/>
      <c r="B10" s="120" t="s">
        <v>203</v>
      </c>
      <c r="C10" s="110"/>
      <c r="D10" s="110"/>
      <c r="E10" s="110"/>
      <c r="F10" s="122" t="s">
        <v>9</v>
      </c>
      <c r="G10" s="127" t="str">
        <f>'3. Cuantificación Frecuencias'!H11</f>
        <v>N/A</v>
      </c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25">
        <f t="shared" si="0"/>
        <v>0</v>
      </c>
      <c r="W10" s="1"/>
      <c r="X10" s="1"/>
      <c r="Y10" s="1"/>
      <c r="Z10" s="1"/>
    </row>
    <row r="11" spans="1:26" ht="21" customHeight="1" x14ac:dyDescent="0.35">
      <c r="A11" s="1"/>
      <c r="B11" s="120" t="s">
        <v>207</v>
      </c>
      <c r="C11" s="110"/>
      <c r="D11" s="110"/>
      <c r="E11" s="110"/>
      <c r="F11" s="110"/>
      <c r="G11" s="122" t="s">
        <v>9</v>
      </c>
      <c r="H11" s="127" t="str">
        <f>'3. Cuantificación Frecuencias'!H12</f>
        <v>N/A</v>
      </c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25">
        <f t="shared" si="0"/>
        <v>0</v>
      </c>
      <c r="W11" s="1"/>
      <c r="X11" s="1"/>
      <c r="Y11" s="1"/>
      <c r="Z11" s="1"/>
    </row>
    <row r="12" spans="1:26" ht="21" customHeight="1" x14ac:dyDescent="0.35">
      <c r="A12" s="1"/>
      <c r="B12" s="120" t="s">
        <v>212</v>
      </c>
      <c r="C12" s="110"/>
      <c r="D12" s="110"/>
      <c r="E12" s="110"/>
      <c r="F12" s="110"/>
      <c r="G12" s="110"/>
      <c r="H12" s="122" t="s">
        <v>9</v>
      </c>
      <c r="I12" s="127" t="str">
        <f>'3. Cuantificación Frecuencias'!H13</f>
        <v>N/A</v>
      </c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26">
        <f>'3. Cuantificación Frecuencias'!H30</f>
        <v>16</v>
      </c>
      <c r="V12" s="125">
        <f t="shared" si="0"/>
        <v>16</v>
      </c>
      <c r="W12" s="1"/>
      <c r="X12" s="1"/>
      <c r="Y12" s="1"/>
      <c r="Z12" s="1"/>
    </row>
    <row r="13" spans="1:26" ht="21" customHeight="1" x14ac:dyDescent="0.35">
      <c r="A13" s="1"/>
      <c r="B13" s="120" t="s">
        <v>215</v>
      </c>
      <c r="C13" s="110"/>
      <c r="D13" s="110"/>
      <c r="E13" s="110"/>
      <c r="F13" s="110"/>
      <c r="G13" s="110"/>
      <c r="H13" s="110"/>
      <c r="I13" s="122" t="s">
        <v>9</v>
      </c>
      <c r="J13" s="110"/>
      <c r="K13" s="110"/>
      <c r="L13" s="110"/>
      <c r="M13" s="110"/>
      <c r="N13" s="110"/>
      <c r="O13" s="110"/>
      <c r="P13" s="123">
        <f>'3. Cuantificación Frecuencias'!H14</f>
        <v>2</v>
      </c>
      <c r="Q13" s="110"/>
      <c r="R13" s="110"/>
      <c r="S13" s="110"/>
      <c r="T13" s="110"/>
      <c r="U13" s="126">
        <f>'3. Cuantificación Frecuencias'!H31</f>
        <v>16</v>
      </c>
      <c r="V13" s="125">
        <f t="shared" si="0"/>
        <v>18</v>
      </c>
      <c r="W13" s="1"/>
      <c r="X13" s="1"/>
      <c r="Y13" s="1"/>
      <c r="Z13" s="1"/>
    </row>
    <row r="14" spans="1:26" ht="21" customHeight="1" x14ac:dyDescent="0.35">
      <c r="A14" s="1"/>
      <c r="B14" s="120" t="s">
        <v>368</v>
      </c>
      <c r="C14" s="110"/>
      <c r="D14" s="110"/>
      <c r="E14" s="110"/>
      <c r="F14" s="110"/>
      <c r="G14" s="110"/>
      <c r="H14" s="110"/>
      <c r="I14" s="110"/>
      <c r="J14" s="122" t="s">
        <v>9</v>
      </c>
      <c r="K14" s="123">
        <f>'3. Cuantificación Frecuencias'!H16</f>
        <v>6</v>
      </c>
      <c r="L14" s="110"/>
      <c r="M14" s="110"/>
      <c r="N14" s="110"/>
      <c r="O14" s="110"/>
      <c r="P14" s="110"/>
      <c r="Q14" s="110"/>
      <c r="R14" s="110"/>
      <c r="S14" s="110"/>
      <c r="T14" s="126">
        <f>'3. Cuantificación Frecuencias'!H28</f>
        <v>15</v>
      </c>
      <c r="U14" s="110"/>
      <c r="V14" s="125">
        <f t="shared" si="0"/>
        <v>21</v>
      </c>
      <c r="W14" s="1"/>
      <c r="X14" s="1"/>
      <c r="Y14" s="1"/>
      <c r="Z14" s="1"/>
    </row>
    <row r="15" spans="1:26" ht="21" customHeight="1" x14ac:dyDescent="0.35">
      <c r="A15" s="1"/>
      <c r="B15" s="120" t="s">
        <v>369</v>
      </c>
      <c r="C15" s="110"/>
      <c r="D15" s="110"/>
      <c r="E15" s="110"/>
      <c r="F15" s="110"/>
      <c r="G15" s="110"/>
      <c r="H15" s="110"/>
      <c r="I15" s="110"/>
      <c r="J15" s="110"/>
      <c r="K15" s="122" t="s">
        <v>9</v>
      </c>
      <c r="L15" s="123">
        <f>'3. Cuantificación Frecuencias'!H17</f>
        <v>6</v>
      </c>
      <c r="M15" s="110"/>
      <c r="N15" s="110"/>
      <c r="O15" s="110"/>
      <c r="P15" s="110"/>
      <c r="Q15" s="110"/>
      <c r="R15" s="110"/>
      <c r="S15" s="110"/>
      <c r="T15" s="110"/>
      <c r="U15" s="110"/>
      <c r="V15" s="125">
        <f t="shared" si="0"/>
        <v>6</v>
      </c>
      <c r="W15" s="1"/>
      <c r="X15" s="1"/>
      <c r="Y15" s="1"/>
      <c r="Z15" s="1"/>
    </row>
    <row r="16" spans="1:26" ht="21" customHeight="1" x14ac:dyDescent="0.35">
      <c r="A16" s="1"/>
      <c r="B16" s="120" t="s">
        <v>370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22" t="s">
        <v>9</v>
      </c>
      <c r="M16" s="123">
        <f>'3. Cuantificación Frecuencias'!H19</f>
        <v>6</v>
      </c>
      <c r="N16" s="110"/>
      <c r="O16" s="110"/>
      <c r="P16" s="110"/>
      <c r="Q16" s="110"/>
      <c r="R16" s="110"/>
      <c r="S16" s="110"/>
      <c r="T16" s="110"/>
      <c r="U16" s="110"/>
      <c r="V16" s="125">
        <f t="shared" si="0"/>
        <v>6</v>
      </c>
      <c r="W16" s="1"/>
      <c r="X16" s="1"/>
      <c r="Y16" s="1"/>
      <c r="Z16" s="1"/>
    </row>
    <row r="17" spans="1:26" ht="21" customHeight="1" x14ac:dyDescent="0.35">
      <c r="A17" s="1"/>
      <c r="B17" s="120" t="s">
        <v>371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22" t="s">
        <v>9</v>
      </c>
      <c r="N17" s="123">
        <f>'3. Cuantificación Frecuencias'!H20</f>
        <v>14</v>
      </c>
      <c r="O17" s="110"/>
      <c r="P17" s="110"/>
      <c r="Q17" s="110"/>
      <c r="R17" s="110"/>
      <c r="S17" s="110"/>
      <c r="T17" s="110"/>
      <c r="U17" s="110"/>
      <c r="V17" s="125">
        <f t="shared" si="0"/>
        <v>14</v>
      </c>
      <c r="W17" s="1"/>
      <c r="X17" s="1"/>
      <c r="Y17" s="1"/>
      <c r="Z17" s="1"/>
    </row>
    <row r="18" spans="1:26" ht="21" customHeight="1" x14ac:dyDescent="0.35">
      <c r="A18" s="1"/>
      <c r="B18" s="120" t="s">
        <v>372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22" t="s">
        <v>9</v>
      </c>
      <c r="O18" s="123">
        <f>'3. Cuantificación Frecuencias'!H21</f>
        <v>14</v>
      </c>
      <c r="P18" s="110"/>
      <c r="Q18" s="110"/>
      <c r="R18" s="110"/>
      <c r="S18" s="110"/>
      <c r="T18" s="110"/>
      <c r="U18" s="126">
        <f>'3. Cuantificación Frecuencias'!H32</f>
        <v>16</v>
      </c>
      <c r="V18" s="125">
        <f t="shared" si="0"/>
        <v>30</v>
      </c>
      <c r="W18" s="1"/>
      <c r="X18" s="1"/>
      <c r="Y18" s="1"/>
      <c r="Z18" s="1"/>
    </row>
    <row r="19" spans="1:26" ht="21" customHeight="1" x14ac:dyDescent="0.35">
      <c r="A19" s="1"/>
      <c r="B19" s="120" t="s">
        <v>381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22" t="s">
        <v>9</v>
      </c>
      <c r="P19" s="123">
        <f>'3. Cuantificación Frecuencias'!H22</f>
        <v>2</v>
      </c>
      <c r="Q19" s="110"/>
      <c r="R19" s="110"/>
      <c r="S19" s="110"/>
      <c r="T19" s="110"/>
      <c r="U19" s="110"/>
      <c r="V19" s="125">
        <f t="shared" si="0"/>
        <v>2</v>
      </c>
      <c r="W19" s="1"/>
      <c r="X19" s="1"/>
      <c r="Y19" s="1"/>
      <c r="Z19" s="1"/>
    </row>
    <row r="20" spans="1:26" ht="21" customHeight="1" x14ac:dyDescent="0.35">
      <c r="A20" s="1"/>
      <c r="B20" s="120" t="s">
        <v>382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22" t="s">
        <v>9</v>
      </c>
      <c r="Q20" s="110"/>
      <c r="R20" s="110"/>
      <c r="S20" s="110"/>
      <c r="T20" s="110"/>
      <c r="U20" s="110"/>
      <c r="V20" s="125">
        <f t="shared" si="0"/>
        <v>0</v>
      </c>
      <c r="W20" s="1"/>
      <c r="X20" s="1"/>
      <c r="Y20" s="1"/>
      <c r="Z20" s="1"/>
    </row>
    <row r="21" spans="1:26" ht="21" customHeight="1" x14ac:dyDescent="0.35">
      <c r="A21" s="1"/>
      <c r="B21" s="120" t="s">
        <v>383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22" t="s">
        <v>9</v>
      </c>
      <c r="R21" s="110"/>
      <c r="S21" s="110"/>
      <c r="T21" s="110"/>
      <c r="U21" s="110"/>
      <c r="V21" s="125">
        <f t="shared" si="0"/>
        <v>0</v>
      </c>
      <c r="W21" s="1"/>
      <c r="X21" s="1"/>
      <c r="Y21" s="1"/>
      <c r="Z21" s="1"/>
    </row>
    <row r="22" spans="1:26" ht="21" customHeight="1" x14ac:dyDescent="0.35">
      <c r="A22" s="1"/>
      <c r="B22" s="120" t="s">
        <v>384</v>
      </c>
      <c r="C22" s="110"/>
      <c r="D22" s="110"/>
      <c r="E22" s="123">
        <f>'3. Cuantificación Frecuencias'!H23</f>
        <v>1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22" t="s">
        <v>9</v>
      </c>
      <c r="S22" s="110"/>
      <c r="T22" s="110"/>
      <c r="U22" s="110"/>
      <c r="V22" s="125">
        <f t="shared" si="0"/>
        <v>1</v>
      </c>
      <c r="W22" s="1"/>
      <c r="X22" s="1"/>
      <c r="Y22" s="1"/>
      <c r="Z22" s="1"/>
    </row>
    <row r="23" spans="1:26" ht="21" customHeight="1" x14ac:dyDescent="0.35">
      <c r="A23" s="1"/>
      <c r="B23" s="120" t="s">
        <v>385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23">
        <f>'3. Cuantificación Frecuencias'!H27</f>
        <v>1</v>
      </c>
      <c r="R23" s="110"/>
      <c r="S23" s="128" t="s">
        <v>9</v>
      </c>
      <c r="T23" s="110"/>
      <c r="U23" s="110"/>
      <c r="V23" s="125">
        <f t="shared" si="0"/>
        <v>1</v>
      </c>
      <c r="W23" s="1"/>
      <c r="X23" s="1"/>
      <c r="Y23" s="1"/>
      <c r="Z23" s="1"/>
    </row>
    <row r="24" spans="1:26" ht="21" customHeight="1" x14ac:dyDescent="0.35">
      <c r="A24" s="1"/>
      <c r="B24" s="120" t="s">
        <v>378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29" t="s">
        <v>9</v>
      </c>
      <c r="U24" s="110"/>
      <c r="V24" s="125">
        <f t="shared" si="0"/>
        <v>0</v>
      </c>
      <c r="W24" s="1"/>
      <c r="X24" s="1"/>
      <c r="Y24" s="1"/>
      <c r="Z24" s="1"/>
    </row>
    <row r="25" spans="1:26" ht="21" customHeight="1" x14ac:dyDescent="0.35">
      <c r="A25" s="1"/>
      <c r="B25" s="120" t="s">
        <v>379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29" t="s">
        <v>9</v>
      </c>
      <c r="V25" s="125">
        <f t="shared" si="0"/>
        <v>0</v>
      </c>
      <c r="W25" s="1"/>
      <c r="X25" s="1"/>
      <c r="Y25" s="1"/>
      <c r="Z25" s="1"/>
    </row>
    <row r="26" spans="1:26" ht="15.75" customHeight="1" x14ac:dyDescent="0.35">
      <c r="A26" s="1"/>
      <c r="B26" s="121" t="s">
        <v>386</v>
      </c>
      <c r="C26" s="130">
        <f t="shared" ref="C26:V26" si="1">SUM(C7:C25)</f>
        <v>0</v>
      </c>
      <c r="D26" s="130">
        <f t="shared" si="1"/>
        <v>4</v>
      </c>
      <c r="E26" s="130">
        <f t="shared" si="1"/>
        <v>5</v>
      </c>
      <c r="F26" s="130">
        <f t="shared" si="1"/>
        <v>6</v>
      </c>
      <c r="G26" s="130">
        <f t="shared" si="1"/>
        <v>0</v>
      </c>
      <c r="H26" s="130">
        <f t="shared" si="1"/>
        <v>0</v>
      </c>
      <c r="I26" s="130">
        <f t="shared" si="1"/>
        <v>0</v>
      </c>
      <c r="J26" s="130">
        <f t="shared" si="1"/>
        <v>4</v>
      </c>
      <c r="K26" s="130">
        <f t="shared" si="1"/>
        <v>6</v>
      </c>
      <c r="L26" s="130">
        <f t="shared" si="1"/>
        <v>6</v>
      </c>
      <c r="M26" s="130">
        <f t="shared" si="1"/>
        <v>6</v>
      </c>
      <c r="N26" s="130">
        <f t="shared" si="1"/>
        <v>14</v>
      </c>
      <c r="O26" s="130">
        <f t="shared" si="1"/>
        <v>14</v>
      </c>
      <c r="P26" s="130">
        <f t="shared" si="1"/>
        <v>4</v>
      </c>
      <c r="Q26" s="130">
        <f t="shared" si="1"/>
        <v>1</v>
      </c>
      <c r="R26" s="130">
        <f t="shared" si="1"/>
        <v>0</v>
      </c>
      <c r="S26" s="130">
        <f t="shared" si="1"/>
        <v>0</v>
      </c>
      <c r="T26" s="130">
        <f t="shared" si="1"/>
        <v>28</v>
      </c>
      <c r="U26" s="130">
        <f t="shared" si="1"/>
        <v>48</v>
      </c>
      <c r="V26" s="131">
        <f t="shared" si="1"/>
        <v>146</v>
      </c>
      <c r="W26" s="1"/>
      <c r="X26" s="1"/>
      <c r="Y26" s="1"/>
      <c r="Z26" s="1"/>
    </row>
    <row r="27" spans="1:26" ht="15.75" customHeight="1" x14ac:dyDescent="0.35">
      <c r="A27" s="1"/>
      <c r="W27" s="1"/>
      <c r="X27" s="1"/>
      <c r="Y27" s="1"/>
      <c r="Z27" s="1"/>
    </row>
    <row r="28" spans="1:26" ht="15.75" customHeight="1" x14ac:dyDescent="0.35">
      <c r="A28" s="1"/>
      <c r="W28" s="1"/>
      <c r="X28" s="1"/>
      <c r="Y28" s="1"/>
      <c r="Z28" s="1"/>
    </row>
    <row r="29" spans="1:26" ht="15.75" customHeight="1" x14ac:dyDescent="0.35">
      <c r="A29" s="1"/>
      <c r="B29" s="132" t="s">
        <v>387</v>
      </c>
      <c r="D29" s="236"/>
      <c r="E29" s="236"/>
      <c r="F29" s="236"/>
      <c r="G29" s="236"/>
      <c r="H29" s="236"/>
      <c r="I29" s="236"/>
      <c r="J29" s="236"/>
      <c r="W29" s="1"/>
      <c r="X29" s="1"/>
      <c r="Y29" s="1"/>
      <c r="Z29" s="1"/>
    </row>
    <row r="30" spans="1:26" ht="15.75" customHeight="1" x14ac:dyDescent="0.35">
      <c r="A30" s="1"/>
      <c r="B30" s="136" t="s">
        <v>388</v>
      </c>
      <c r="C30" s="133" t="s">
        <v>389</v>
      </c>
      <c r="D30" s="237" t="s">
        <v>390</v>
      </c>
      <c r="E30" s="236"/>
      <c r="F30" s="236"/>
      <c r="G30" s="236"/>
      <c r="H30" s="236"/>
      <c r="I30" s="236"/>
      <c r="J30" s="236"/>
      <c r="W30" s="1"/>
      <c r="X30" s="1"/>
      <c r="Y30" s="1"/>
      <c r="Z30" s="1"/>
    </row>
    <row r="31" spans="1:26" ht="15.75" customHeight="1" x14ac:dyDescent="0.35">
      <c r="A31" s="1"/>
      <c r="B31" s="137" t="s">
        <v>391</v>
      </c>
      <c r="C31" s="134" t="s">
        <v>392</v>
      </c>
      <c r="D31" s="238" t="s">
        <v>393</v>
      </c>
      <c r="E31" s="236"/>
      <c r="F31" s="236"/>
      <c r="G31" s="236"/>
      <c r="H31" s="236"/>
      <c r="I31" s="236"/>
      <c r="J31" s="236"/>
      <c r="W31" s="1"/>
      <c r="X31" s="1"/>
      <c r="Y31" s="1"/>
      <c r="Z31" s="1"/>
    </row>
    <row r="32" spans="1:26" ht="15.75" customHeight="1" x14ac:dyDescent="0.35">
      <c r="A32" s="1"/>
      <c r="B32" s="138" t="s">
        <v>394</v>
      </c>
      <c r="C32" s="135" t="s">
        <v>395</v>
      </c>
      <c r="D32" s="239" t="s">
        <v>396</v>
      </c>
      <c r="E32" s="236"/>
      <c r="F32" s="236"/>
      <c r="G32" s="236"/>
      <c r="H32" s="236"/>
      <c r="I32" s="236"/>
      <c r="J32" s="236"/>
      <c r="W32" s="1"/>
      <c r="X32" s="1"/>
      <c r="Y32" s="1"/>
      <c r="Z32" s="1"/>
    </row>
    <row r="33" spans="1:26" ht="15.75" customHeight="1" x14ac:dyDescent="0.35">
      <c r="A33" s="1"/>
      <c r="W33" s="1"/>
      <c r="X33" s="1"/>
      <c r="Y33" s="1"/>
      <c r="Z33" s="1"/>
    </row>
    <row r="34" spans="1:26" ht="15.75" customHeight="1" x14ac:dyDescent="0.35">
      <c r="A34" s="1"/>
      <c r="W34" s="1"/>
      <c r="X34" s="1"/>
      <c r="Y34" s="1"/>
      <c r="Z34" s="1"/>
    </row>
    <row r="35" spans="1:26" ht="15.75" customHeight="1" x14ac:dyDescent="0.35">
      <c r="A35" s="1"/>
      <c r="W35" s="1"/>
      <c r="X35" s="1"/>
      <c r="Y35" s="1"/>
      <c r="Z35" s="1"/>
    </row>
    <row r="36" spans="1:26" ht="15.75" customHeight="1" x14ac:dyDescent="0.35">
      <c r="A36" s="1"/>
      <c r="W36" s="1"/>
      <c r="X36" s="1"/>
      <c r="Y36" s="1"/>
      <c r="Z36" s="1"/>
    </row>
    <row r="37" spans="1:26" ht="15.75" customHeight="1" x14ac:dyDescent="0.35">
      <c r="A37" s="1"/>
      <c r="W37" s="1"/>
      <c r="X37" s="1"/>
      <c r="Y37" s="1"/>
      <c r="Z37" s="1"/>
    </row>
    <row r="38" spans="1:26" ht="15.75" customHeight="1" x14ac:dyDescent="0.35">
      <c r="A38" s="1"/>
      <c r="W38" s="1"/>
      <c r="X38" s="1"/>
      <c r="Y38" s="1"/>
      <c r="Z38" s="1"/>
    </row>
    <row r="39" spans="1:26" ht="15.75" customHeight="1" x14ac:dyDescent="0.35">
      <c r="A39" s="1"/>
      <c r="W39" s="1"/>
      <c r="X39" s="1"/>
      <c r="Y39" s="1"/>
      <c r="Z39" s="1"/>
    </row>
    <row r="40" spans="1:26" ht="15.75" customHeight="1" x14ac:dyDescent="0.35">
      <c r="A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</sheetData>
  <mergeCells count="4">
    <mergeCell ref="D29:J29"/>
    <mergeCell ref="D30:J30"/>
    <mergeCell ref="D31:J31"/>
    <mergeCell ref="D32:J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topLeftCell="A4" workbookViewId="0"/>
  </sheetViews>
  <sheetFormatPr baseColWidth="10" defaultColWidth="14.42578125" defaultRowHeight="15" x14ac:dyDescent="0.25"/>
  <cols>
    <col min="1" max="1" width="8.7109375" customWidth="1"/>
    <col min="2" max="2" width="27" customWidth="1"/>
    <col min="3" max="21" width="11.42578125" customWidth="1"/>
    <col min="22" max="22" width="13.42578125" customWidth="1"/>
    <col min="23" max="26" width="8.7109375" customWidth="1"/>
  </cols>
  <sheetData>
    <row r="1" spans="1:26" ht="18" x14ac:dyDescent="0.35">
      <c r="A1" s="1"/>
      <c r="W1" s="1"/>
      <c r="X1" s="1"/>
      <c r="Y1" s="1"/>
      <c r="Z1" s="1"/>
    </row>
    <row r="2" spans="1:26" ht="21" x14ac:dyDescent="0.35">
      <c r="A2" s="1"/>
      <c r="B2" s="111" t="s">
        <v>397</v>
      </c>
      <c r="W2" s="1"/>
      <c r="X2" s="1"/>
      <c r="Y2" s="1"/>
      <c r="Z2" s="1"/>
    </row>
    <row r="3" spans="1:26" ht="18" x14ac:dyDescent="0.35">
      <c r="A3" s="1"/>
      <c r="B3" s="112" t="s">
        <v>398</v>
      </c>
      <c r="W3" s="1"/>
      <c r="X3" s="1"/>
      <c r="Y3" s="1"/>
      <c r="Z3" s="1"/>
    </row>
    <row r="4" spans="1:26" ht="42" customHeight="1" x14ac:dyDescent="0.35">
      <c r="A4" s="1"/>
      <c r="B4" s="113" t="s">
        <v>35</v>
      </c>
      <c r="C4" s="114" t="s">
        <v>361</v>
      </c>
      <c r="E4" s="115" t="s">
        <v>362</v>
      </c>
      <c r="W4" s="1"/>
      <c r="X4" s="1"/>
      <c r="Y4" s="1"/>
      <c r="Z4" s="1"/>
    </row>
    <row r="5" spans="1:26" ht="18" x14ac:dyDescent="0.35">
      <c r="A5" s="1"/>
      <c r="W5" s="1"/>
      <c r="X5" s="1"/>
      <c r="Y5" s="1"/>
      <c r="Z5" s="1"/>
    </row>
    <row r="6" spans="1:26" ht="36" customHeight="1" x14ac:dyDescent="0.35">
      <c r="A6" s="1"/>
      <c r="B6" s="116" t="s">
        <v>363</v>
      </c>
      <c r="C6" s="117" t="s">
        <v>364</v>
      </c>
      <c r="D6" s="117" t="s">
        <v>365</v>
      </c>
      <c r="E6" s="117" t="s">
        <v>198</v>
      </c>
      <c r="F6" s="117" t="s">
        <v>203</v>
      </c>
      <c r="G6" s="117" t="s">
        <v>207</v>
      </c>
      <c r="H6" s="117" t="s">
        <v>366</v>
      </c>
      <c r="I6" s="117" t="s">
        <v>367</v>
      </c>
      <c r="J6" s="117" t="s">
        <v>368</v>
      </c>
      <c r="K6" s="117" t="s">
        <v>369</v>
      </c>
      <c r="L6" s="117" t="s">
        <v>370</v>
      </c>
      <c r="M6" s="117" t="s">
        <v>371</v>
      </c>
      <c r="N6" s="117" t="s">
        <v>372</v>
      </c>
      <c r="O6" s="117" t="s">
        <v>373</v>
      </c>
      <c r="P6" s="117" t="s">
        <v>374</v>
      </c>
      <c r="Q6" s="117" t="s">
        <v>375</v>
      </c>
      <c r="R6" s="117" t="s">
        <v>376</v>
      </c>
      <c r="S6" s="117" t="s">
        <v>377</v>
      </c>
      <c r="T6" s="117" t="s">
        <v>378</v>
      </c>
      <c r="U6" s="117" t="s">
        <v>379</v>
      </c>
      <c r="V6" s="118" t="s">
        <v>399</v>
      </c>
      <c r="W6" s="1"/>
      <c r="X6" s="1"/>
      <c r="Y6" s="1"/>
      <c r="Z6" s="1"/>
    </row>
    <row r="7" spans="1:26" ht="21" customHeight="1" x14ac:dyDescent="0.35">
      <c r="A7" s="1"/>
      <c r="B7" s="119" t="s">
        <v>190</v>
      </c>
      <c r="C7" s="139" t="s">
        <v>9</v>
      </c>
      <c r="D7" s="140">
        <f>'3. Cuantificación Frecuencias'!I7</f>
        <v>1099.7999649899307</v>
      </c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>
        <f t="shared" ref="U7:U24" si="0">SUM(C7:T7)</f>
        <v>1099.7999649899307</v>
      </c>
      <c r="V7" s="142">
        <f t="shared" ref="V7:V25" si="1">SUM(C7:U7)</f>
        <v>2199.5999299798614</v>
      </c>
      <c r="W7" s="1"/>
      <c r="X7" s="1"/>
      <c r="Y7" s="1"/>
      <c r="Z7" s="1"/>
    </row>
    <row r="8" spans="1:26" ht="21" customHeight="1" x14ac:dyDescent="0.35">
      <c r="A8" s="1"/>
      <c r="B8" s="120" t="s">
        <v>191</v>
      </c>
      <c r="C8" s="143"/>
      <c r="D8" s="139" t="s">
        <v>9</v>
      </c>
      <c r="E8" s="140">
        <f>'3. Cuantificación Frecuencias'!I9</f>
        <v>600</v>
      </c>
      <c r="F8" s="143"/>
      <c r="G8" s="143"/>
      <c r="H8" s="143"/>
      <c r="I8" s="143"/>
      <c r="J8" s="140">
        <f>'3. Cuantificación Frecuencias'!I15</f>
        <v>600</v>
      </c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>
        <f t="shared" si="0"/>
        <v>1200</v>
      </c>
      <c r="V8" s="144">
        <f t="shared" si="1"/>
        <v>2400</v>
      </c>
      <c r="W8" s="1"/>
      <c r="X8" s="1"/>
      <c r="Y8" s="1"/>
      <c r="Z8" s="1"/>
    </row>
    <row r="9" spans="1:26" ht="21" customHeight="1" x14ac:dyDescent="0.35">
      <c r="A9" s="1"/>
      <c r="B9" s="120" t="s">
        <v>198</v>
      </c>
      <c r="C9" s="143"/>
      <c r="D9" s="143"/>
      <c r="E9" s="139" t="s">
        <v>9</v>
      </c>
      <c r="F9" s="140">
        <f>'3. Cuantificación Frecuencias'!I10</f>
        <v>600</v>
      </c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0">
        <f>'3. Cuantificación Frecuencias'!I29</f>
        <v>0</v>
      </c>
      <c r="U9" s="143">
        <f t="shared" si="0"/>
        <v>600</v>
      </c>
      <c r="V9" s="144">
        <f t="shared" si="1"/>
        <v>1200</v>
      </c>
      <c r="W9" s="1"/>
      <c r="X9" s="1"/>
      <c r="Y9" s="1"/>
      <c r="Z9" s="1"/>
    </row>
    <row r="10" spans="1:26" ht="21" customHeight="1" x14ac:dyDescent="0.35">
      <c r="A10" s="1"/>
      <c r="B10" s="120" t="s">
        <v>203</v>
      </c>
      <c r="C10" s="143"/>
      <c r="D10" s="143"/>
      <c r="E10" s="143"/>
      <c r="F10" s="139" t="s">
        <v>9</v>
      </c>
      <c r="G10" s="145" t="str">
        <f>'3. Cuantificación Frecuencias'!I11</f>
        <v>N/A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>
        <f t="shared" si="0"/>
        <v>0</v>
      </c>
      <c r="V10" s="144">
        <f t="shared" si="1"/>
        <v>0</v>
      </c>
      <c r="W10" s="1"/>
      <c r="X10" s="1"/>
      <c r="Y10" s="1"/>
      <c r="Z10" s="1"/>
    </row>
    <row r="11" spans="1:26" ht="21" customHeight="1" x14ac:dyDescent="0.35">
      <c r="A11" s="1"/>
      <c r="B11" s="120" t="s">
        <v>207</v>
      </c>
      <c r="C11" s="143"/>
      <c r="D11" s="143"/>
      <c r="E11" s="143"/>
      <c r="F11" s="143"/>
      <c r="G11" s="139" t="s">
        <v>9</v>
      </c>
      <c r="H11" s="145" t="str">
        <f>'3. Cuantificación Frecuencias'!I12</f>
        <v>N/A</v>
      </c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>
        <f t="shared" si="0"/>
        <v>0</v>
      </c>
      <c r="V11" s="144">
        <f t="shared" si="1"/>
        <v>0</v>
      </c>
      <c r="W11" s="1"/>
      <c r="X11" s="1"/>
      <c r="Y11" s="1"/>
      <c r="Z11" s="1"/>
    </row>
    <row r="12" spans="1:26" ht="21" customHeight="1" x14ac:dyDescent="0.35">
      <c r="A12" s="1"/>
      <c r="B12" s="120" t="s">
        <v>212</v>
      </c>
      <c r="C12" s="143"/>
      <c r="D12" s="143"/>
      <c r="E12" s="143"/>
      <c r="F12" s="143"/>
      <c r="G12" s="143"/>
      <c r="H12" s="139" t="s">
        <v>9</v>
      </c>
      <c r="I12" s="145" t="str">
        <f>'3. Cuantificación Frecuencias'!I13</f>
        <v>N/A</v>
      </c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0">
        <f t="shared" si="0"/>
        <v>0</v>
      </c>
      <c r="V12" s="144">
        <f t="shared" si="1"/>
        <v>0</v>
      </c>
      <c r="W12" s="1"/>
      <c r="X12" s="1"/>
      <c r="Y12" s="1"/>
      <c r="Z12" s="1"/>
    </row>
    <row r="13" spans="1:26" ht="21" customHeight="1" x14ac:dyDescent="0.35">
      <c r="A13" s="1"/>
      <c r="B13" s="120" t="s">
        <v>215</v>
      </c>
      <c r="C13" s="143"/>
      <c r="D13" s="143"/>
      <c r="E13" s="143"/>
      <c r="F13" s="143"/>
      <c r="G13" s="143"/>
      <c r="H13" s="143"/>
      <c r="I13" s="139" t="s">
        <v>9</v>
      </c>
      <c r="J13" s="143"/>
      <c r="K13" s="143"/>
      <c r="L13" s="143"/>
      <c r="M13" s="143"/>
      <c r="N13" s="143"/>
      <c r="O13" s="143"/>
      <c r="P13" s="140">
        <f>'3. Cuantificación Frecuencias'!I14</f>
        <v>630</v>
      </c>
      <c r="Q13" s="143"/>
      <c r="R13" s="143"/>
      <c r="S13" s="143"/>
      <c r="T13" s="143"/>
      <c r="U13" s="140">
        <f t="shared" si="0"/>
        <v>630</v>
      </c>
      <c r="V13" s="144">
        <f t="shared" si="1"/>
        <v>1260</v>
      </c>
      <c r="W13" s="1"/>
      <c r="X13" s="1"/>
      <c r="Y13" s="1"/>
      <c r="Z13" s="1"/>
    </row>
    <row r="14" spans="1:26" ht="21" customHeight="1" x14ac:dyDescent="0.35">
      <c r="A14" s="1"/>
      <c r="B14" s="120" t="s">
        <v>368</v>
      </c>
      <c r="C14" s="143"/>
      <c r="D14" s="143"/>
      <c r="E14" s="143"/>
      <c r="F14" s="143"/>
      <c r="G14" s="143"/>
      <c r="H14" s="143"/>
      <c r="I14" s="143"/>
      <c r="J14" s="139" t="s">
        <v>9</v>
      </c>
      <c r="K14" s="140">
        <f>'3. Cuantificación Frecuencias'!I16</f>
        <v>600</v>
      </c>
      <c r="L14" s="143"/>
      <c r="M14" s="143"/>
      <c r="N14" s="143"/>
      <c r="O14" s="143"/>
      <c r="P14" s="143"/>
      <c r="Q14" s="143"/>
      <c r="R14" s="143"/>
      <c r="S14" s="143"/>
      <c r="T14" s="140">
        <f>'3. Cuantificación Frecuencias'!I28</f>
        <v>0</v>
      </c>
      <c r="U14" s="143">
        <f t="shared" si="0"/>
        <v>600</v>
      </c>
      <c r="V14" s="144">
        <f t="shared" si="1"/>
        <v>1200</v>
      </c>
      <c r="W14" s="1"/>
      <c r="X14" s="1"/>
      <c r="Y14" s="1"/>
      <c r="Z14" s="1"/>
    </row>
    <row r="15" spans="1:26" ht="21" customHeight="1" x14ac:dyDescent="0.35">
      <c r="A15" s="1"/>
      <c r="B15" s="120" t="s">
        <v>369</v>
      </c>
      <c r="C15" s="143"/>
      <c r="D15" s="143"/>
      <c r="E15" s="143"/>
      <c r="F15" s="143"/>
      <c r="G15" s="143"/>
      <c r="H15" s="143"/>
      <c r="I15" s="143"/>
      <c r="J15" s="143"/>
      <c r="K15" s="139" t="s">
        <v>9</v>
      </c>
      <c r="L15" s="140">
        <f>'3. Cuantificación Frecuencias'!I17</f>
        <v>259.20000000000005</v>
      </c>
      <c r="M15" s="143"/>
      <c r="N15" s="143"/>
      <c r="O15" s="143"/>
      <c r="P15" s="143"/>
      <c r="Q15" s="143"/>
      <c r="R15" s="143"/>
      <c r="S15" s="143"/>
      <c r="T15" s="143"/>
      <c r="U15" s="143">
        <f t="shared" si="0"/>
        <v>259.20000000000005</v>
      </c>
      <c r="V15" s="144">
        <f t="shared" si="1"/>
        <v>518.40000000000009</v>
      </c>
      <c r="W15" s="1"/>
      <c r="X15" s="1"/>
      <c r="Y15" s="1"/>
      <c r="Z15" s="1"/>
    </row>
    <row r="16" spans="1:26" ht="21" customHeight="1" x14ac:dyDescent="0.35">
      <c r="A16" s="1"/>
      <c r="B16" s="120" t="s">
        <v>370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39" t="s">
        <v>9</v>
      </c>
      <c r="M16" s="140">
        <f>'3. Cuantificación Frecuencias'!I19</f>
        <v>259.20000000000005</v>
      </c>
      <c r="N16" s="143"/>
      <c r="O16" s="143"/>
      <c r="P16" s="143"/>
      <c r="Q16" s="143"/>
      <c r="R16" s="143"/>
      <c r="S16" s="143"/>
      <c r="T16" s="143"/>
      <c r="U16" s="143">
        <f t="shared" si="0"/>
        <v>259.20000000000005</v>
      </c>
      <c r="V16" s="144">
        <f t="shared" si="1"/>
        <v>518.40000000000009</v>
      </c>
      <c r="W16" s="1"/>
      <c r="X16" s="1"/>
      <c r="Y16" s="1"/>
      <c r="Z16" s="1"/>
    </row>
    <row r="17" spans="1:26" ht="21" customHeight="1" x14ac:dyDescent="0.35">
      <c r="A17" s="1"/>
      <c r="B17" s="120" t="s">
        <v>371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39" t="s">
        <v>9</v>
      </c>
      <c r="N17" s="140">
        <f>'3. Cuantificación Frecuencias'!I20</f>
        <v>604.80000000000007</v>
      </c>
      <c r="O17" s="143"/>
      <c r="P17" s="143"/>
      <c r="Q17" s="143"/>
      <c r="R17" s="143"/>
      <c r="S17" s="143"/>
      <c r="T17" s="143"/>
      <c r="U17" s="143">
        <f t="shared" si="0"/>
        <v>604.80000000000007</v>
      </c>
      <c r="V17" s="144">
        <f t="shared" si="1"/>
        <v>1209.6000000000001</v>
      </c>
      <c r="W17" s="1"/>
      <c r="X17" s="1"/>
      <c r="Y17" s="1"/>
      <c r="Z17" s="1"/>
    </row>
    <row r="18" spans="1:26" ht="21" customHeight="1" x14ac:dyDescent="0.35">
      <c r="A18" s="1"/>
      <c r="B18" s="120" t="s">
        <v>372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39" t="s">
        <v>9</v>
      </c>
      <c r="O18" s="140">
        <f>'3. Cuantificación Frecuencias'!I21</f>
        <v>420</v>
      </c>
      <c r="P18" s="143"/>
      <c r="Q18" s="143"/>
      <c r="R18" s="143"/>
      <c r="S18" s="143"/>
      <c r="T18" s="143"/>
      <c r="U18" s="140">
        <f t="shared" si="0"/>
        <v>420</v>
      </c>
      <c r="V18" s="144">
        <f t="shared" si="1"/>
        <v>840</v>
      </c>
      <c r="W18" s="1"/>
      <c r="X18" s="1"/>
      <c r="Y18" s="1"/>
      <c r="Z18" s="1"/>
    </row>
    <row r="19" spans="1:26" ht="21" customHeight="1" x14ac:dyDescent="0.35">
      <c r="A19" s="1"/>
      <c r="B19" s="120" t="s">
        <v>381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39" t="s">
        <v>9</v>
      </c>
      <c r="P19" s="140">
        <f>'3. Cuantificación Frecuencias'!I22</f>
        <v>500</v>
      </c>
      <c r="Q19" s="143"/>
      <c r="R19" s="143"/>
      <c r="S19" s="143"/>
      <c r="T19" s="143"/>
      <c r="U19" s="143">
        <f t="shared" si="0"/>
        <v>500</v>
      </c>
      <c r="V19" s="144">
        <f t="shared" si="1"/>
        <v>1000</v>
      </c>
      <c r="W19" s="1"/>
      <c r="X19" s="1"/>
      <c r="Y19" s="1"/>
      <c r="Z19" s="1"/>
    </row>
    <row r="20" spans="1:26" ht="21" customHeight="1" x14ac:dyDescent="0.35">
      <c r="A20" s="1"/>
      <c r="B20" s="120" t="s">
        <v>382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39" t="s">
        <v>9</v>
      </c>
      <c r="Q20" s="143"/>
      <c r="R20" s="143"/>
      <c r="S20" s="143"/>
      <c r="T20" s="143"/>
      <c r="U20" s="143">
        <f t="shared" si="0"/>
        <v>0</v>
      </c>
      <c r="V20" s="144">
        <f t="shared" si="1"/>
        <v>0</v>
      </c>
      <c r="W20" s="1"/>
      <c r="X20" s="1"/>
      <c r="Y20" s="1"/>
      <c r="Z20" s="1"/>
    </row>
    <row r="21" spans="1:26" ht="21" customHeight="1" x14ac:dyDescent="0.35">
      <c r="A21" s="1"/>
      <c r="B21" s="120" t="s">
        <v>383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39" t="s">
        <v>9</v>
      </c>
      <c r="R21" s="143"/>
      <c r="S21" s="143"/>
      <c r="T21" s="143"/>
      <c r="U21" s="143">
        <f t="shared" si="0"/>
        <v>0</v>
      </c>
      <c r="V21" s="144">
        <f t="shared" si="1"/>
        <v>0</v>
      </c>
      <c r="W21" s="1"/>
      <c r="X21" s="1"/>
      <c r="Y21" s="1"/>
      <c r="Z21" s="1"/>
    </row>
    <row r="22" spans="1:26" ht="21" customHeight="1" x14ac:dyDescent="0.35">
      <c r="A22" s="1"/>
      <c r="B22" s="120" t="s">
        <v>384</v>
      </c>
      <c r="C22" s="143"/>
      <c r="D22" s="143"/>
      <c r="E22" s="140">
        <f>'3. Cuantificación Frecuencias'!I23</f>
        <v>6.0174233592409214</v>
      </c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39" t="s">
        <v>9</v>
      </c>
      <c r="S22" s="143"/>
      <c r="T22" s="143"/>
      <c r="U22" s="143">
        <f t="shared" si="0"/>
        <v>6.0174233592409214</v>
      </c>
      <c r="V22" s="144">
        <f t="shared" si="1"/>
        <v>12.034846718481843</v>
      </c>
      <c r="W22" s="1"/>
      <c r="X22" s="1"/>
      <c r="Y22" s="1"/>
      <c r="Z22" s="1"/>
    </row>
    <row r="23" spans="1:26" ht="21" customHeight="1" x14ac:dyDescent="0.35">
      <c r="A23" s="1"/>
      <c r="B23" s="120" t="s">
        <v>385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0">
        <f>'3. Cuantificación Frecuencias'!I27</f>
        <v>50</v>
      </c>
      <c r="R23" s="143"/>
      <c r="S23" s="139" t="s">
        <v>9</v>
      </c>
      <c r="T23" s="143"/>
      <c r="U23" s="143">
        <f t="shared" si="0"/>
        <v>50</v>
      </c>
      <c r="V23" s="144">
        <f t="shared" si="1"/>
        <v>100</v>
      </c>
      <c r="W23" s="1"/>
      <c r="X23" s="1"/>
      <c r="Y23" s="1"/>
      <c r="Z23" s="1"/>
    </row>
    <row r="24" spans="1:26" ht="21" customHeight="1" x14ac:dyDescent="0.35">
      <c r="A24" s="1"/>
      <c r="B24" s="120" t="s">
        <v>378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39" t="s">
        <v>9</v>
      </c>
      <c r="U24" s="143">
        <f t="shared" si="0"/>
        <v>0</v>
      </c>
      <c r="V24" s="144">
        <f t="shared" si="1"/>
        <v>0</v>
      </c>
      <c r="W24" s="1"/>
      <c r="X24" s="1"/>
      <c r="Y24" s="1"/>
      <c r="Z24" s="1"/>
    </row>
    <row r="25" spans="1:26" ht="21" customHeight="1" x14ac:dyDescent="0.35">
      <c r="A25" s="1"/>
      <c r="B25" s="120" t="s">
        <v>379</v>
      </c>
      <c r="C25" s="143">
        <f t="shared" ref="C25:U25" si="2">SUM(C7:C24)</f>
        <v>0</v>
      </c>
      <c r="D25" s="143">
        <f t="shared" si="2"/>
        <v>1099.7999649899307</v>
      </c>
      <c r="E25" s="143">
        <f t="shared" si="2"/>
        <v>606.01742335924087</v>
      </c>
      <c r="F25" s="143">
        <f t="shared" si="2"/>
        <v>600</v>
      </c>
      <c r="G25" s="143">
        <f t="shared" si="2"/>
        <v>0</v>
      </c>
      <c r="H25" s="143">
        <f t="shared" si="2"/>
        <v>0</v>
      </c>
      <c r="I25" s="143">
        <f t="shared" si="2"/>
        <v>0</v>
      </c>
      <c r="J25" s="143">
        <f t="shared" si="2"/>
        <v>600</v>
      </c>
      <c r="K25" s="143">
        <f t="shared" si="2"/>
        <v>600</v>
      </c>
      <c r="L25" s="143">
        <f t="shared" si="2"/>
        <v>259.20000000000005</v>
      </c>
      <c r="M25" s="143">
        <f t="shared" si="2"/>
        <v>259.20000000000005</v>
      </c>
      <c r="N25" s="143">
        <f t="shared" si="2"/>
        <v>604.80000000000007</v>
      </c>
      <c r="O25" s="143">
        <f t="shared" si="2"/>
        <v>420</v>
      </c>
      <c r="P25" s="143">
        <f t="shared" si="2"/>
        <v>1130</v>
      </c>
      <c r="Q25" s="143">
        <f t="shared" si="2"/>
        <v>50</v>
      </c>
      <c r="R25" s="143">
        <f t="shared" si="2"/>
        <v>0</v>
      </c>
      <c r="S25" s="143">
        <f t="shared" si="2"/>
        <v>0</v>
      </c>
      <c r="T25" s="143">
        <f t="shared" si="2"/>
        <v>0</v>
      </c>
      <c r="U25" s="146">
        <f t="shared" si="2"/>
        <v>6229.0173883491707</v>
      </c>
      <c r="V25" s="144">
        <f t="shared" si="1"/>
        <v>12458.034776698343</v>
      </c>
      <c r="W25" s="1"/>
      <c r="X25" s="1"/>
      <c r="Y25" s="1"/>
      <c r="Z25" s="1"/>
    </row>
    <row r="26" spans="1:26" ht="15.75" customHeight="1" x14ac:dyDescent="0.35">
      <c r="A26" s="1"/>
      <c r="B26" s="121" t="s">
        <v>400</v>
      </c>
      <c r="C26" s="147">
        <f t="shared" ref="C26:V26" si="3">SUM(C7:C25)</f>
        <v>0</v>
      </c>
      <c r="D26" s="147">
        <f t="shared" si="3"/>
        <v>2199.5999299798614</v>
      </c>
      <c r="E26" s="147">
        <f t="shared" si="3"/>
        <v>1212.0348467184817</v>
      </c>
      <c r="F26" s="147">
        <f t="shared" si="3"/>
        <v>1200</v>
      </c>
      <c r="G26" s="147">
        <f t="shared" si="3"/>
        <v>0</v>
      </c>
      <c r="H26" s="147">
        <f t="shared" si="3"/>
        <v>0</v>
      </c>
      <c r="I26" s="147">
        <f t="shared" si="3"/>
        <v>0</v>
      </c>
      <c r="J26" s="147">
        <f t="shared" si="3"/>
        <v>1200</v>
      </c>
      <c r="K26" s="147">
        <f t="shared" si="3"/>
        <v>1200</v>
      </c>
      <c r="L26" s="147">
        <f t="shared" si="3"/>
        <v>518.40000000000009</v>
      </c>
      <c r="M26" s="147">
        <f t="shared" si="3"/>
        <v>518.40000000000009</v>
      </c>
      <c r="N26" s="147">
        <f t="shared" si="3"/>
        <v>1209.6000000000001</v>
      </c>
      <c r="O26" s="147">
        <f t="shared" si="3"/>
        <v>840</v>
      </c>
      <c r="P26" s="147">
        <f t="shared" si="3"/>
        <v>2260</v>
      </c>
      <c r="Q26" s="147">
        <f t="shared" si="3"/>
        <v>100</v>
      </c>
      <c r="R26" s="147">
        <f t="shared" si="3"/>
        <v>0</v>
      </c>
      <c r="S26" s="147">
        <f t="shared" si="3"/>
        <v>0</v>
      </c>
      <c r="T26" s="147">
        <f t="shared" si="3"/>
        <v>0</v>
      </c>
      <c r="U26" s="147">
        <f t="shared" si="3"/>
        <v>12458.034776698341</v>
      </c>
      <c r="V26" s="148">
        <f t="shared" si="3"/>
        <v>24916.069553396686</v>
      </c>
      <c r="W26" s="1"/>
      <c r="X26" s="1"/>
      <c r="Y26" s="1"/>
      <c r="Z26" s="1"/>
    </row>
    <row r="27" spans="1:26" ht="15.75" customHeight="1" x14ac:dyDescent="0.35">
      <c r="A27" s="1"/>
      <c r="W27" s="1"/>
      <c r="X27" s="1"/>
      <c r="Y27" s="1"/>
      <c r="Z27" s="1"/>
    </row>
    <row r="28" spans="1:26" ht="15.75" customHeight="1" x14ac:dyDescent="0.35">
      <c r="A28" s="1"/>
      <c r="W28" s="1"/>
      <c r="X28" s="1"/>
      <c r="Y28" s="1"/>
      <c r="Z28" s="1"/>
    </row>
    <row r="29" spans="1:26" ht="15.75" customHeight="1" x14ac:dyDescent="0.35">
      <c r="A29" s="1"/>
      <c r="B29" s="132" t="s">
        <v>387</v>
      </c>
      <c r="W29" s="1"/>
      <c r="X29" s="1"/>
      <c r="Y29" s="1"/>
      <c r="Z29" s="1"/>
    </row>
    <row r="30" spans="1:26" ht="15.75" customHeight="1" x14ac:dyDescent="0.35">
      <c r="A30" s="1"/>
      <c r="B30" s="149" t="s">
        <v>388</v>
      </c>
      <c r="C30" s="134" t="s">
        <v>389</v>
      </c>
      <c r="D30" s="134" t="s">
        <v>390</v>
      </c>
      <c r="W30" s="1"/>
      <c r="X30" s="1"/>
      <c r="Y30" s="1"/>
      <c r="Z30" s="1"/>
    </row>
    <row r="31" spans="1:26" ht="15.75" customHeight="1" x14ac:dyDescent="0.35">
      <c r="A31" s="1"/>
      <c r="B31" s="150" t="s">
        <v>391</v>
      </c>
      <c r="C31" s="134" t="s">
        <v>392</v>
      </c>
      <c r="D31" s="134" t="s">
        <v>393</v>
      </c>
      <c r="W31" s="1"/>
      <c r="X31" s="1"/>
      <c r="Y31" s="1"/>
      <c r="Z31" s="1"/>
    </row>
    <row r="32" spans="1:26" ht="15.75" customHeight="1" x14ac:dyDescent="0.35">
      <c r="A32" s="1"/>
      <c r="B32" s="151" t="s">
        <v>394</v>
      </c>
      <c r="C32" s="134" t="s">
        <v>395</v>
      </c>
      <c r="D32" s="134" t="s">
        <v>396</v>
      </c>
      <c r="W32" s="1"/>
      <c r="X32" s="1"/>
      <c r="Y32" s="1"/>
      <c r="Z32" s="1"/>
    </row>
    <row r="33" spans="1:26" ht="15.75" customHeight="1" x14ac:dyDescent="0.35">
      <c r="A33" s="1"/>
      <c r="W33" s="1"/>
      <c r="X33" s="1"/>
      <c r="Y33" s="1"/>
      <c r="Z33" s="1"/>
    </row>
    <row r="34" spans="1:26" ht="15.75" customHeight="1" x14ac:dyDescent="0.35">
      <c r="A34" s="1"/>
      <c r="W34" s="1"/>
      <c r="X34" s="1"/>
      <c r="Y34" s="1"/>
      <c r="Z34" s="1"/>
    </row>
    <row r="35" spans="1:26" ht="15.75" customHeight="1" x14ac:dyDescent="0.35">
      <c r="A35" s="1"/>
      <c r="W35" s="1"/>
      <c r="X35" s="1"/>
      <c r="Y35" s="1"/>
      <c r="Z35" s="1"/>
    </row>
    <row r="36" spans="1:26" ht="15.75" customHeight="1" x14ac:dyDescent="0.35">
      <c r="A36" s="1"/>
      <c r="W36" s="1"/>
      <c r="X36" s="1"/>
      <c r="Y36" s="1"/>
      <c r="Z36" s="1"/>
    </row>
    <row r="37" spans="1:26" ht="15.75" customHeight="1" x14ac:dyDescent="0.35">
      <c r="A37" s="1"/>
      <c r="W37" s="1"/>
      <c r="X37" s="1"/>
      <c r="Y37" s="1"/>
      <c r="Z37" s="1"/>
    </row>
    <row r="38" spans="1:26" ht="15.75" customHeight="1" x14ac:dyDescent="0.35">
      <c r="A38" s="1"/>
      <c r="W38" s="1"/>
      <c r="X38" s="1"/>
      <c r="Y38" s="1"/>
      <c r="Z38" s="1"/>
    </row>
    <row r="39" spans="1:26" ht="15.75" customHeight="1" x14ac:dyDescent="0.35">
      <c r="A39" s="1"/>
      <c r="W39" s="1"/>
      <c r="X39" s="1"/>
      <c r="Y39" s="1"/>
      <c r="Z39" s="1"/>
    </row>
    <row r="40" spans="1:26" ht="15.75" customHeight="1" x14ac:dyDescent="0.35">
      <c r="A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topLeftCell="A25" workbookViewId="0"/>
  </sheetViews>
  <sheetFormatPr baseColWidth="10" defaultColWidth="14.42578125" defaultRowHeight="15" x14ac:dyDescent="0.25"/>
  <cols>
    <col min="1" max="1" width="4.140625" customWidth="1"/>
    <col min="2" max="2" width="10" customWidth="1"/>
    <col min="3" max="3" width="36.5703125" customWidth="1"/>
    <col min="4" max="4" width="21.140625" customWidth="1"/>
    <col min="5" max="5" width="20.7109375" customWidth="1"/>
    <col min="6" max="6" width="11.7109375" customWidth="1"/>
    <col min="7" max="7" width="10.7109375" customWidth="1"/>
    <col min="8" max="8" width="31.28515625" customWidth="1"/>
    <col min="9" max="9" width="20.85546875" customWidth="1"/>
    <col min="10" max="10" width="10" customWidth="1"/>
    <col min="11" max="11" width="16.85546875" customWidth="1"/>
    <col min="12" max="12" width="14.28515625" customWidth="1"/>
    <col min="13" max="13" width="28.7109375" customWidth="1"/>
    <col min="14" max="14" width="8.7109375" customWidth="1"/>
    <col min="15" max="15" width="11.85546875" customWidth="1"/>
    <col min="16" max="16" width="6.140625" customWidth="1"/>
    <col min="17" max="26" width="8.7109375" customWidth="1"/>
  </cols>
  <sheetData>
    <row r="1" spans="1:26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x14ac:dyDescent="0.25">
      <c r="A2" s="55"/>
      <c r="B2" s="56" t="s">
        <v>401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x14ac:dyDescent="0.25">
      <c r="A3" s="55"/>
      <c r="B3" s="57" t="s">
        <v>402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40.5" x14ac:dyDescent="0.25">
      <c r="A4" s="55"/>
      <c r="B4" s="4" t="s">
        <v>35</v>
      </c>
      <c r="I4" s="5" t="s">
        <v>403</v>
      </c>
      <c r="K4" s="55"/>
      <c r="L4" s="6" t="s">
        <v>37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x14ac:dyDescent="0.2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x14ac:dyDescent="0.25">
      <c r="A6" s="55"/>
      <c r="B6" s="56" t="s">
        <v>404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x14ac:dyDescent="0.2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27" x14ac:dyDescent="0.25">
      <c r="A8" s="55"/>
      <c r="B8" s="53" t="s">
        <v>405</v>
      </c>
      <c r="C8" s="53" t="s">
        <v>406</v>
      </c>
      <c r="D8" s="53" t="s">
        <v>77</v>
      </c>
      <c r="E8" s="53" t="s">
        <v>407</v>
      </c>
      <c r="F8" s="53" t="s">
        <v>408</v>
      </c>
      <c r="G8" s="53" t="s">
        <v>409</v>
      </c>
      <c r="H8" s="53" t="s">
        <v>410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55"/>
      <c r="B9" s="9">
        <v>1</v>
      </c>
      <c r="C9" s="10" t="s">
        <v>411</v>
      </c>
      <c r="D9" s="15" t="s">
        <v>412</v>
      </c>
      <c r="E9" s="23">
        <v>4</v>
      </c>
      <c r="F9" s="23">
        <v>18</v>
      </c>
      <c r="G9" s="14">
        <v>95</v>
      </c>
      <c r="H9" s="58" t="s">
        <v>413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x14ac:dyDescent="0.25">
      <c r="A10" s="55"/>
      <c r="B10" s="9">
        <v>2</v>
      </c>
      <c r="C10" s="10" t="s">
        <v>414</v>
      </c>
      <c r="D10" s="15" t="s">
        <v>412</v>
      </c>
      <c r="E10" s="23">
        <v>8.5</v>
      </c>
      <c r="F10" s="23">
        <v>18</v>
      </c>
      <c r="G10" s="14">
        <v>12</v>
      </c>
      <c r="H10" s="58" t="s">
        <v>415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x14ac:dyDescent="0.25">
      <c r="A11" s="55"/>
      <c r="B11" s="9">
        <v>3</v>
      </c>
      <c r="C11" s="10" t="s">
        <v>416</v>
      </c>
      <c r="D11" s="15" t="s">
        <v>417</v>
      </c>
      <c r="E11" s="23">
        <v>12</v>
      </c>
      <c r="F11" s="23">
        <v>20</v>
      </c>
      <c r="G11" s="14">
        <v>6.5</v>
      </c>
      <c r="H11" s="58" t="s">
        <v>418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x14ac:dyDescent="0.25">
      <c r="A12" s="55"/>
      <c r="B12" s="9">
        <v>4</v>
      </c>
      <c r="C12" s="10" t="s">
        <v>419</v>
      </c>
      <c r="D12" s="15" t="s">
        <v>417</v>
      </c>
      <c r="E12" s="23">
        <v>15</v>
      </c>
      <c r="F12" s="23">
        <v>20</v>
      </c>
      <c r="G12" s="14">
        <v>4</v>
      </c>
      <c r="H12" s="58" t="s">
        <v>420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x14ac:dyDescent="0.25">
      <c r="A13" s="55"/>
      <c r="B13" s="9">
        <v>5</v>
      </c>
      <c r="C13" s="10" t="s">
        <v>421</v>
      </c>
      <c r="D13" s="15" t="s">
        <v>417</v>
      </c>
      <c r="E13" s="23">
        <v>20</v>
      </c>
      <c r="F13" s="23">
        <v>20</v>
      </c>
      <c r="G13" s="14">
        <v>12</v>
      </c>
      <c r="H13" s="58" t="s">
        <v>422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x14ac:dyDescent="0.25">
      <c r="A14" s="55"/>
      <c r="B14" s="9">
        <v>6</v>
      </c>
      <c r="C14" s="10" t="s">
        <v>423</v>
      </c>
      <c r="D14" s="15" t="s">
        <v>417</v>
      </c>
      <c r="E14" s="23">
        <v>26</v>
      </c>
      <c r="F14" s="23">
        <v>20</v>
      </c>
      <c r="G14" s="14">
        <v>11.5</v>
      </c>
      <c r="H14" s="58" t="s">
        <v>424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x14ac:dyDescent="0.25">
      <c r="A15" s="55"/>
      <c r="B15" s="9">
        <v>7</v>
      </c>
      <c r="C15" s="10" t="s">
        <v>425</v>
      </c>
      <c r="D15" s="15" t="s">
        <v>417</v>
      </c>
      <c r="E15" s="23">
        <v>30</v>
      </c>
      <c r="F15" s="23">
        <v>20</v>
      </c>
      <c r="G15" s="14">
        <v>7.5</v>
      </c>
      <c r="H15" s="58" t="s">
        <v>426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x14ac:dyDescent="0.25">
      <c r="A16" s="55"/>
      <c r="B16" s="9">
        <v>8</v>
      </c>
      <c r="C16" s="10" t="s">
        <v>427</v>
      </c>
      <c r="D16" s="15" t="s">
        <v>417</v>
      </c>
      <c r="E16" s="23">
        <v>32.5</v>
      </c>
      <c r="F16" s="23">
        <v>20</v>
      </c>
      <c r="G16" s="14">
        <v>5</v>
      </c>
      <c r="H16" s="58" t="s">
        <v>428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x14ac:dyDescent="0.25">
      <c r="A17" s="55"/>
      <c r="B17" s="9">
        <v>9</v>
      </c>
      <c r="C17" s="10" t="s">
        <v>429</v>
      </c>
      <c r="D17" s="15" t="s">
        <v>430</v>
      </c>
      <c r="E17" s="23">
        <v>12</v>
      </c>
      <c r="F17" s="23">
        <v>14</v>
      </c>
      <c r="G17" s="14">
        <v>8.5</v>
      </c>
      <c r="H17" s="58" t="s">
        <v>431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x14ac:dyDescent="0.25">
      <c r="A18" s="55"/>
      <c r="B18" s="9">
        <v>10</v>
      </c>
      <c r="C18" s="10" t="s">
        <v>432</v>
      </c>
      <c r="D18" s="15" t="s">
        <v>430</v>
      </c>
      <c r="E18" s="23">
        <v>15</v>
      </c>
      <c r="F18" s="23">
        <v>14</v>
      </c>
      <c r="G18" s="14">
        <v>6.5</v>
      </c>
      <c r="H18" s="58" t="s">
        <v>433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x14ac:dyDescent="0.25">
      <c r="A19" s="55"/>
      <c r="B19" s="9">
        <v>11</v>
      </c>
      <c r="C19" s="10" t="s">
        <v>434</v>
      </c>
      <c r="D19" s="15" t="s">
        <v>430</v>
      </c>
      <c r="E19" s="23">
        <v>18</v>
      </c>
      <c r="F19" s="23">
        <v>14</v>
      </c>
      <c r="G19" s="14">
        <v>6.5</v>
      </c>
      <c r="H19" s="58" t="s">
        <v>435</v>
      </c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x14ac:dyDescent="0.25">
      <c r="A20" s="55"/>
      <c r="B20" s="9">
        <v>12</v>
      </c>
      <c r="C20" s="10" t="s">
        <v>436</v>
      </c>
      <c r="D20" s="15" t="s">
        <v>430</v>
      </c>
      <c r="E20" s="23">
        <v>22</v>
      </c>
      <c r="F20" s="23">
        <v>14</v>
      </c>
      <c r="G20" s="14">
        <v>14</v>
      </c>
      <c r="H20" s="58" t="s">
        <v>437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25">
      <c r="A21" s="55"/>
      <c r="B21" s="9">
        <v>13</v>
      </c>
      <c r="C21" s="10" t="s">
        <v>438</v>
      </c>
      <c r="D21" s="15" t="s">
        <v>430</v>
      </c>
      <c r="E21" s="23">
        <v>25.5</v>
      </c>
      <c r="F21" s="23">
        <v>14</v>
      </c>
      <c r="G21" s="14">
        <v>18</v>
      </c>
      <c r="H21" s="58" t="s">
        <v>439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25">
      <c r="A22" s="55"/>
      <c r="B22" s="9">
        <v>14</v>
      </c>
      <c r="C22" s="10" t="s">
        <v>440</v>
      </c>
      <c r="D22" s="15" t="s">
        <v>430</v>
      </c>
      <c r="E22" s="23">
        <v>28.5</v>
      </c>
      <c r="F22" s="23">
        <v>14</v>
      </c>
      <c r="G22" s="14">
        <v>5.5</v>
      </c>
      <c r="H22" s="58" t="s">
        <v>441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25">
      <c r="A23" s="55"/>
      <c r="B23" s="9">
        <v>15</v>
      </c>
      <c r="C23" s="10" t="s">
        <v>442</v>
      </c>
      <c r="D23" s="15" t="s">
        <v>430</v>
      </c>
      <c r="E23" s="23">
        <v>30.5</v>
      </c>
      <c r="F23" s="23">
        <v>14</v>
      </c>
      <c r="G23" s="14">
        <v>12</v>
      </c>
      <c r="H23" s="58" t="s">
        <v>443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25">
      <c r="A24" s="55"/>
      <c r="B24" s="9">
        <v>16</v>
      </c>
      <c r="C24" s="10" t="s">
        <v>444</v>
      </c>
      <c r="D24" s="15" t="s">
        <v>430</v>
      </c>
      <c r="E24" s="23">
        <v>32.5</v>
      </c>
      <c r="F24" s="23">
        <v>14</v>
      </c>
      <c r="G24" s="14">
        <v>5</v>
      </c>
      <c r="H24" s="58" t="s">
        <v>428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25">
      <c r="A25" s="55"/>
      <c r="B25" s="9">
        <v>17</v>
      </c>
      <c r="C25" s="10" t="s">
        <v>445</v>
      </c>
      <c r="D25" s="15" t="s">
        <v>412</v>
      </c>
      <c r="E25" s="23">
        <v>36</v>
      </c>
      <c r="F25" s="23">
        <v>16</v>
      </c>
      <c r="G25" s="14">
        <v>160</v>
      </c>
      <c r="H25" s="58" t="s">
        <v>446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25">
      <c r="A26" s="55"/>
      <c r="B26" s="9">
        <v>18</v>
      </c>
      <c r="C26" s="10" t="s">
        <v>447</v>
      </c>
      <c r="D26" s="15" t="s">
        <v>448</v>
      </c>
      <c r="E26" s="23">
        <v>8.5</v>
      </c>
      <c r="F26" s="23">
        <v>12</v>
      </c>
      <c r="G26" s="14">
        <v>15</v>
      </c>
      <c r="H26" s="58" t="s">
        <v>449</v>
      </c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25">
      <c r="A29" s="55"/>
      <c r="B29" s="56" t="s">
        <v>450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25">
      <c r="A31" s="55"/>
      <c r="B31" s="54" t="s">
        <v>451</v>
      </c>
      <c r="C31" s="54" t="s">
        <v>173</v>
      </c>
      <c r="D31" s="54" t="s">
        <v>174</v>
      </c>
      <c r="E31" s="54" t="s">
        <v>178</v>
      </c>
      <c r="F31" s="54" t="s">
        <v>180</v>
      </c>
      <c r="G31" s="54" t="s">
        <v>452</v>
      </c>
      <c r="H31" s="54" t="s">
        <v>453</v>
      </c>
      <c r="I31" s="54" t="s">
        <v>454</v>
      </c>
      <c r="J31" s="54" t="s">
        <v>455</v>
      </c>
      <c r="K31" s="54" t="s">
        <v>182</v>
      </c>
      <c r="L31" s="54" t="s">
        <v>184</v>
      </c>
      <c r="M31" s="54" t="s">
        <v>456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25">
      <c r="A32" s="55"/>
      <c r="B32" s="9" t="s">
        <v>457</v>
      </c>
      <c r="C32" s="10" t="s">
        <v>191</v>
      </c>
      <c r="D32" s="10" t="s">
        <v>458</v>
      </c>
      <c r="E32" s="18">
        <f>'5. Desde-Hasta (Viajes)'!E8</f>
        <v>4</v>
      </c>
      <c r="F32" s="59">
        <f t="shared" ref="F32:F33" si="0">ROUND(SQRT((E11-E10)^2+(F11-F10)^2), 1)</f>
        <v>4</v>
      </c>
      <c r="G32" s="22">
        <f>'3. Cuantificación Frecuencias'!G9</f>
        <v>150</v>
      </c>
      <c r="H32" s="30">
        <f t="shared" ref="H32:H42" si="1">E32*F32</f>
        <v>16</v>
      </c>
      <c r="I32" s="30">
        <f t="shared" ref="I32:I42" si="2">H32*G32</f>
        <v>2400</v>
      </c>
      <c r="J32" s="60">
        <f>'3. Cuantificación Frecuencias'!K9</f>
        <v>48</v>
      </c>
      <c r="K32" s="26">
        <f>'3. Cuantificación Frecuencias'!L9</f>
        <v>0.3</v>
      </c>
      <c r="L32" s="28">
        <f t="shared" ref="L32:L42" si="3">E32*((2*F32/J32)+K32)/60</f>
        <v>3.111111111111111E-2</v>
      </c>
      <c r="M32" s="61" t="s">
        <v>459</v>
      </c>
      <c r="N32" s="55"/>
      <c r="O32" s="55">
        <f t="shared" ref="O32:O42" si="4">L32*60</f>
        <v>1.8666666666666667</v>
      </c>
      <c r="P32" s="62">
        <f t="shared" ref="P32:P42" si="5">L32/8</f>
        <v>3.8888888888888888E-3</v>
      </c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25">
      <c r="A33" s="55"/>
      <c r="B33" s="9" t="s">
        <v>460</v>
      </c>
      <c r="C33" s="10" t="s">
        <v>458</v>
      </c>
      <c r="D33" s="10" t="s">
        <v>461</v>
      </c>
      <c r="E33" s="18">
        <f>'5. Desde-Hasta (Viajes)'!F9</f>
        <v>6</v>
      </c>
      <c r="F33" s="59">
        <f t="shared" si="0"/>
        <v>3</v>
      </c>
      <c r="G33" s="22">
        <f>'3. Cuantificación Frecuencias'!G10</f>
        <v>100</v>
      </c>
      <c r="H33" s="30">
        <f t="shared" si="1"/>
        <v>18</v>
      </c>
      <c r="I33" s="30">
        <f t="shared" si="2"/>
        <v>1800</v>
      </c>
      <c r="J33" s="60">
        <f>'3. Cuantificación Frecuencias'!K10</f>
        <v>42</v>
      </c>
      <c r="K33" s="26">
        <f>'3. Cuantificación Frecuencias'!L10</f>
        <v>0.35</v>
      </c>
      <c r="L33" s="28">
        <f t="shared" si="3"/>
        <v>4.928571428571428E-2</v>
      </c>
      <c r="M33" s="61" t="s">
        <v>459</v>
      </c>
      <c r="N33" s="55"/>
      <c r="O33" s="55">
        <f t="shared" si="4"/>
        <v>2.9571428571428569</v>
      </c>
      <c r="P33" s="62">
        <f t="shared" si="5"/>
        <v>6.160714285714285E-3</v>
      </c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25">
      <c r="A34" s="55"/>
      <c r="B34" s="9" t="s">
        <v>462</v>
      </c>
      <c r="C34" s="10" t="s">
        <v>191</v>
      </c>
      <c r="D34" s="10" t="s">
        <v>463</v>
      </c>
      <c r="E34" s="18">
        <f>'5. Desde-Hasta (Viajes)'!J8</f>
        <v>4</v>
      </c>
      <c r="F34" s="59">
        <f>ROUND(SQRT((E17-E10)^2+(F17-F10)^2), 1)</f>
        <v>5.3</v>
      </c>
      <c r="G34" s="22">
        <f>'3. Cuantificación Frecuencias'!G15</f>
        <v>150</v>
      </c>
      <c r="H34" s="30">
        <f t="shared" si="1"/>
        <v>21.2</v>
      </c>
      <c r="I34" s="30">
        <f t="shared" si="2"/>
        <v>3180</v>
      </c>
      <c r="J34" s="60">
        <f>'3. Cuantificación Frecuencias'!K15</f>
        <v>48</v>
      </c>
      <c r="K34" s="26">
        <f>'3. Cuantificación Frecuencias'!L15</f>
        <v>0.35</v>
      </c>
      <c r="L34" s="28">
        <f t="shared" si="3"/>
        <v>3.8055555555555551E-2</v>
      </c>
      <c r="M34" s="15" t="s">
        <v>464</v>
      </c>
      <c r="N34" s="55"/>
      <c r="O34" s="55">
        <f t="shared" si="4"/>
        <v>2.2833333333333332</v>
      </c>
      <c r="P34" s="62">
        <f t="shared" si="5"/>
        <v>4.7569444444444439E-3</v>
      </c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25">
      <c r="A35" s="55"/>
      <c r="B35" s="9" t="s">
        <v>465</v>
      </c>
      <c r="C35" s="10" t="s">
        <v>463</v>
      </c>
      <c r="D35" s="10" t="s">
        <v>466</v>
      </c>
      <c r="E35" s="18">
        <f>'5. Desde-Hasta (Viajes)'!K14</f>
        <v>6</v>
      </c>
      <c r="F35" s="59">
        <f t="shared" ref="F35:F39" si="6">ROUND(SQRT((E18-E17)^2+(F18-F17)^2), 1)</f>
        <v>3</v>
      </c>
      <c r="G35" s="22">
        <f>'3. Cuantificación Frecuencias'!G16</f>
        <v>100</v>
      </c>
      <c r="H35" s="30">
        <f t="shared" si="1"/>
        <v>18</v>
      </c>
      <c r="I35" s="30">
        <f t="shared" si="2"/>
        <v>1800</v>
      </c>
      <c r="J35" s="60">
        <f>'3. Cuantificación Frecuencias'!K16</f>
        <v>42</v>
      </c>
      <c r="K35" s="26">
        <f>'3. Cuantificación Frecuencias'!L16</f>
        <v>0.35</v>
      </c>
      <c r="L35" s="28">
        <f t="shared" si="3"/>
        <v>4.928571428571428E-2</v>
      </c>
      <c r="M35" s="15" t="s">
        <v>464</v>
      </c>
      <c r="N35" s="55"/>
      <c r="O35" s="55">
        <f t="shared" si="4"/>
        <v>2.9571428571428569</v>
      </c>
      <c r="P35" s="62">
        <f t="shared" si="5"/>
        <v>6.160714285714285E-3</v>
      </c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25">
      <c r="A36" s="55"/>
      <c r="B36" s="9" t="s">
        <v>467</v>
      </c>
      <c r="C36" s="10" t="s">
        <v>466</v>
      </c>
      <c r="D36" s="10" t="s">
        <v>468</v>
      </c>
      <c r="E36" s="18">
        <f>'5. Desde-Hasta (Viajes)'!L15</f>
        <v>6</v>
      </c>
      <c r="F36" s="59">
        <f t="shared" si="6"/>
        <v>3</v>
      </c>
      <c r="G36" s="22">
        <f>'3. Cuantificación Frecuencias'!G17</f>
        <v>43.2</v>
      </c>
      <c r="H36" s="30">
        <f t="shared" si="1"/>
        <v>18</v>
      </c>
      <c r="I36" s="30">
        <f t="shared" si="2"/>
        <v>777.6</v>
      </c>
      <c r="J36" s="60">
        <f>'3. Cuantificación Frecuencias'!K17</f>
        <v>42</v>
      </c>
      <c r="K36" s="26">
        <f>'3. Cuantificación Frecuencias'!L17</f>
        <v>0.4</v>
      </c>
      <c r="L36" s="28">
        <f t="shared" si="3"/>
        <v>5.4285714285714291E-2</v>
      </c>
      <c r="M36" s="15" t="s">
        <v>464</v>
      </c>
      <c r="N36" s="55"/>
      <c r="O36" s="55">
        <f t="shared" si="4"/>
        <v>3.2571428571428576</v>
      </c>
      <c r="P36" s="62">
        <f t="shared" si="5"/>
        <v>6.7857142857142864E-3</v>
      </c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25">
      <c r="A37" s="55"/>
      <c r="B37" s="9" t="s">
        <v>469</v>
      </c>
      <c r="C37" s="10" t="s">
        <v>468</v>
      </c>
      <c r="D37" s="10" t="s">
        <v>470</v>
      </c>
      <c r="E37" s="18">
        <f>'5. Desde-Hasta (Viajes)'!M16</f>
        <v>6</v>
      </c>
      <c r="F37" s="59">
        <f t="shared" si="6"/>
        <v>4</v>
      </c>
      <c r="G37" s="22">
        <f>'3. Cuantificación Frecuencias'!G19</f>
        <v>43.2</v>
      </c>
      <c r="H37" s="30">
        <f t="shared" si="1"/>
        <v>24</v>
      </c>
      <c r="I37" s="30">
        <f t="shared" si="2"/>
        <v>1036.8000000000002</v>
      </c>
      <c r="J37" s="60">
        <f>'3. Cuantificación Frecuencias'!K19</f>
        <v>42</v>
      </c>
      <c r="K37" s="26">
        <f>'3. Cuantificación Frecuencias'!L19</f>
        <v>0.4</v>
      </c>
      <c r="L37" s="28">
        <f t="shared" si="3"/>
        <v>5.9047619047619043E-2</v>
      </c>
      <c r="M37" s="15" t="s">
        <v>464</v>
      </c>
      <c r="N37" s="55"/>
      <c r="O37" s="55">
        <f t="shared" si="4"/>
        <v>3.5428571428571427</v>
      </c>
      <c r="P37" s="62">
        <f t="shared" si="5"/>
        <v>7.3809523809523804E-3</v>
      </c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25">
      <c r="A38" s="55"/>
      <c r="B38" s="9" t="s">
        <v>471</v>
      </c>
      <c r="C38" s="10" t="s">
        <v>470</v>
      </c>
      <c r="D38" s="10" t="s">
        <v>472</v>
      </c>
      <c r="E38" s="18">
        <f>'5. Desde-Hasta (Viajes)'!N17</f>
        <v>14</v>
      </c>
      <c r="F38" s="59">
        <f t="shared" si="6"/>
        <v>3.5</v>
      </c>
      <c r="G38" s="22">
        <f>'3. Cuantificación Frecuencias'!G20</f>
        <v>43.2</v>
      </c>
      <c r="H38" s="30">
        <f t="shared" si="1"/>
        <v>49</v>
      </c>
      <c r="I38" s="30">
        <f t="shared" si="2"/>
        <v>2116.8000000000002</v>
      </c>
      <c r="J38" s="60">
        <f>'3. Cuantificación Frecuencias'!K20</f>
        <v>36</v>
      </c>
      <c r="K38" s="26">
        <f>'3. Cuantificación Frecuencias'!L20</f>
        <v>0.45</v>
      </c>
      <c r="L38" s="28">
        <f t="shared" si="3"/>
        <v>0.15037037037037038</v>
      </c>
      <c r="M38" s="61" t="s">
        <v>473</v>
      </c>
      <c r="N38" s="55"/>
      <c r="O38" s="55">
        <f t="shared" si="4"/>
        <v>9.0222222222222221</v>
      </c>
      <c r="P38" s="62">
        <f t="shared" si="5"/>
        <v>1.8796296296296297E-2</v>
      </c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25">
      <c r="A39" s="55"/>
      <c r="B39" s="9" t="s">
        <v>474</v>
      </c>
      <c r="C39" s="10" t="s">
        <v>472</v>
      </c>
      <c r="D39" s="10" t="s">
        <v>475</v>
      </c>
      <c r="E39" s="18">
        <f>'5. Desde-Hasta (Viajes)'!O18</f>
        <v>14</v>
      </c>
      <c r="F39" s="59">
        <f t="shared" si="6"/>
        <v>3</v>
      </c>
      <c r="G39" s="22">
        <f>'3. Cuantificación Frecuencias'!G21</f>
        <v>30</v>
      </c>
      <c r="H39" s="30">
        <f t="shared" si="1"/>
        <v>42</v>
      </c>
      <c r="I39" s="30">
        <f t="shared" si="2"/>
        <v>1260</v>
      </c>
      <c r="J39" s="60">
        <f>'3. Cuantificación Frecuencias'!K21</f>
        <v>42</v>
      </c>
      <c r="K39" s="26">
        <f>'3. Cuantificación Frecuencias'!L21</f>
        <v>0.35</v>
      </c>
      <c r="L39" s="28">
        <f t="shared" si="3"/>
        <v>0.11499999999999999</v>
      </c>
      <c r="M39" s="15" t="s">
        <v>476</v>
      </c>
      <c r="N39" s="55"/>
      <c r="O39" s="55">
        <f t="shared" si="4"/>
        <v>6.8999999999999995</v>
      </c>
      <c r="P39" s="62">
        <f t="shared" si="5"/>
        <v>1.4374999999999999E-2</v>
      </c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25">
      <c r="A40" s="55"/>
      <c r="B40" s="9" t="s">
        <v>477</v>
      </c>
      <c r="C40" s="10" t="s">
        <v>190</v>
      </c>
      <c r="D40" s="10" t="s">
        <v>191</v>
      </c>
      <c r="E40" s="18">
        <f>'5. Desde-Hasta (Viajes)'!D7</f>
        <v>4</v>
      </c>
      <c r="F40" s="59">
        <f>ROUND(SQRT((E10-E9)^2+(F10-F9)^2), 1)</f>
        <v>4.5</v>
      </c>
      <c r="G40" s="22">
        <f>'3. Cuantificación Frecuencias'!G7</f>
        <v>300</v>
      </c>
      <c r="H40" s="30">
        <f t="shared" si="1"/>
        <v>18</v>
      </c>
      <c r="I40" s="30">
        <f t="shared" si="2"/>
        <v>5400</v>
      </c>
      <c r="J40" s="60">
        <f>'3. Cuantificación Frecuencias'!K7</f>
        <v>36</v>
      </c>
      <c r="K40" s="26">
        <f>'3. Cuantificación Frecuencias'!L7</f>
        <v>0.5</v>
      </c>
      <c r="L40" s="28">
        <f t="shared" si="3"/>
        <v>0.05</v>
      </c>
      <c r="M40" s="15" t="s">
        <v>478</v>
      </c>
      <c r="N40" s="55"/>
      <c r="O40" s="55">
        <f t="shared" si="4"/>
        <v>3</v>
      </c>
      <c r="P40" s="62">
        <f t="shared" si="5"/>
        <v>6.2500000000000003E-3</v>
      </c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25">
      <c r="A41" s="55"/>
      <c r="B41" s="9" t="s">
        <v>479</v>
      </c>
      <c r="C41" s="10" t="s">
        <v>215</v>
      </c>
      <c r="D41" s="10" t="s">
        <v>382</v>
      </c>
      <c r="E41" s="18">
        <f>'3. Cuantificación Frecuencias'!H14</f>
        <v>2</v>
      </c>
      <c r="F41" s="59">
        <f>ROUND(SQRT((E25-E15)^2+(F25-F15)^2), 1)</f>
        <v>7.2</v>
      </c>
      <c r="G41" s="22">
        <f>'3. Cuantificación Frecuencias'!G14</f>
        <v>315</v>
      </c>
      <c r="H41" s="30">
        <f t="shared" si="1"/>
        <v>14.4</v>
      </c>
      <c r="I41" s="30">
        <f t="shared" si="2"/>
        <v>4536</v>
      </c>
      <c r="J41" s="60">
        <f>'3. Cuantificación Frecuencias'!K14</f>
        <v>36</v>
      </c>
      <c r="K41" s="26">
        <f>'3. Cuantificación Frecuencias'!L14</f>
        <v>0.75</v>
      </c>
      <c r="L41" s="28">
        <f t="shared" si="3"/>
        <v>3.833333333333333E-2</v>
      </c>
      <c r="M41" s="15" t="s">
        <v>480</v>
      </c>
      <c r="N41" s="55"/>
      <c r="O41" s="55">
        <f t="shared" si="4"/>
        <v>2.2999999999999998</v>
      </c>
      <c r="P41" s="62">
        <f t="shared" si="5"/>
        <v>4.7916666666666663E-3</v>
      </c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25">
      <c r="A42" s="55"/>
      <c r="B42" s="9" t="s">
        <v>481</v>
      </c>
      <c r="C42" s="10" t="s">
        <v>482</v>
      </c>
      <c r="D42" s="10" t="s">
        <v>382</v>
      </c>
      <c r="E42" s="18">
        <f>'3. Cuantificación Frecuencias'!H22</f>
        <v>2</v>
      </c>
      <c r="F42" s="59">
        <f>ROUND(SQRT((E25-E23)^2+(F25-F23)^2), 1)</f>
        <v>5.9</v>
      </c>
      <c r="G42" s="22">
        <f>'3. Cuantificación Frecuencias'!G22</f>
        <v>250</v>
      </c>
      <c r="H42" s="30">
        <f t="shared" si="1"/>
        <v>11.8</v>
      </c>
      <c r="I42" s="30">
        <f t="shared" si="2"/>
        <v>2950</v>
      </c>
      <c r="J42" s="60">
        <f>'3. Cuantificación Frecuencias'!K22</f>
        <v>36</v>
      </c>
      <c r="K42" s="26">
        <f>'3. Cuantificación Frecuencias'!L22</f>
        <v>0.75</v>
      </c>
      <c r="L42" s="28">
        <f t="shared" si="3"/>
        <v>3.5925925925925924E-2</v>
      </c>
      <c r="M42" s="15" t="s">
        <v>480</v>
      </c>
      <c r="N42" s="55"/>
      <c r="O42" s="55">
        <f t="shared" si="4"/>
        <v>2.1555555555555554</v>
      </c>
      <c r="P42" s="62">
        <f t="shared" si="5"/>
        <v>4.4907407407407405E-3</v>
      </c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63" t="s">
        <v>483</v>
      </c>
      <c r="C43" s="64"/>
      <c r="D43" s="64"/>
      <c r="E43" s="64"/>
      <c r="F43" s="64"/>
      <c r="G43" s="64"/>
      <c r="H43" s="65">
        <f t="shared" ref="H43:I43" si="7">SUM(H32:H42)</f>
        <v>250.4</v>
      </c>
      <c r="I43" s="65">
        <f t="shared" si="7"/>
        <v>27257.200000000001</v>
      </c>
      <c r="J43" s="64"/>
      <c r="K43" s="64"/>
      <c r="L43" s="66">
        <f>SUM(L32:L42)</f>
        <v>0.67070105820105819</v>
      </c>
      <c r="M43" s="67" t="s">
        <v>484</v>
      </c>
      <c r="N43" s="55"/>
      <c r="O43" s="55">
        <f>SUM(O32:O42)</f>
        <v>40.242063492063494</v>
      </c>
      <c r="P43" s="55">
        <f>SUM(P32:P42)</f>
        <v>8.3837632275132273E-2</v>
      </c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5.75" customHeight="1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5.75" customHeight="1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5.75" customHeight="1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5.75" customHeight="1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5.75" customHeight="1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5.75" customHeight="1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5.75" customHeight="1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5.75" customHeight="1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5.75" customHeight="1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5.75" customHeight="1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5.75" customHeight="1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5.75" customHeight="1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5.75" customHeight="1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5.75" customHeight="1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5.75" customHeight="1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5.75" customHeight="1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5.75" customHeight="1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5.75" customHeight="1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5.75" customHeight="1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5.75" customHeight="1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5.75" customHeight="1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5.75" customHeight="1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5.75" customHeight="1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5.75" customHeight="1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5.75" customHeight="1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5.75" customHeight="1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5.75" customHeight="1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5.75" customHeight="1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5.75" customHeight="1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5.75" customHeight="1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5.75" customHeight="1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5.75" customHeight="1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5.75" customHeight="1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5.75" customHeight="1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5.75" customHeight="1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5.75" customHeight="1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5.75" customHeight="1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5.75" customHeight="1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0"/>
  <sheetViews>
    <sheetView workbookViewId="0">
      <selection sqref="A1:E1"/>
    </sheetView>
  </sheetViews>
  <sheetFormatPr baseColWidth="10" defaultColWidth="9.140625" defaultRowHeight="15" x14ac:dyDescent="0.25"/>
  <cols>
    <col min="1" max="1" width="12" customWidth="1"/>
    <col min="2" max="3" width="27" customWidth="1"/>
    <col min="4" max="4" width="12" customWidth="1"/>
    <col min="5" max="5" width="46" customWidth="1"/>
    <col min="7" max="7" width="10" customWidth="1"/>
    <col min="8" max="8" width="30" customWidth="1"/>
  </cols>
  <sheetData>
    <row r="1" spans="1:8" ht="20.100000000000001" customHeight="1" x14ac:dyDescent="0.25">
      <c r="A1" s="240" t="s">
        <v>495</v>
      </c>
      <c r="B1" s="240"/>
      <c r="C1" s="240"/>
      <c r="D1" s="240"/>
      <c r="E1" s="240"/>
      <c r="G1" s="172" t="s">
        <v>485</v>
      </c>
      <c r="H1" s="172" t="s">
        <v>486</v>
      </c>
    </row>
    <row r="2" spans="1:8" ht="20.100000000000001" customHeight="1" x14ac:dyDescent="0.25">
      <c r="A2" s="241" t="s">
        <v>496</v>
      </c>
      <c r="B2" s="241"/>
      <c r="C2" s="241"/>
      <c r="D2" s="241"/>
      <c r="E2" s="241"/>
      <c r="G2" s="153" t="s">
        <v>196</v>
      </c>
      <c r="H2" s="153" t="s">
        <v>487</v>
      </c>
    </row>
    <row r="3" spans="1:8" ht="20.100000000000001" customHeight="1" x14ac:dyDescent="0.25">
      <c r="A3" s="242"/>
      <c r="B3" s="242"/>
      <c r="C3" s="242"/>
      <c r="D3" s="242"/>
      <c r="E3" s="242"/>
      <c r="G3" s="153" t="s">
        <v>201</v>
      </c>
      <c r="H3" s="153" t="s">
        <v>488</v>
      </c>
    </row>
    <row r="4" spans="1:8" ht="20.100000000000001" customHeight="1" x14ac:dyDescent="0.25">
      <c r="A4" s="171" t="s">
        <v>497</v>
      </c>
      <c r="B4" s="171" t="s">
        <v>498</v>
      </c>
      <c r="C4" s="171" t="s">
        <v>499</v>
      </c>
      <c r="D4" s="171" t="s">
        <v>500</v>
      </c>
      <c r="E4" s="171" t="s">
        <v>501</v>
      </c>
      <c r="G4" s="153" t="s">
        <v>222</v>
      </c>
      <c r="H4" s="153" t="s">
        <v>489</v>
      </c>
    </row>
    <row r="5" spans="1:8" ht="20.100000000000001" customHeight="1" x14ac:dyDescent="0.25">
      <c r="A5" s="173" t="s">
        <v>502</v>
      </c>
      <c r="B5" s="174" t="s">
        <v>190</v>
      </c>
      <c r="C5" s="174" t="s">
        <v>191</v>
      </c>
      <c r="D5" s="179" t="str">
        <f>'3. Cuantificación Frecuencias'!$S$7</f>
        <v>A</v>
      </c>
      <c r="E5" s="175" t="s">
        <v>503</v>
      </c>
      <c r="G5" s="153" t="s">
        <v>248</v>
      </c>
      <c r="H5" s="153" t="s">
        <v>490</v>
      </c>
    </row>
    <row r="6" spans="1:8" ht="20.100000000000001" customHeight="1" x14ac:dyDescent="0.25">
      <c r="A6" s="173" t="s">
        <v>504</v>
      </c>
      <c r="B6" s="174" t="s">
        <v>190</v>
      </c>
      <c r="C6" s="174" t="s">
        <v>198</v>
      </c>
      <c r="D6" s="180" t="str">
        <f t="shared" ref="D6:D20" si="0">"U"</f>
        <v>U</v>
      </c>
      <c r="E6" s="175" t="s">
        <v>505</v>
      </c>
      <c r="G6" s="153" t="s">
        <v>491</v>
      </c>
      <c r="H6" s="153" t="s">
        <v>492</v>
      </c>
    </row>
    <row r="7" spans="1:8" ht="20.100000000000001" customHeight="1" x14ac:dyDescent="0.25">
      <c r="A7" s="173" t="s">
        <v>506</v>
      </c>
      <c r="B7" s="174" t="s">
        <v>190</v>
      </c>
      <c r="C7" s="174" t="s">
        <v>203</v>
      </c>
      <c r="D7" s="180" t="str">
        <f t="shared" si="0"/>
        <v>U</v>
      </c>
      <c r="E7" s="175" t="s">
        <v>505</v>
      </c>
      <c r="G7" s="153" t="s">
        <v>493</v>
      </c>
      <c r="H7" s="153" t="s">
        <v>494</v>
      </c>
    </row>
    <row r="8" spans="1:8" ht="20.100000000000001" customHeight="1" x14ac:dyDescent="0.25">
      <c r="A8" s="173" t="s">
        <v>507</v>
      </c>
      <c r="B8" s="174" t="s">
        <v>190</v>
      </c>
      <c r="C8" s="174" t="s">
        <v>207</v>
      </c>
      <c r="D8" s="180" t="str">
        <f t="shared" si="0"/>
        <v>U</v>
      </c>
      <c r="E8" s="175" t="s">
        <v>505</v>
      </c>
    </row>
    <row r="9" spans="1:8" ht="20.100000000000001" customHeight="1" x14ac:dyDescent="0.25">
      <c r="A9" s="173" t="s">
        <v>508</v>
      </c>
      <c r="B9" s="174" t="s">
        <v>190</v>
      </c>
      <c r="C9" s="174" t="s">
        <v>212</v>
      </c>
      <c r="D9" s="180" t="str">
        <f t="shared" si="0"/>
        <v>U</v>
      </c>
      <c r="E9" s="175" t="s">
        <v>505</v>
      </c>
    </row>
    <row r="10" spans="1:8" ht="20.100000000000001" customHeight="1" x14ac:dyDescent="0.25">
      <c r="A10" s="173" t="s">
        <v>509</v>
      </c>
      <c r="B10" s="174" t="s">
        <v>190</v>
      </c>
      <c r="C10" s="174" t="s">
        <v>215</v>
      </c>
      <c r="D10" s="180" t="str">
        <f t="shared" si="0"/>
        <v>U</v>
      </c>
      <c r="E10" s="175" t="s">
        <v>505</v>
      </c>
    </row>
    <row r="11" spans="1:8" ht="20.100000000000001" customHeight="1" x14ac:dyDescent="0.25">
      <c r="A11" s="173" t="s">
        <v>510</v>
      </c>
      <c r="B11" s="174" t="s">
        <v>190</v>
      </c>
      <c r="C11" s="174" t="s">
        <v>368</v>
      </c>
      <c r="D11" s="180" t="str">
        <f t="shared" si="0"/>
        <v>U</v>
      </c>
      <c r="E11" s="175" t="s">
        <v>505</v>
      </c>
    </row>
    <row r="12" spans="1:8" ht="20.100000000000001" customHeight="1" x14ac:dyDescent="0.25">
      <c r="A12" s="173" t="s">
        <v>511</v>
      </c>
      <c r="B12" s="174" t="s">
        <v>190</v>
      </c>
      <c r="C12" s="174" t="s">
        <v>369</v>
      </c>
      <c r="D12" s="180" t="str">
        <f t="shared" si="0"/>
        <v>U</v>
      </c>
      <c r="E12" s="175" t="s">
        <v>505</v>
      </c>
    </row>
    <row r="13" spans="1:8" ht="20.100000000000001" customHeight="1" x14ac:dyDescent="0.25">
      <c r="A13" s="173" t="s">
        <v>512</v>
      </c>
      <c r="B13" s="174" t="s">
        <v>190</v>
      </c>
      <c r="C13" s="174" t="s">
        <v>370</v>
      </c>
      <c r="D13" s="180" t="str">
        <f t="shared" si="0"/>
        <v>U</v>
      </c>
      <c r="E13" s="175" t="s">
        <v>505</v>
      </c>
    </row>
    <row r="14" spans="1:8" ht="20.100000000000001" customHeight="1" x14ac:dyDescent="0.25">
      <c r="A14" s="173" t="s">
        <v>513</v>
      </c>
      <c r="B14" s="174" t="s">
        <v>190</v>
      </c>
      <c r="C14" s="174" t="s">
        <v>371</v>
      </c>
      <c r="D14" s="180" t="str">
        <f t="shared" si="0"/>
        <v>U</v>
      </c>
      <c r="E14" s="175" t="s">
        <v>505</v>
      </c>
    </row>
    <row r="15" spans="1:8" ht="20.100000000000001" customHeight="1" x14ac:dyDescent="0.25">
      <c r="A15" s="173" t="s">
        <v>514</v>
      </c>
      <c r="B15" s="174" t="s">
        <v>190</v>
      </c>
      <c r="C15" s="174" t="s">
        <v>372</v>
      </c>
      <c r="D15" s="180" t="str">
        <f t="shared" si="0"/>
        <v>U</v>
      </c>
      <c r="E15" s="175" t="s">
        <v>505</v>
      </c>
    </row>
    <row r="16" spans="1:8" ht="20.100000000000001" customHeight="1" x14ac:dyDescent="0.25">
      <c r="A16" s="173" t="s">
        <v>515</v>
      </c>
      <c r="B16" s="174" t="s">
        <v>190</v>
      </c>
      <c r="C16" s="174" t="s">
        <v>381</v>
      </c>
      <c r="D16" s="180" t="str">
        <f t="shared" si="0"/>
        <v>U</v>
      </c>
      <c r="E16" s="175" t="s">
        <v>505</v>
      </c>
    </row>
    <row r="17" spans="1:5" ht="20.100000000000001" customHeight="1" x14ac:dyDescent="0.25">
      <c r="A17" s="173" t="s">
        <v>516</v>
      </c>
      <c r="B17" s="174" t="s">
        <v>190</v>
      </c>
      <c r="C17" s="174" t="s">
        <v>382</v>
      </c>
      <c r="D17" s="180" t="str">
        <f t="shared" si="0"/>
        <v>U</v>
      </c>
      <c r="E17" s="175" t="s">
        <v>505</v>
      </c>
    </row>
    <row r="18" spans="1:5" ht="20.100000000000001" customHeight="1" x14ac:dyDescent="0.25">
      <c r="A18" s="173" t="s">
        <v>517</v>
      </c>
      <c r="B18" s="174" t="s">
        <v>190</v>
      </c>
      <c r="C18" s="174" t="s">
        <v>383</v>
      </c>
      <c r="D18" s="180" t="str">
        <f t="shared" si="0"/>
        <v>U</v>
      </c>
      <c r="E18" s="175" t="s">
        <v>505</v>
      </c>
    </row>
    <row r="19" spans="1:5" ht="20.100000000000001" customHeight="1" x14ac:dyDescent="0.25">
      <c r="A19" s="173" t="s">
        <v>518</v>
      </c>
      <c r="B19" s="174" t="s">
        <v>190</v>
      </c>
      <c r="C19" s="174" t="s">
        <v>519</v>
      </c>
      <c r="D19" s="180" t="str">
        <f t="shared" si="0"/>
        <v>U</v>
      </c>
      <c r="E19" s="175" t="s">
        <v>505</v>
      </c>
    </row>
    <row r="20" spans="1:5" ht="20.100000000000001" customHeight="1" x14ac:dyDescent="0.25">
      <c r="A20" s="173" t="s">
        <v>520</v>
      </c>
      <c r="B20" s="174" t="s">
        <v>190</v>
      </c>
      <c r="C20" s="174" t="s">
        <v>521</v>
      </c>
      <c r="D20" s="180" t="str">
        <f t="shared" si="0"/>
        <v>U</v>
      </c>
      <c r="E20" s="175" t="s">
        <v>505</v>
      </c>
    </row>
    <row r="21" spans="1:5" ht="20.100000000000001" customHeight="1" x14ac:dyDescent="0.25">
      <c r="A21" s="173" t="s">
        <v>522</v>
      </c>
      <c r="B21" s="174" t="s">
        <v>191</v>
      </c>
      <c r="C21" s="174" t="s">
        <v>198</v>
      </c>
      <c r="D21" s="181" t="str">
        <f>'3. Cuantificación Frecuencias'!$S$9</f>
        <v>E</v>
      </c>
      <c r="E21" s="175" t="s">
        <v>523</v>
      </c>
    </row>
    <row r="22" spans="1:5" ht="20.100000000000001" customHeight="1" x14ac:dyDescent="0.25">
      <c r="A22" s="173" t="s">
        <v>524</v>
      </c>
      <c r="B22" s="174" t="s">
        <v>191</v>
      </c>
      <c r="C22" s="174" t="s">
        <v>203</v>
      </c>
      <c r="D22" s="180" t="str">
        <f>"U"</f>
        <v>U</v>
      </c>
      <c r="E22" s="175" t="s">
        <v>505</v>
      </c>
    </row>
    <row r="23" spans="1:5" ht="20.100000000000001" customHeight="1" x14ac:dyDescent="0.25">
      <c r="A23" s="173" t="s">
        <v>525</v>
      </c>
      <c r="B23" s="174" t="s">
        <v>191</v>
      </c>
      <c r="C23" s="174" t="s">
        <v>207</v>
      </c>
      <c r="D23" s="180" t="str">
        <f>"U"</f>
        <v>U</v>
      </c>
      <c r="E23" s="175" t="s">
        <v>505</v>
      </c>
    </row>
    <row r="24" spans="1:5" ht="20.100000000000001" customHeight="1" x14ac:dyDescent="0.25">
      <c r="A24" s="173" t="s">
        <v>526</v>
      </c>
      <c r="B24" s="174" t="s">
        <v>191</v>
      </c>
      <c r="C24" s="174" t="s">
        <v>212</v>
      </c>
      <c r="D24" s="180" t="str">
        <f>"U"</f>
        <v>U</v>
      </c>
      <c r="E24" s="175" t="s">
        <v>505</v>
      </c>
    </row>
    <row r="25" spans="1:5" ht="20.100000000000001" customHeight="1" x14ac:dyDescent="0.25">
      <c r="A25" s="173" t="s">
        <v>527</v>
      </c>
      <c r="B25" s="174" t="s">
        <v>191</v>
      </c>
      <c r="C25" s="174" t="s">
        <v>215</v>
      </c>
      <c r="D25" s="180" t="str">
        <f>"U"</f>
        <v>U</v>
      </c>
      <c r="E25" s="175" t="s">
        <v>505</v>
      </c>
    </row>
    <row r="26" spans="1:5" ht="20.100000000000001" customHeight="1" x14ac:dyDescent="0.25">
      <c r="A26" s="173" t="s">
        <v>528</v>
      </c>
      <c r="B26" s="174" t="s">
        <v>191</v>
      </c>
      <c r="C26" s="174" t="s">
        <v>368</v>
      </c>
      <c r="D26" s="181" t="str">
        <f>'3. Cuantificación Frecuencias'!$S$15</f>
        <v>E</v>
      </c>
      <c r="E26" s="175" t="s">
        <v>529</v>
      </c>
    </row>
    <row r="27" spans="1:5" ht="20.100000000000001" customHeight="1" x14ac:dyDescent="0.25">
      <c r="A27" s="173" t="s">
        <v>530</v>
      </c>
      <c r="B27" s="174" t="s">
        <v>191</v>
      </c>
      <c r="C27" s="174" t="s">
        <v>369</v>
      </c>
      <c r="D27" s="180" t="str">
        <f t="shared" ref="D27:D35" si="1">"U"</f>
        <v>U</v>
      </c>
      <c r="E27" s="175" t="s">
        <v>505</v>
      </c>
    </row>
    <row r="28" spans="1:5" ht="20.100000000000001" customHeight="1" x14ac:dyDescent="0.25">
      <c r="A28" s="173" t="s">
        <v>531</v>
      </c>
      <c r="B28" s="174" t="s">
        <v>191</v>
      </c>
      <c r="C28" s="174" t="s">
        <v>370</v>
      </c>
      <c r="D28" s="180" t="str">
        <f t="shared" si="1"/>
        <v>U</v>
      </c>
      <c r="E28" s="175" t="s">
        <v>505</v>
      </c>
    </row>
    <row r="29" spans="1:5" ht="20.100000000000001" customHeight="1" x14ac:dyDescent="0.25">
      <c r="A29" s="173" t="s">
        <v>532</v>
      </c>
      <c r="B29" s="174" t="s">
        <v>191</v>
      </c>
      <c r="C29" s="174" t="s">
        <v>371</v>
      </c>
      <c r="D29" s="180" t="str">
        <f t="shared" si="1"/>
        <v>U</v>
      </c>
      <c r="E29" s="175" t="s">
        <v>505</v>
      </c>
    </row>
    <row r="30" spans="1:5" ht="20.100000000000001" customHeight="1" x14ac:dyDescent="0.25">
      <c r="A30" s="173" t="s">
        <v>533</v>
      </c>
      <c r="B30" s="174" t="s">
        <v>191</v>
      </c>
      <c r="C30" s="174" t="s">
        <v>372</v>
      </c>
      <c r="D30" s="180" t="str">
        <f t="shared" si="1"/>
        <v>U</v>
      </c>
      <c r="E30" s="175" t="s">
        <v>505</v>
      </c>
    </row>
    <row r="31" spans="1:5" ht="20.100000000000001" customHeight="1" x14ac:dyDescent="0.25">
      <c r="A31" s="173" t="s">
        <v>534</v>
      </c>
      <c r="B31" s="174" t="s">
        <v>191</v>
      </c>
      <c r="C31" s="174" t="s">
        <v>381</v>
      </c>
      <c r="D31" s="180" t="str">
        <f t="shared" si="1"/>
        <v>U</v>
      </c>
      <c r="E31" s="175" t="s">
        <v>505</v>
      </c>
    </row>
    <row r="32" spans="1:5" ht="20.100000000000001" customHeight="1" x14ac:dyDescent="0.25">
      <c r="A32" s="173" t="s">
        <v>535</v>
      </c>
      <c r="B32" s="174" t="s">
        <v>191</v>
      </c>
      <c r="C32" s="174" t="s">
        <v>382</v>
      </c>
      <c r="D32" s="180" t="str">
        <f t="shared" si="1"/>
        <v>U</v>
      </c>
      <c r="E32" s="175" t="s">
        <v>505</v>
      </c>
    </row>
    <row r="33" spans="1:5" ht="20.100000000000001" customHeight="1" x14ac:dyDescent="0.25">
      <c r="A33" s="173" t="s">
        <v>536</v>
      </c>
      <c r="B33" s="174" t="s">
        <v>191</v>
      </c>
      <c r="C33" s="174" t="s">
        <v>383</v>
      </c>
      <c r="D33" s="180" t="str">
        <f t="shared" si="1"/>
        <v>U</v>
      </c>
      <c r="E33" s="175" t="s">
        <v>505</v>
      </c>
    </row>
    <row r="34" spans="1:5" ht="20.100000000000001" customHeight="1" x14ac:dyDescent="0.25">
      <c r="A34" s="173" t="s">
        <v>537</v>
      </c>
      <c r="B34" s="174" t="s">
        <v>191</v>
      </c>
      <c r="C34" s="174" t="s">
        <v>519</v>
      </c>
      <c r="D34" s="180" t="str">
        <f t="shared" si="1"/>
        <v>U</v>
      </c>
      <c r="E34" s="175" t="s">
        <v>505</v>
      </c>
    </row>
    <row r="35" spans="1:5" ht="20.100000000000001" customHeight="1" x14ac:dyDescent="0.25">
      <c r="A35" s="173" t="s">
        <v>538</v>
      </c>
      <c r="B35" s="174" t="s">
        <v>191</v>
      </c>
      <c r="C35" s="174" t="s">
        <v>521</v>
      </c>
      <c r="D35" s="180" t="str">
        <f t="shared" si="1"/>
        <v>U</v>
      </c>
      <c r="E35" s="175" t="s">
        <v>505</v>
      </c>
    </row>
    <row r="36" spans="1:5" ht="20.100000000000001" customHeight="1" x14ac:dyDescent="0.25">
      <c r="A36" s="173" t="s">
        <v>539</v>
      </c>
      <c r="B36" s="174" t="s">
        <v>198</v>
      </c>
      <c r="C36" s="174" t="s">
        <v>203</v>
      </c>
      <c r="D36" s="179" t="str">
        <f>'3. Cuantificación Frecuencias'!$S$10</f>
        <v>A</v>
      </c>
      <c r="E36" s="175" t="s">
        <v>540</v>
      </c>
    </row>
    <row r="37" spans="1:5" ht="20.100000000000001" customHeight="1" x14ac:dyDescent="0.25">
      <c r="A37" s="173" t="s">
        <v>541</v>
      </c>
      <c r="B37" s="174" t="s">
        <v>198</v>
      </c>
      <c r="C37" s="174" t="s">
        <v>207</v>
      </c>
      <c r="D37" s="180" t="str">
        <f>"U"</f>
        <v>U</v>
      </c>
      <c r="E37" s="175" t="s">
        <v>505</v>
      </c>
    </row>
    <row r="38" spans="1:5" ht="20.100000000000001" customHeight="1" x14ac:dyDescent="0.25">
      <c r="A38" s="173" t="s">
        <v>542</v>
      </c>
      <c r="B38" s="174" t="s">
        <v>198</v>
      </c>
      <c r="C38" s="174" t="s">
        <v>212</v>
      </c>
      <c r="D38" s="182" t="str">
        <f>'3. Cuantificación Frecuencias'!$S$24</f>
        <v>O</v>
      </c>
      <c r="E38" s="175" t="s">
        <v>543</v>
      </c>
    </row>
    <row r="39" spans="1:5" ht="20.100000000000001" customHeight="1" x14ac:dyDescent="0.25">
      <c r="A39" s="173" t="s">
        <v>544</v>
      </c>
      <c r="B39" s="174" t="s">
        <v>198</v>
      </c>
      <c r="C39" s="174" t="s">
        <v>215</v>
      </c>
      <c r="D39" s="180" t="str">
        <f t="shared" ref="D39:D47" si="2">"U"</f>
        <v>U</v>
      </c>
      <c r="E39" s="175" t="s">
        <v>505</v>
      </c>
    </row>
    <row r="40" spans="1:5" ht="20.100000000000001" customHeight="1" x14ac:dyDescent="0.25">
      <c r="A40" s="173" t="s">
        <v>545</v>
      </c>
      <c r="B40" s="174" t="s">
        <v>198</v>
      </c>
      <c r="C40" s="174" t="s">
        <v>368</v>
      </c>
      <c r="D40" s="180" t="str">
        <f t="shared" si="2"/>
        <v>U</v>
      </c>
      <c r="E40" s="175" t="s">
        <v>505</v>
      </c>
    </row>
    <row r="41" spans="1:5" ht="20.100000000000001" customHeight="1" x14ac:dyDescent="0.25">
      <c r="A41" s="173" t="s">
        <v>546</v>
      </c>
      <c r="B41" s="174" t="s">
        <v>198</v>
      </c>
      <c r="C41" s="174" t="s">
        <v>369</v>
      </c>
      <c r="D41" s="180" t="str">
        <f t="shared" si="2"/>
        <v>U</v>
      </c>
      <c r="E41" s="175" t="s">
        <v>505</v>
      </c>
    </row>
    <row r="42" spans="1:5" ht="20.100000000000001" customHeight="1" x14ac:dyDescent="0.25">
      <c r="A42" s="173" t="s">
        <v>547</v>
      </c>
      <c r="B42" s="174" t="s">
        <v>198</v>
      </c>
      <c r="C42" s="174" t="s">
        <v>370</v>
      </c>
      <c r="D42" s="180" t="str">
        <f t="shared" si="2"/>
        <v>U</v>
      </c>
      <c r="E42" s="175" t="s">
        <v>505</v>
      </c>
    </row>
    <row r="43" spans="1:5" ht="20.100000000000001" customHeight="1" x14ac:dyDescent="0.25">
      <c r="A43" s="173" t="s">
        <v>548</v>
      </c>
      <c r="B43" s="174" t="s">
        <v>198</v>
      </c>
      <c r="C43" s="174" t="s">
        <v>371</v>
      </c>
      <c r="D43" s="180" t="str">
        <f t="shared" si="2"/>
        <v>U</v>
      </c>
      <c r="E43" s="175" t="s">
        <v>505</v>
      </c>
    </row>
    <row r="44" spans="1:5" ht="20.100000000000001" customHeight="1" x14ac:dyDescent="0.25">
      <c r="A44" s="173" t="s">
        <v>549</v>
      </c>
      <c r="B44" s="174" t="s">
        <v>198</v>
      </c>
      <c r="C44" s="174" t="s">
        <v>372</v>
      </c>
      <c r="D44" s="180" t="str">
        <f t="shared" si="2"/>
        <v>U</v>
      </c>
      <c r="E44" s="175" t="s">
        <v>505</v>
      </c>
    </row>
    <row r="45" spans="1:5" ht="20.100000000000001" customHeight="1" x14ac:dyDescent="0.25">
      <c r="A45" s="173" t="s">
        <v>550</v>
      </c>
      <c r="B45" s="174" t="s">
        <v>198</v>
      </c>
      <c r="C45" s="174" t="s">
        <v>381</v>
      </c>
      <c r="D45" s="180" t="str">
        <f t="shared" si="2"/>
        <v>U</v>
      </c>
      <c r="E45" s="175" t="s">
        <v>505</v>
      </c>
    </row>
    <row r="46" spans="1:5" ht="20.100000000000001" customHeight="1" x14ac:dyDescent="0.25">
      <c r="A46" s="173" t="s">
        <v>551</v>
      </c>
      <c r="B46" s="174" t="s">
        <v>198</v>
      </c>
      <c r="C46" s="174" t="s">
        <v>382</v>
      </c>
      <c r="D46" s="180" t="str">
        <f t="shared" si="2"/>
        <v>U</v>
      </c>
      <c r="E46" s="175" t="s">
        <v>505</v>
      </c>
    </row>
    <row r="47" spans="1:5" ht="20.100000000000001" customHeight="1" x14ac:dyDescent="0.25">
      <c r="A47" s="173" t="s">
        <v>552</v>
      </c>
      <c r="B47" s="174" t="s">
        <v>198</v>
      </c>
      <c r="C47" s="174" t="s">
        <v>383</v>
      </c>
      <c r="D47" s="180" t="str">
        <f t="shared" si="2"/>
        <v>U</v>
      </c>
      <c r="E47" s="175" t="s">
        <v>505</v>
      </c>
    </row>
    <row r="48" spans="1:5" ht="20.100000000000001" customHeight="1" x14ac:dyDescent="0.25">
      <c r="A48" s="173" t="s">
        <v>553</v>
      </c>
      <c r="B48" s="174" t="s">
        <v>198</v>
      </c>
      <c r="C48" s="174" t="s">
        <v>519</v>
      </c>
      <c r="D48" s="182" t="str">
        <f>"O"</f>
        <v>O</v>
      </c>
      <c r="E48" s="175" t="s">
        <v>554</v>
      </c>
    </row>
    <row r="49" spans="1:5" ht="20.100000000000001" customHeight="1" x14ac:dyDescent="0.25">
      <c r="A49" s="173" t="s">
        <v>555</v>
      </c>
      <c r="B49" s="174" t="s">
        <v>198</v>
      </c>
      <c r="C49" s="174" t="s">
        <v>521</v>
      </c>
      <c r="D49" s="180" t="str">
        <f>"U"</f>
        <v>U</v>
      </c>
      <c r="E49" s="175" t="s">
        <v>505</v>
      </c>
    </row>
    <row r="50" spans="1:5" ht="20.100000000000001" customHeight="1" x14ac:dyDescent="0.25">
      <c r="A50" s="173" t="s">
        <v>556</v>
      </c>
      <c r="B50" s="174" t="s">
        <v>203</v>
      </c>
      <c r="C50" s="174" t="s">
        <v>207</v>
      </c>
      <c r="D50" s="179" t="str">
        <f>'3. Cuantificación Frecuencias'!$S$11</f>
        <v>A</v>
      </c>
      <c r="E50" s="175" t="s">
        <v>557</v>
      </c>
    </row>
    <row r="51" spans="1:5" ht="20.100000000000001" customHeight="1" x14ac:dyDescent="0.25">
      <c r="A51" s="173" t="s">
        <v>558</v>
      </c>
      <c r="B51" s="174" t="s">
        <v>203</v>
      </c>
      <c r="C51" s="174" t="s">
        <v>212</v>
      </c>
      <c r="D51" s="180" t="str">
        <f t="shared" ref="D51:D59" si="3">"U"</f>
        <v>U</v>
      </c>
      <c r="E51" s="175" t="s">
        <v>505</v>
      </c>
    </row>
    <row r="52" spans="1:5" ht="20.100000000000001" customHeight="1" x14ac:dyDescent="0.25">
      <c r="A52" s="173" t="s">
        <v>559</v>
      </c>
      <c r="B52" s="174" t="s">
        <v>203</v>
      </c>
      <c r="C52" s="174" t="s">
        <v>215</v>
      </c>
      <c r="D52" s="180" t="str">
        <f t="shared" si="3"/>
        <v>U</v>
      </c>
      <c r="E52" s="175" t="s">
        <v>505</v>
      </c>
    </row>
    <row r="53" spans="1:5" ht="20.100000000000001" customHeight="1" x14ac:dyDescent="0.25">
      <c r="A53" s="173" t="s">
        <v>560</v>
      </c>
      <c r="B53" s="174" t="s">
        <v>203</v>
      </c>
      <c r="C53" s="174" t="s">
        <v>368</v>
      </c>
      <c r="D53" s="180" t="str">
        <f t="shared" si="3"/>
        <v>U</v>
      </c>
      <c r="E53" s="175" t="s">
        <v>505</v>
      </c>
    </row>
    <row r="54" spans="1:5" ht="20.100000000000001" customHeight="1" x14ac:dyDescent="0.25">
      <c r="A54" s="173" t="s">
        <v>561</v>
      </c>
      <c r="B54" s="174" t="s">
        <v>203</v>
      </c>
      <c r="C54" s="174" t="s">
        <v>369</v>
      </c>
      <c r="D54" s="180" t="str">
        <f t="shared" si="3"/>
        <v>U</v>
      </c>
      <c r="E54" s="175" t="s">
        <v>505</v>
      </c>
    </row>
    <row r="55" spans="1:5" ht="20.100000000000001" customHeight="1" x14ac:dyDescent="0.25">
      <c r="A55" s="173" t="s">
        <v>562</v>
      </c>
      <c r="B55" s="174" t="s">
        <v>203</v>
      </c>
      <c r="C55" s="174" t="s">
        <v>370</v>
      </c>
      <c r="D55" s="180" t="str">
        <f t="shared" si="3"/>
        <v>U</v>
      </c>
      <c r="E55" s="175" t="s">
        <v>505</v>
      </c>
    </row>
    <row r="56" spans="1:5" ht="20.100000000000001" customHeight="1" x14ac:dyDescent="0.25">
      <c r="A56" s="173" t="s">
        <v>563</v>
      </c>
      <c r="B56" s="174" t="s">
        <v>203</v>
      </c>
      <c r="C56" s="174" t="s">
        <v>371</v>
      </c>
      <c r="D56" s="180" t="str">
        <f t="shared" si="3"/>
        <v>U</v>
      </c>
      <c r="E56" s="175" t="s">
        <v>505</v>
      </c>
    </row>
    <row r="57" spans="1:5" ht="20.100000000000001" customHeight="1" x14ac:dyDescent="0.25">
      <c r="A57" s="173" t="s">
        <v>564</v>
      </c>
      <c r="B57" s="174" t="s">
        <v>203</v>
      </c>
      <c r="C57" s="174" t="s">
        <v>372</v>
      </c>
      <c r="D57" s="180" t="str">
        <f t="shared" si="3"/>
        <v>U</v>
      </c>
      <c r="E57" s="175" t="s">
        <v>505</v>
      </c>
    </row>
    <row r="58" spans="1:5" ht="20.100000000000001" customHeight="1" x14ac:dyDescent="0.25">
      <c r="A58" s="173" t="s">
        <v>565</v>
      </c>
      <c r="B58" s="174" t="s">
        <v>203</v>
      </c>
      <c r="C58" s="174" t="s">
        <v>381</v>
      </c>
      <c r="D58" s="180" t="str">
        <f t="shared" si="3"/>
        <v>U</v>
      </c>
      <c r="E58" s="175" t="s">
        <v>505</v>
      </c>
    </row>
    <row r="59" spans="1:5" ht="20.100000000000001" customHeight="1" x14ac:dyDescent="0.25">
      <c r="A59" s="173" t="s">
        <v>566</v>
      </c>
      <c r="B59" s="174" t="s">
        <v>203</v>
      </c>
      <c r="C59" s="174" t="s">
        <v>382</v>
      </c>
      <c r="D59" s="180" t="str">
        <f t="shared" si="3"/>
        <v>U</v>
      </c>
      <c r="E59" s="175" t="s">
        <v>505</v>
      </c>
    </row>
    <row r="60" spans="1:5" ht="20.100000000000001" customHeight="1" x14ac:dyDescent="0.25">
      <c r="A60" s="173" t="s">
        <v>567</v>
      </c>
      <c r="B60" s="174" t="s">
        <v>203</v>
      </c>
      <c r="C60" s="174" t="s">
        <v>383</v>
      </c>
      <c r="D60" s="182" t="str">
        <f>'3. Cuantificación Frecuencias'!$S$25</f>
        <v>O</v>
      </c>
      <c r="E60" s="175" t="s">
        <v>568</v>
      </c>
    </row>
    <row r="61" spans="1:5" ht="20.100000000000001" customHeight="1" x14ac:dyDescent="0.25">
      <c r="A61" s="173" t="s">
        <v>569</v>
      </c>
      <c r="B61" s="174" t="s">
        <v>203</v>
      </c>
      <c r="C61" s="174" t="s">
        <v>519</v>
      </c>
      <c r="D61" s="180" t="str">
        <f>"U"</f>
        <v>U</v>
      </c>
      <c r="E61" s="175" t="s">
        <v>505</v>
      </c>
    </row>
    <row r="62" spans="1:5" ht="20.100000000000001" customHeight="1" x14ac:dyDescent="0.25">
      <c r="A62" s="173" t="s">
        <v>570</v>
      </c>
      <c r="B62" s="174" t="s">
        <v>203</v>
      </c>
      <c r="C62" s="174" t="s">
        <v>521</v>
      </c>
      <c r="D62" s="180" t="str">
        <f>"U"</f>
        <v>U</v>
      </c>
      <c r="E62" s="175" t="s">
        <v>505</v>
      </c>
    </row>
    <row r="63" spans="1:5" ht="20.100000000000001" customHeight="1" x14ac:dyDescent="0.25">
      <c r="A63" s="173" t="s">
        <v>571</v>
      </c>
      <c r="B63" s="174" t="s">
        <v>207</v>
      </c>
      <c r="C63" s="174" t="s">
        <v>212</v>
      </c>
      <c r="D63" s="179" t="str">
        <f>'3. Cuantificación Frecuencias'!$S$12</f>
        <v>A</v>
      </c>
      <c r="E63" s="175" t="s">
        <v>572</v>
      </c>
    </row>
    <row r="64" spans="1:5" ht="20.100000000000001" customHeight="1" x14ac:dyDescent="0.25">
      <c r="A64" s="173" t="s">
        <v>573</v>
      </c>
      <c r="B64" s="174" t="s">
        <v>207</v>
      </c>
      <c r="C64" s="174" t="s">
        <v>215</v>
      </c>
      <c r="D64" s="180" t="str">
        <f>"U"</f>
        <v>U</v>
      </c>
      <c r="E64" s="175" t="s">
        <v>505</v>
      </c>
    </row>
    <row r="65" spans="1:5" ht="20.100000000000001" customHeight="1" x14ac:dyDescent="0.25">
      <c r="A65" s="173" t="s">
        <v>574</v>
      </c>
      <c r="B65" s="174" t="s">
        <v>207</v>
      </c>
      <c r="C65" s="174" t="s">
        <v>368</v>
      </c>
      <c r="D65" s="180" t="str">
        <f>"U"</f>
        <v>U</v>
      </c>
      <c r="E65" s="175" t="s">
        <v>505</v>
      </c>
    </row>
    <row r="66" spans="1:5" ht="20.100000000000001" customHeight="1" x14ac:dyDescent="0.25">
      <c r="A66" s="173" t="s">
        <v>575</v>
      </c>
      <c r="B66" s="174" t="s">
        <v>207</v>
      </c>
      <c r="C66" s="174" t="s">
        <v>369</v>
      </c>
      <c r="D66" s="180" t="str">
        <f>"U"</f>
        <v>U</v>
      </c>
      <c r="E66" s="175" t="s">
        <v>505</v>
      </c>
    </row>
    <row r="67" spans="1:5" ht="20.100000000000001" customHeight="1" x14ac:dyDescent="0.25">
      <c r="A67" s="173" t="s">
        <v>576</v>
      </c>
      <c r="B67" s="174" t="s">
        <v>207</v>
      </c>
      <c r="C67" s="174" t="s">
        <v>370</v>
      </c>
      <c r="D67" s="180" t="str">
        <f>"U"</f>
        <v>U</v>
      </c>
      <c r="E67" s="175" t="s">
        <v>505</v>
      </c>
    </row>
    <row r="68" spans="1:5" ht="20.100000000000001" customHeight="1" x14ac:dyDescent="0.25">
      <c r="A68" s="173" t="s">
        <v>577</v>
      </c>
      <c r="B68" s="174" t="s">
        <v>207</v>
      </c>
      <c r="C68" s="174" t="s">
        <v>371</v>
      </c>
      <c r="D68" s="180" t="str">
        <f>"U"</f>
        <v>U</v>
      </c>
      <c r="E68" s="175" t="s">
        <v>505</v>
      </c>
    </row>
    <row r="69" spans="1:5" ht="20.100000000000001" customHeight="1" x14ac:dyDescent="0.25">
      <c r="A69" s="173" t="s">
        <v>578</v>
      </c>
      <c r="B69" s="174" t="s">
        <v>207</v>
      </c>
      <c r="C69" s="174" t="s">
        <v>372</v>
      </c>
      <c r="D69" s="183" t="str">
        <f>"X"</f>
        <v>X</v>
      </c>
      <c r="E69" s="175" t="s">
        <v>579</v>
      </c>
    </row>
    <row r="70" spans="1:5" ht="20.100000000000001" customHeight="1" x14ac:dyDescent="0.25">
      <c r="A70" s="173" t="s">
        <v>580</v>
      </c>
      <c r="B70" s="174" t="s">
        <v>207</v>
      </c>
      <c r="C70" s="174" t="s">
        <v>381</v>
      </c>
      <c r="D70" s="180" t="str">
        <f>"U"</f>
        <v>U</v>
      </c>
      <c r="E70" s="175" t="s">
        <v>505</v>
      </c>
    </row>
    <row r="71" spans="1:5" ht="20.100000000000001" customHeight="1" x14ac:dyDescent="0.25">
      <c r="A71" s="173" t="s">
        <v>581</v>
      </c>
      <c r="B71" s="174" t="s">
        <v>207</v>
      </c>
      <c r="C71" s="174" t="s">
        <v>382</v>
      </c>
      <c r="D71" s="180" t="str">
        <f>"U"</f>
        <v>U</v>
      </c>
      <c r="E71" s="175" t="s">
        <v>505</v>
      </c>
    </row>
    <row r="72" spans="1:5" ht="20.100000000000001" customHeight="1" x14ac:dyDescent="0.25">
      <c r="A72" s="173" t="s">
        <v>582</v>
      </c>
      <c r="B72" s="174" t="s">
        <v>207</v>
      </c>
      <c r="C72" s="174" t="s">
        <v>383</v>
      </c>
      <c r="D72" s="180" t="str">
        <f>"U"</f>
        <v>U</v>
      </c>
      <c r="E72" s="175" t="s">
        <v>505</v>
      </c>
    </row>
    <row r="73" spans="1:5" ht="20.100000000000001" customHeight="1" x14ac:dyDescent="0.25">
      <c r="A73" s="173" t="s">
        <v>583</v>
      </c>
      <c r="B73" s="174" t="s">
        <v>207</v>
      </c>
      <c r="C73" s="174" t="s">
        <v>519</v>
      </c>
      <c r="D73" s="180" t="str">
        <f>"U"</f>
        <v>U</v>
      </c>
      <c r="E73" s="175" t="s">
        <v>505</v>
      </c>
    </row>
    <row r="74" spans="1:5" ht="20.100000000000001" customHeight="1" x14ac:dyDescent="0.25">
      <c r="A74" s="173" t="s">
        <v>584</v>
      </c>
      <c r="B74" s="174" t="s">
        <v>207</v>
      </c>
      <c r="C74" s="174" t="s">
        <v>521</v>
      </c>
      <c r="D74" s="180" t="str">
        <f>"U"</f>
        <v>U</v>
      </c>
      <c r="E74" s="175" t="s">
        <v>505</v>
      </c>
    </row>
    <row r="75" spans="1:5" ht="20.100000000000001" customHeight="1" x14ac:dyDescent="0.25">
      <c r="A75" s="173" t="s">
        <v>585</v>
      </c>
      <c r="B75" s="174" t="s">
        <v>212</v>
      </c>
      <c r="C75" s="174" t="s">
        <v>215</v>
      </c>
      <c r="D75" s="179" t="str">
        <f>'3. Cuantificación Frecuencias'!$S$13</f>
        <v>A</v>
      </c>
      <c r="E75" s="175" t="s">
        <v>586</v>
      </c>
    </row>
    <row r="76" spans="1:5" ht="20.100000000000001" customHeight="1" x14ac:dyDescent="0.25">
      <c r="A76" s="173" t="s">
        <v>587</v>
      </c>
      <c r="B76" s="174" t="s">
        <v>212</v>
      </c>
      <c r="C76" s="174" t="s">
        <v>368</v>
      </c>
      <c r="D76" s="180" t="str">
        <f t="shared" ref="D76:D82" si="4">"U"</f>
        <v>U</v>
      </c>
      <c r="E76" s="175" t="s">
        <v>505</v>
      </c>
    </row>
    <row r="77" spans="1:5" ht="20.100000000000001" customHeight="1" x14ac:dyDescent="0.25">
      <c r="A77" s="173" t="s">
        <v>588</v>
      </c>
      <c r="B77" s="174" t="s">
        <v>212</v>
      </c>
      <c r="C77" s="174" t="s">
        <v>369</v>
      </c>
      <c r="D77" s="180" t="str">
        <f t="shared" si="4"/>
        <v>U</v>
      </c>
      <c r="E77" s="175" t="s">
        <v>505</v>
      </c>
    </row>
    <row r="78" spans="1:5" ht="20.100000000000001" customHeight="1" x14ac:dyDescent="0.25">
      <c r="A78" s="173" t="s">
        <v>589</v>
      </c>
      <c r="B78" s="174" t="s">
        <v>212</v>
      </c>
      <c r="C78" s="174" t="s">
        <v>370</v>
      </c>
      <c r="D78" s="180" t="str">
        <f t="shared" si="4"/>
        <v>U</v>
      </c>
      <c r="E78" s="175" t="s">
        <v>505</v>
      </c>
    </row>
    <row r="79" spans="1:5" ht="20.100000000000001" customHeight="1" x14ac:dyDescent="0.25">
      <c r="A79" s="173" t="s">
        <v>590</v>
      </c>
      <c r="B79" s="174" t="s">
        <v>212</v>
      </c>
      <c r="C79" s="174" t="s">
        <v>371</v>
      </c>
      <c r="D79" s="180" t="str">
        <f t="shared" si="4"/>
        <v>U</v>
      </c>
      <c r="E79" s="175" t="s">
        <v>505</v>
      </c>
    </row>
    <row r="80" spans="1:5" ht="20.100000000000001" customHeight="1" x14ac:dyDescent="0.25">
      <c r="A80" s="173" t="s">
        <v>591</v>
      </c>
      <c r="B80" s="174" t="s">
        <v>212</v>
      </c>
      <c r="C80" s="174" t="s">
        <v>372</v>
      </c>
      <c r="D80" s="180" t="str">
        <f t="shared" si="4"/>
        <v>U</v>
      </c>
      <c r="E80" s="175" t="s">
        <v>505</v>
      </c>
    </row>
    <row r="81" spans="1:5" ht="20.100000000000001" customHeight="1" x14ac:dyDescent="0.25">
      <c r="A81" s="173" t="s">
        <v>592</v>
      </c>
      <c r="B81" s="174" t="s">
        <v>212</v>
      </c>
      <c r="C81" s="174" t="s">
        <v>381</v>
      </c>
      <c r="D81" s="180" t="str">
        <f t="shared" si="4"/>
        <v>U</v>
      </c>
      <c r="E81" s="175" t="s">
        <v>505</v>
      </c>
    </row>
    <row r="82" spans="1:5" ht="20.100000000000001" customHeight="1" x14ac:dyDescent="0.25">
      <c r="A82" s="173" t="s">
        <v>593</v>
      </c>
      <c r="B82" s="174" t="s">
        <v>212</v>
      </c>
      <c r="C82" s="174" t="s">
        <v>382</v>
      </c>
      <c r="D82" s="180" t="str">
        <f t="shared" si="4"/>
        <v>U</v>
      </c>
      <c r="E82" s="175" t="s">
        <v>505</v>
      </c>
    </row>
    <row r="83" spans="1:5" ht="20.100000000000001" customHeight="1" x14ac:dyDescent="0.25">
      <c r="A83" s="173" t="s">
        <v>594</v>
      </c>
      <c r="B83" s="174" t="s">
        <v>212</v>
      </c>
      <c r="C83" s="174" t="s">
        <v>383</v>
      </c>
      <c r="D83" s="182" t="str">
        <f>'3. Cuantificación Frecuencias'!$S$26</f>
        <v>O</v>
      </c>
      <c r="E83" s="175" t="s">
        <v>595</v>
      </c>
    </row>
    <row r="84" spans="1:5" ht="20.100000000000001" customHeight="1" x14ac:dyDescent="0.25">
      <c r="A84" s="173" t="s">
        <v>596</v>
      </c>
      <c r="B84" s="174" t="s">
        <v>212</v>
      </c>
      <c r="C84" s="174" t="s">
        <v>519</v>
      </c>
      <c r="D84" s="180" t="str">
        <f>"U"</f>
        <v>U</v>
      </c>
      <c r="E84" s="175" t="s">
        <v>505</v>
      </c>
    </row>
    <row r="85" spans="1:5" ht="20.100000000000001" customHeight="1" x14ac:dyDescent="0.25">
      <c r="A85" s="173" t="s">
        <v>597</v>
      </c>
      <c r="B85" s="174" t="s">
        <v>212</v>
      </c>
      <c r="C85" s="174" t="s">
        <v>521</v>
      </c>
      <c r="D85" s="184" t="str">
        <f>'3. Cuantificación Frecuencias'!$S$30</f>
        <v>I</v>
      </c>
      <c r="E85" s="175" t="s">
        <v>598</v>
      </c>
    </row>
    <row r="86" spans="1:5" ht="20.100000000000001" customHeight="1" x14ac:dyDescent="0.25">
      <c r="A86" s="173" t="s">
        <v>599</v>
      </c>
      <c r="B86" s="174" t="s">
        <v>215</v>
      </c>
      <c r="C86" s="174" t="s">
        <v>368</v>
      </c>
      <c r="D86" s="180" t="str">
        <f t="shared" ref="D86:D91" si="5">"U"</f>
        <v>U</v>
      </c>
      <c r="E86" s="175" t="s">
        <v>505</v>
      </c>
    </row>
    <row r="87" spans="1:5" ht="20.100000000000001" customHeight="1" x14ac:dyDescent="0.25">
      <c r="A87" s="173" t="s">
        <v>600</v>
      </c>
      <c r="B87" s="174" t="s">
        <v>215</v>
      </c>
      <c r="C87" s="174" t="s">
        <v>369</v>
      </c>
      <c r="D87" s="180" t="str">
        <f t="shared" si="5"/>
        <v>U</v>
      </c>
      <c r="E87" s="175" t="s">
        <v>505</v>
      </c>
    </row>
    <row r="88" spans="1:5" ht="20.100000000000001" customHeight="1" x14ac:dyDescent="0.25">
      <c r="A88" s="173" t="s">
        <v>601</v>
      </c>
      <c r="B88" s="174" t="s">
        <v>215</v>
      </c>
      <c r="C88" s="174" t="s">
        <v>370</v>
      </c>
      <c r="D88" s="180" t="str">
        <f t="shared" si="5"/>
        <v>U</v>
      </c>
      <c r="E88" s="175" t="s">
        <v>505</v>
      </c>
    </row>
    <row r="89" spans="1:5" ht="20.100000000000001" customHeight="1" x14ac:dyDescent="0.25">
      <c r="A89" s="173" t="s">
        <v>602</v>
      </c>
      <c r="B89" s="174" t="s">
        <v>215</v>
      </c>
      <c r="C89" s="174" t="s">
        <v>371</v>
      </c>
      <c r="D89" s="180" t="str">
        <f t="shared" si="5"/>
        <v>U</v>
      </c>
      <c r="E89" s="175" t="s">
        <v>505</v>
      </c>
    </row>
    <row r="90" spans="1:5" ht="20.100000000000001" customHeight="1" x14ac:dyDescent="0.25">
      <c r="A90" s="173" t="s">
        <v>603</v>
      </c>
      <c r="B90" s="174" t="s">
        <v>215</v>
      </c>
      <c r="C90" s="174" t="s">
        <v>372</v>
      </c>
      <c r="D90" s="180" t="str">
        <f t="shared" si="5"/>
        <v>U</v>
      </c>
      <c r="E90" s="175" t="s">
        <v>505</v>
      </c>
    </row>
    <row r="91" spans="1:5" ht="20.100000000000001" customHeight="1" x14ac:dyDescent="0.25">
      <c r="A91" s="173" t="s">
        <v>604</v>
      </c>
      <c r="B91" s="174" t="s">
        <v>215</v>
      </c>
      <c r="C91" s="174" t="s">
        <v>381</v>
      </c>
      <c r="D91" s="180" t="str">
        <f t="shared" si="5"/>
        <v>U</v>
      </c>
      <c r="E91" s="175" t="s">
        <v>505</v>
      </c>
    </row>
    <row r="92" spans="1:5" ht="20.100000000000001" customHeight="1" x14ac:dyDescent="0.25">
      <c r="A92" s="173" t="s">
        <v>605</v>
      </c>
      <c r="B92" s="174" t="s">
        <v>215</v>
      </c>
      <c r="C92" s="174" t="s">
        <v>382</v>
      </c>
      <c r="D92" s="184" t="str">
        <f>'3. Cuantificación Frecuencias'!$S$14</f>
        <v>I</v>
      </c>
      <c r="E92" s="175" t="s">
        <v>606</v>
      </c>
    </row>
    <row r="93" spans="1:5" ht="20.100000000000001" customHeight="1" x14ac:dyDescent="0.25">
      <c r="A93" s="173" t="s">
        <v>607</v>
      </c>
      <c r="B93" s="174" t="s">
        <v>215</v>
      </c>
      <c r="C93" s="174" t="s">
        <v>383</v>
      </c>
      <c r="D93" s="180" t="str">
        <f>"U"</f>
        <v>U</v>
      </c>
      <c r="E93" s="175" t="s">
        <v>505</v>
      </c>
    </row>
    <row r="94" spans="1:5" ht="20.100000000000001" customHeight="1" x14ac:dyDescent="0.25">
      <c r="A94" s="173" t="s">
        <v>608</v>
      </c>
      <c r="B94" s="174" t="s">
        <v>215</v>
      </c>
      <c r="C94" s="174" t="s">
        <v>519</v>
      </c>
      <c r="D94" s="180" t="str">
        <f>"U"</f>
        <v>U</v>
      </c>
      <c r="E94" s="175" t="s">
        <v>505</v>
      </c>
    </row>
    <row r="95" spans="1:5" ht="20.100000000000001" customHeight="1" x14ac:dyDescent="0.25">
      <c r="A95" s="173" t="s">
        <v>609</v>
      </c>
      <c r="B95" s="174" t="s">
        <v>215</v>
      </c>
      <c r="C95" s="174" t="s">
        <v>521</v>
      </c>
      <c r="D95" s="184" t="str">
        <f>'3. Cuantificación Frecuencias'!$S$31</f>
        <v>I</v>
      </c>
      <c r="E95" s="175" t="s">
        <v>610</v>
      </c>
    </row>
    <row r="96" spans="1:5" ht="20.100000000000001" customHeight="1" x14ac:dyDescent="0.25">
      <c r="A96" s="173" t="s">
        <v>611</v>
      </c>
      <c r="B96" s="174" t="s">
        <v>368</v>
      </c>
      <c r="C96" s="174" t="s">
        <v>369</v>
      </c>
      <c r="D96" s="179" t="str">
        <f>'3. Cuantificación Frecuencias'!$S$16</f>
        <v>A</v>
      </c>
      <c r="E96" s="175" t="s">
        <v>612</v>
      </c>
    </row>
    <row r="97" spans="1:5" ht="20.100000000000001" customHeight="1" x14ac:dyDescent="0.25">
      <c r="A97" s="173" t="s">
        <v>613</v>
      </c>
      <c r="B97" s="174" t="s">
        <v>368</v>
      </c>
      <c r="C97" s="174" t="s">
        <v>370</v>
      </c>
      <c r="D97" s="180" t="str">
        <f t="shared" ref="D97:D102" si="6">"U"</f>
        <v>U</v>
      </c>
      <c r="E97" s="175" t="s">
        <v>505</v>
      </c>
    </row>
    <row r="98" spans="1:5" ht="20.100000000000001" customHeight="1" x14ac:dyDescent="0.25">
      <c r="A98" s="173" t="s">
        <v>614</v>
      </c>
      <c r="B98" s="174" t="s">
        <v>368</v>
      </c>
      <c r="C98" s="174" t="s">
        <v>371</v>
      </c>
      <c r="D98" s="180" t="str">
        <f t="shared" si="6"/>
        <v>U</v>
      </c>
      <c r="E98" s="175" t="s">
        <v>505</v>
      </c>
    </row>
    <row r="99" spans="1:5" ht="20.100000000000001" customHeight="1" x14ac:dyDescent="0.25">
      <c r="A99" s="173" t="s">
        <v>615</v>
      </c>
      <c r="B99" s="174" t="s">
        <v>368</v>
      </c>
      <c r="C99" s="174" t="s">
        <v>372</v>
      </c>
      <c r="D99" s="180" t="str">
        <f t="shared" si="6"/>
        <v>U</v>
      </c>
      <c r="E99" s="175" t="s">
        <v>505</v>
      </c>
    </row>
    <row r="100" spans="1:5" ht="20.100000000000001" customHeight="1" x14ac:dyDescent="0.25">
      <c r="A100" s="173" t="s">
        <v>616</v>
      </c>
      <c r="B100" s="174" t="s">
        <v>368</v>
      </c>
      <c r="C100" s="174" t="s">
        <v>381</v>
      </c>
      <c r="D100" s="180" t="str">
        <f t="shared" si="6"/>
        <v>U</v>
      </c>
      <c r="E100" s="175" t="s">
        <v>505</v>
      </c>
    </row>
    <row r="101" spans="1:5" ht="20.100000000000001" customHeight="1" x14ac:dyDescent="0.25">
      <c r="A101" s="173" t="s">
        <v>617</v>
      </c>
      <c r="B101" s="174" t="s">
        <v>368</v>
      </c>
      <c r="C101" s="174" t="s">
        <v>382</v>
      </c>
      <c r="D101" s="180" t="str">
        <f t="shared" si="6"/>
        <v>U</v>
      </c>
      <c r="E101" s="175" t="s">
        <v>505</v>
      </c>
    </row>
    <row r="102" spans="1:5" ht="20.100000000000001" customHeight="1" x14ac:dyDescent="0.25">
      <c r="A102" s="173" t="s">
        <v>618</v>
      </c>
      <c r="B102" s="174" t="s">
        <v>368</v>
      </c>
      <c r="C102" s="174" t="s">
        <v>383</v>
      </c>
      <c r="D102" s="180" t="str">
        <f t="shared" si="6"/>
        <v>U</v>
      </c>
      <c r="E102" s="175" t="s">
        <v>505</v>
      </c>
    </row>
    <row r="103" spans="1:5" ht="20.100000000000001" customHeight="1" x14ac:dyDescent="0.25">
      <c r="A103" s="173" t="s">
        <v>619</v>
      </c>
      <c r="B103" s="174" t="s">
        <v>368</v>
      </c>
      <c r="C103" s="174" t="s">
        <v>519</v>
      </c>
      <c r="D103" s="182" t="str">
        <f>"O"</f>
        <v>O</v>
      </c>
      <c r="E103" s="175" t="s">
        <v>620</v>
      </c>
    </row>
    <row r="104" spans="1:5" ht="20.100000000000001" customHeight="1" x14ac:dyDescent="0.25">
      <c r="A104" s="173" t="s">
        <v>621</v>
      </c>
      <c r="B104" s="174" t="s">
        <v>368</v>
      </c>
      <c r="C104" s="174" t="s">
        <v>521</v>
      </c>
      <c r="D104" s="180" t="str">
        <f>"U"</f>
        <v>U</v>
      </c>
      <c r="E104" s="175" t="s">
        <v>505</v>
      </c>
    </row>
    <row r="105" spans="1:5" ht="20.100000000000001" customHeight="1" x14ac:dyDescent="0.25">
      <c r="A105" s="173" t="s">
        <v>622</v>
      </c>
      <c r="B105" s="174" t="s">
        <v>369</v>
      </c>
      <c r="C105" s="174" t="s">
        <v>370</v>
      </c>
      <c r="D105" s="181" t="str">
        <f>'3. Cuantificación Frecuencias'!$S$17</f>
        <v>E</v>
      </c>
      <c r="E105" s="175" t="s">
        <v>623</v>
      </c>
    </row>
    <row r="106" spans="1:5" ht="20.100000000000001" customHeight="1" x14ac:dyDescent="0.25">
      <c r="A106" s="173" t="s">
        <v>624</v>
      </c>
      <c r="B106" s="174" t="s">
        <v>369</v>
      </c>
      <c r="C106" s="174" t="s">
        <v>371</v>
      </c>
      <c r="D106" s="179" t="str">
        <f>'3. Cuantificación Frecuencias'!$S$18</f>
        <v>A</v>
      </c>
      <c r="E106" s="175" t="s">
        <v>625</v>
      </c>
    </row>
    <row r="107" spans="1:5" ht="20.100000000000001" customHeight="1" x14ac:dyDescent="0.25">
      <c r="A107" s="173" t="s">
        <v>626</v>
      </c>
      <c r="B107" s="174" t="s">
        <v>369</v>
      </c>
      <c r="C107" s="174" t="s">
        <v>372</v>
      </c>
      <c r="D107" s="180" t="str">
        <f t="shared" ref="D107:D112" si="7">"U"</f>
        <v>U</v>
      </c>
      <c r="E107" s="175" t="s">
        <v>505</v>
      </c>
    </row>
    <row r="108" spans="1:5" ht="20.100000000000001" customHeight="1" x14ac:dyDescent="0.25">
      <c r="A108" s="173" t="s">
        <v>627</v>
      </c>
      <c r="B108" s="174" t="s">
        <v>369</v>
      </c>
      <c r="C108" s="174" t="s">
        <v>381</v>
      </c>
      <c r="D108" s="180" t="str">
        <f t="shared" si="7"/>
        <v>U</v>
      </c>
      <c r="E108" s="175" t="s">
        <v>505</v>
      </c>
    </row>
    <row r="109" spans="1:5" ht="20.100000000000001" customHeight="1" x14ac:dyDescent="0.25">
      <c r="A109" s="173" t="s">
        <v>628</v>
      </c>
      <c r="B109" s="174" t="s">
        <v>369</v>
      </c>
      <c r="C109" s="174" t="s">
        <v>382</v>
      </c>
      <c r="D109" s="180" t="str">
        <f t="shared" si="7"/>
        <v>U</v>
      </c>
      <c r="E109" s="175" t="s">
        <v>505</v>
      </c>
    </row>
    <row r="110" spans="1:5" ht="20.100000000000001" customHeight="1" x14ac:dyDescent="0.25">
      <c r="A110" s="173" t="s">
        <v>629</v>
      </c>
      <c r="B110" s="174" t="s">
        <v>369</v>
      </c>
      <c r="C110" s="174" t="s">
        <v>383</v>
      </c>
      <c r="D110" s="180" t="str">
        <f t="shared" si="7"/>
        <v>U</v>
      </c>
      <c r="E110" s="175" t="s">
        <v>505</v>
      </c>
    </row>
    <row r="111" spans="1:5" ht="20.100000000000001" customHeight="1" x14ac:dyDescent="0.25">
      <c r="A111" s="173" t="s">
        <v>630</v>
      </c>
      <c r="B111" s="174" t="s">
        <v>369</v>
      </c>
      <c r="C111" s="174" t="s">
        <v>519</v>
      </c>
      <c r="D111" s="180" t="str">
        <f t="shared" si="7"/>
        <v>U</v>
      </c>
      <c r="E111" s="175" t="s">
        <v>505</v>
      </c>
    </row>
    <row r="112" spans="1:5" ht="20.100000000000001" customHeight="1" x14ac:dyDescent="0.25">
      <c r="A112" s="173" t="s">
        <v>631</v>
      </c>
      <c r="B112" s="174" t="s">
        <v>369</v>
      </c>
      <c r="C112" s="174" t="s">
        <v>521</v>
      </c>
      <c r="D112" s="180" t="str">
        <f t="shared" si="7"/>
        <v>U</v>
      </c>
      <c r="E112" s="175" t="s">
        <v>505</v>
      </c>
    </row>
    <row r="113" spans="1:5" ht="20.100000000000001" customHeight="1" x14ac:dyDescent="0.25">
      <c r="A113" s="173" t="s">
        <v>632</v>
      </c>
      <c r="B113" s="174" t="s">
        <v>370</v>
      </c>
      <c r="C113" s="174" t="s">
        <v>371</v>
      </c>
      <c r="D113" s="181" t="str">
        <f>'3. Cuantificación Frecuencias'!$S$19</f>
        <v>E</v>
      </c>
      <c r="E113" s="175" t="s">
        <v>633</v>
      </c>
    </row>
    <row r="114" spans="1:5" ht="20.100000000000001" customHeight="1" x14ac:dyDescent="0.25">
      <c r="A114" s="173" t="s">
        <v>634</v>
      </c>
      <c r="B114" s="174" t="s">
        <v>370</v>
      </c>
      <c r="C114" s="174" t="s">
        <v>372</v>
      </c>
      <c r="D114" s="180" t="str">
        <f t="shared" ref="D114:D119" si="8">"U"</f>
        <v>U</v>
      </c>
      <c r="E114" s="175" t="s">
        <v>505</v>
      </c>
    </row>
    <row r="115" spans="1:5" ht="20.100000000000001" customHeight="1" x14ac:dyDescent="0.25">
      <c r="A115" s="173" t="s">
        <v>635</v>
      </c>
      <c r="B115" s="174" t="s">
        <v>370</v>
      </c>
      <c r="C115" s="174" t="s">
        <v>381</v>
      </c>
      <c r="D115" s="180" t="str">
        <f t="shared" si="8"/>
        <v>U</v>
      </c>
      <c r="E115" s="175" t="s">
        <v>505</v>
      </c>
    </row>
    <row r="116" spans="1:5" ht="20.100000000000001" customHeight="1" x14ac:dyDescent="0.25">
      <c r="A116" s="173" t="s">
        <v>636</v>
      </c>
      <c r="B116" s="174" t="s">
        <v>370</v>
      </c>
      <c r="C116" s="174" t="s">
        <v>382</v>
      </c>
      <c r="D116" s="180" t="str">
        <f t="shared" si="8"/>
        <v>U</v>
      </c>
      <c r="E116" s="175" t="s">
        <v>505</v>
      </c>
    </row>
    <row r="117" spans="1:5" ht="20.100000000000001" customHeight="1" x14ac:dyDescent="0.25">
      <c r="A117" s="173" t="s">
        <v>637</v>
      </c>
      <c r="B117" s="174" t="s">
        <v>370</v>
      </c>
      <c r="C117" s="174" t="s">
        <v>383</v>
      </c>
      <c r="D117" s="180" t="str">
        <f t="shared" si="8"/>
        <v>U</v>
      </c>
      <c r="E117" s="175" t="s">
        <v>505</v>
      </c>
    </row>
    <row r="118" spans="1:5" ht="20.100000000000001" customHeight="1" x14ac:dyDescent="0.25">
      <c r="A118" s="173" t="s">
        <v>638</v>
      </c>
      <c r="B118" s="174" t="s">
        <v>370</v>
      </c>
      <c r="C118" s="174" t="s">
        <v>519</v>
      </c>
      <c r="D118" s="180" t="str">
        <f t="shared" si="8"/>
        <v>U</v>
      </c>
      <c r="E118" s="175" t="s">
        <v>505</v>
      </c>
    </row>
    <row r="119" spans="1:5" ht="20.100000000000001" customHeight="1" x14ac:dyDescent="0.25">
      <c r="A119" s="173" t="s">
        <v>639</v>
      </c>
      <c r="B119" s="174" t="s">
        <v>370</v>
      </c>
      <c r="C119" s="174" t="s">
        <v>521</v>
      </c>
      <c r="D119" s="180" t="str">
        <f t="shared" si="8"/>
        <v>U</v>
      </c>
      <c r="E119" s="175" t="s">
        <v>505</v>
      </c>
    </row>
    <row r="120" spans="1:5" ht="20.100000000000001" customHeight="1" x14ac:dyDescent="0.25">
      <c r="A120" s="173" t="s">
        <v>640</v>
      </c>
      <c r="B120" s="174" t="s">
        <v>371</v>
      </c>
      <c r="C120" s="174" t="s">
        <v>372</v>
      </c>
      <c r="D120" s="179" t="str">
        <f>'3. Cuantificación Frecuencias'!$S$20</f>
        <v>A</v>
      </c>
      <c r="E120" s="175" t="s">
        <v>641</v>
      </c>
    </row>
    <row r="121" spans="1:5" ht="20.100000000000001" customHeight="1" x14ac:dyDescent="0.25">
      <c r="A121" s="173" t="s">
        <v>642</v>
      </c>
      <c r="B121" s="174" t="s">
        <v>371</v>
      </c>
      <c r="C121" s="174" t="s">
        <v>381</v>
      </c>
      <c r="D121" s="180" t="str">
        <f>"U"</f>
        <v>U</v>
      </c>
      <c r="E121" s="175" t="s">
        <v>505</v>
      </c>
    </row>
    <row r="122" spans="1:5" ht="20.100000000000001" customHeight="1" x14ac:dyDescent="0.25">
      <c r="A122" s="173" t="s">
        <v>643</v>
      </c>
      <c r="B122" s="174" t="s">
        <v>371</v>
      </c>
      <c r="C122" s="174" t="s">
        <v>382</v>
      </c>
      <c r="D122" s="180" t="str">
        <f>"U"</f>
        <v>U</v>
      </c>
      <c r="E122" s="175" t="s">
        <v>505</v>
      </c>
    </row>
    <row r="123" spans="1:5" ht="20.100000000000001" customHeight="1" x14ac:dyDescent="0.25">
      <c r="A123" s="173" t="s">
        <v>644</v>
      </c>
      <c r="B123" s="174" t="s">
        <v>371</v>
      </c>
      <c r="C123" s="174" t="s">
        <v>383</v>
      </c>
      <c r="D123" s="180" t="str">
        <f>"U"</f>
        <v>U</v>
      </c>
      <c r="E123" s="175" t="s">
        <v>505</v>
      </c>
    </row>
    <row r="124" spans="1:5" ht="20.100000000000001" customHeight="1" x14ac:dyDescent="0.25">
      <c r="A124" s="173" t="s">
        <v>645</v>
      </c>
      <c r="B124" s="174" t="s">
        <v>371</v>
      </c>
      <c r="C124" s="174" t="s">
        <v>519</v>
      </c>
      <c r="D124" s="180" t="str">
        <f>"U"</f>
        <v>U</v>
      </c>
      <c r="E124" s="175" t="s">
        <v>505</v>
      </c>
    </row>
    <row r="125" spans="1:5" ht="20.100000000000001" customHeight="1" x14ac:dyDescent="0.25">
      <c r="A125" s="173" t="s">
        <v>646</v>
      </c>
      <c r="B125" s="174" t="s">
        <v>371</v>
      </c>
      <c r="C125" s="174" t="s">
        <v>521</v>
      </c>
      <c r="D125" s="180" t="str">
        <f>"U"</f>
        <v>U</v>
      </c>
      <c r="E125" s="175" t="s">
        <v>505</v>
      </c>
    </row>
    <row r="126" spans="1:5" ht="20.100000000000001" customHeight="1" x14ac:dyDescent="0.25">
      <c r="A126" s="173" t="s">
        <v>647</v>
      </c>
      <c r="B126" s="174" t="s">
        <v>372</v>
      </c>
      <c r="C126" s="174" t="s">
        <v>381</v>
      </c>
      <c r="D126" s="179" t="str">
        <f>'3. Cuantificación Frecuencias'!$S$21</f>
        <v>A</v>
      </c>
      <c r="E126" s="175" t="s">
        <v>648</v>
      </c>
    </row>
    <row r="127" spans="1:5" ht="20.100000000000001" customHeight="1" x14ac:dyDescent="0.25">
      <c r="A127" s="173" t="s">
        <v>649</v>
      </c>
      <c r="B127" s="174" t="s">
        <v>372</v>
      </c>
      <c r="C127" s="174" t="s">
        <v>382</v>
      </c>
      <c r="D127" s="180" t="str">
        <f>"U"</f>
        <v>U</v>
      </c>
      <c r="E127" s="175" t="s">
        <v>505</v>
      </c>
    </row>
    <row r="128" spans="1:5" ht="20.100000000000001" customHeight="1" x14ac:dyDescent="0.25">
      <c r="A128" s="173" t="s">
        <v>650</v>
      </c>
      <c r="B128" s="174" t="s">
        <v>372</v>
      </c>
      <c r="C128" s="174" t="s">
        <v>383</v>
      </c>
      <c r="D128" s="182" t="str">
        <f>'3. Cuantificación Frecuencias'!$S$27</f>
        <v>O</v>
      </c>
      <c r="E128" s="175" t="s">
        <v>651</v>
      </c>
    </row>
    <row r="129" spans="1:5" ht="20.100000000000001" customHeight="1" x14ac:dyDescent="0.25">
      <c r="A129" s="173" t="s">
        <v>652</v>
      </c>
      <c r="B129" s="174" t="s">
        <v>372</v>
      </c>
      <c r="C129" s="174" t="s">
        <v>519</v>
      </c>
      <c r="D129" s="180" t="str">
        <f>"U"</f>
        <v>U</v>
      </c>
      <c r="E129" s="175" t="s">
        <v>505</v>
      </c>
    </row>
    <row r="130" spans="1:5" ht="20.100000000000001" customHeight="1" x14ac:dyDescent="0.25">
      <c r="A130" s="173" t="s">
        <v>653</v>
      </c>
      <c r="B130" s="174" t="s">
        <v>372</v>
      </c>
      <c r="C130" s="174" t="s">
        <v>521</v>
      </c>
      <c r="D130" s="180" t="str">
        <f>"U"</f>
        <v>U</v>
      </c>
      <c r="E130" s="175" t="s">
        <v>505</v>
      </c>
    </row>
    <row r="131" spans="1:5" ht="20.100000000000001" customHeight="1" x14ac:dyDescent="0.25">
      <c r="A131" s="173" t="s">
        <v>654</v>
      </c>
      <c r="B131" s="174" t="s">
        <v>381</v>
      </c>
      <c r="C131" s="174" t="s">
        <v>382</v>
      </c>
      <c r="D131" s="184" t="str">
        <f>'3. Cuantificación Frecuencias'!$S$22</f>
        <v>I</v>
      </c>
      <c r="E131" s="175" t="s">
        <v>655</v>
      </c>
    </row>
    <row r="132" spans="1:5" ht="20.100000000000001" customHeight="1" x14ac:dyDescent="0.25">
      <c r="A132" s="173" t="s">
        <v>656</v>
      </c>
      <c r="B132" s="174" t="s">
        <v>381</v>
      </c>
      <c r="C132" s="174" t="s">
        <v>383</v>
      </c>
      <c r="D132" s="180" t="str">
        <f t="shared" ref="D132:D140" si="9">"U"</f>
        <v>U</v>
      </c>
      <c r="E132" s="175" t="s">
        <v>505</v>
      </c>
    </row>
    <row r="133" spans="1:5" ht="20.100000000000001" customHeight="1" x14ac:dyDescent="0.25">
      <c r="A133" s="173" t="s">
        <v>657</v>
      </c>
      <c r="B133" s="174" t="s">
        <v>381</v>
      </c>
      <c r="C133" s="174" t="s">
        <v>519</v>
      </c>
      <c r="D133" s="180" t="str">
        <f t="shared" si="9"/>
        <v>U</v>
      </c>
      <c r="E133" s="175" t="s">
        <v>505</v>
      </c>
    </row>
    <row r="134" spans="1:5" ht="20.100000000000001" customHeight="1" x14ac:dyDescent="0.25">
      <c r="A134" s="173" t="s">
        <v>658</v>
      </c>
      <c r="B134" s="174" t="s">
        <v>381</v>
      </c>
      <c r="C134" s="174" t="s">
        <v>521</v>
      </c>
      <c r="D134" s="180" t="str">
        <f t="shared" si="9"/>
        <v>U</v>
      </c>
      <c r="E134" s="175" t="s">
        <v>505</v>
      </c>
    </row>
    <row r="135" spans="1:5" ht="20.100000000000001" customHeight="1" x14ac:dyDescent="0.25">
      <c r="A135" s="173" t="s">
        <v>659</v>
      </c>
      <c r="B135" s="174" t="s">
        <v>382</v>
      </c>
      <c r="C135" s="174" t="s">
        <v>383</v>
      </c>
      <c r="D135" s="180" t="str">
        <f t="shared" si="9"/>
        <v>U</v>
      </c>
      <c r="E135" s="175" t="s">
        <v>505</v>
      </c>
    </row>
    <row r="136" spans="1:5" ht="20.100000000000001" customHeight="1" x14ac:dyDescent="0.25">
      <c r="A136" s="173" t="s">
        <v>660</v>
      </c>
      <c r="B136" s="174" t="s">
        <v>382</v>
      </c>
      <c r="C136" s="174" t="s">
        <v>519</v>
      </c>
      <c r="D136" s="180" t="str">
        <f t="shared" si="9"/>
        <v>U</v>
      </c>
      <c r="E136" s="175" t="s">
        <v>505</v>
      </c>
    </row>
    <row r="137" spans="1:5" ht="20.100000000000001" customHeight="1" x14ac:dyDescent="0.25">
      <c r="A137" s="173" t="s">
        <v>661</v>
      </c>
      <c r="B137" s="174" t="s">
        <v>382</v>
      </c>
      <c r="C137" s="174" t="s">
        <v>521</v>
      </c>
      <c r="D137" s="180" t="str">
        <f t="shared" si="9"/>
        <v>U</v>
      </c>
      <c r="E137" s="175" t="s">
        <v>505</v>
      </c>
    </row>
    <row r="138" spans="1:5" ht="20.100000000000001" customHeight="1" x14ac:dyDescent="0.25">
      <c r="A138" s="173" t="s">
        <v>662</v>
      </c>
      <c r="B138" s="174" t="s">
        <v>383</v>
      </c>
      <c r="C138" s="174" t="s">
        <v>519</v>
      </c>
      <c r="D138" s="180" t="str">
        <f t="shared" si="9"/>
        <v>U</v>
      </c>
      <c r="E138" s="175" t="s">
        <v>505</v>
      </c>
    </row>
    <row r="139" spans="1:5" ht="20.100000000000001" customHeight="1" x14ac:dyDescent="0.25">
      <c r="A139" s="173" t="s">
        <v>663</v>
      </c>
      <c r="B139" s="174" t="s">
        <v>383</v>
      </c>
      <c r="C139" s="174" t="s">
        <v>521</v>
      </c>
      <c r="D139" s="180" t="str">
        <f t="shared" si="9"/>
        <v>U</v>
      </c>
      <c r="E139" s="175" t="s">
        <v>505</v>
      </c>
    </row>
    <row r="140" spans="1:5" ht="20.100000000000001" customHeight="1" x14ac:dyDescent="0.25">
      <c r="A140" s="176" t="s">
        <v>664</v>
      </c>
      <c r="B140" s="177" t="s">
        <v>519</v>
      </c>
      <c r="C140" s="177" t="s">
        <v>521</v>
      </c>
      <c r="D140" s="185" t="str">
        <f t="shared" si="9"/>
        <v>U</v>
      </c>
      <c r="E140" s="178" t="s">
        <v>505</v>
      </c>
    </row>
    <row r="141" spans="1:5" ht="20.100000000000001" customHeight="1" x14ac:dyDescent="0.25">
      <c r="A141" s="152"/>
      <c r="B141" s="155"/>
      <c r="C141" s="155"/>
      <c r="D141" s="154"/>
      <c r="E141" s="155"/>
    </row>
    <row r="142" spans="1:5" ht="20.100000000000001" customHeight="1" x14ac:dyDescent="0.25">
      <c r="A142" s="152"/>
      <c r="B142" s="155"/>
      <c r="C142" s="155"/>
      <c r="D142" s="154"/>
      <c r="E142" s="155"/>
    </row>
    <row r="143" spans="1:5" ht="20.100000000000001" customHeight="1" x14ac:dyDescent="0.25">
      <c r="A143" s="152"/>
      <c r="B143" s="155"/>
      <c r="C143" s="155"/>
      <c r="D143" s="154"/>
      <c r="E143" s="155"/>
    </row>
    <row r="144" spans="1:5" ht="20.100000000000001" customHeight="1" x14ac:dyDescent="0.25">
      <c r="A144" s="152"/>
      <c r="B144" s="155"/>
      <c r="C144" s="155"/>
      <c r="D144" s="154"/>
      <c r="E144" s="155"/>
    </row>
    <row r="145" spans="1:5" ht="20.100000000000001" customHeight="1" x14ac:dyDescent="0.25">
      <c r="A145" s="152"/>
      <c r="B145" s="155"/>
      <c r="C145" s="155"/>
      <c r="D145" s="154"/>
      <c r="E145" s="155"/>
    </row>
    <row r="146" spans="1:5" ht="20.100000000000001" customHeight="1" x14ac:dyDescent="0.25">
      <c r="A146" s="152"/>
      <c r="B146" s="155"/>
      <c r="C146" s="155"/>
      <c r="D146" s="154"/>
      <c r="E146" s="155"/>
    </row>
    <row r="147" spans="1:5" ht="20.100000000000001" customHeight="1" x14ac:dyDescent="0.25">
      <c r="A147" s="152"/>
      <c r="B147" s="155"/>
      <c r="C147" s="155"/>
      <c r="D147" s="154"/>
      <c r="E147" s="155"/>
    </row>
    <row r="148" spans="1:5" ht="20.100000000000001" customHeight="1" x14ac:dyDescent="0.25">
      <c r="A148" s="152"/>
      <c r="B148" s="155"/>
      <c r="C148" s="155"/>
      <c r="D148" s="154"/>
      <c r="E148" s="155"/>
    </row>
    <row r="149" spans="1:5" ht="20.100000000000001" customHeight="1" x14ac:dyDescent="0.25">
      <c r="A149" s="152"/>
      <c r="B149" s="155"/>
      <c r="C149" s="155"/>
      <c r="D149" s="154"/>
      <c r="E149" s="155"/>
    </row>
    <row r="150" spans="1:5" ht="20.100000000000001" customHeight="1" x14ac:dyDescent="0.25">
      <c r="A150" s="152"/>
      <c r="B150" s="155"/>
      <c r="C150" s="155"/>
      <c r="D150" s="154"/>
      <c r="E150" s="155"/>
    </row>
    <row r="151" spans="1:5" ht="20.100000000000001" customHeight="1" x14ac:dyDescent="0.25">
      <c r="A151" s="152"/>
      <c r="B151" s="155"/>
      <c r="C151" s="155"/>
      <c r="D151" s="154"/>
      <c r="E151" s="155"/>
    </row>
    <row r="152" spans="1:5" ht="20.100000000000001" customHeight="1" x14ac:dyDescent="0.25">
      <c r="A152" s="152"/>
      <c r="B152" s="155"/>
      <c r="C152" s="155"/>
      <c r="D152" s="154"/>
      <c r="E152" s="155"/>
    </row>
    <row r="153" spans="1:5" ht="20.100000000000001" customHeight="1" x14ac:dyDescent="0.25">
      <c r="A153" s="152"/>
      <c r="B153" s="155"/>
      <c r="C153" s="155"/>
      <c r="D153" s="154"/>
      <c r="E153" s="155"/>
    </row>
    <row r="154" spans="1:5" ht="20.100000000000001" customHeight="1" x14ac:dyDescent="0.25">
      <c r="A154" s="152"/>
      <c r="B154" s="155"/>
      <c r="C154" s="155"/>
      <c r="D154" s="154"/>
      <c r="E154" s="155"/>
    </row>
    <row r="155" spans="1:5" ht="20.100000000000001" customHeight="1" x14ac:dyDescent="0.25">
      <c r="A155" s="152"/>
      <c r="B155" s="155"/>
      <c r="C155" s="155"/>
      <c r="D155" s="154"/>
      <c r="E155" s="155"/>
    </row>
    <row r="156" spans="1:5" ht="20.100000000000001" customHeight="1" x14ac:dyDescent="0.25">
      <c r="A156" s="152"/>
      <c r="B156" s="155"/>
      <c r="C156" s="155"/>
      <c r="D156" s="154"/>
      <c r="E156" s="155"/>
    </row>
    <row r="157" spans="1:5" ht="20.100000000000001" customHeight="1" x14ac:dyDescent="0.25">
      <c r="A157" s="152"/>
      <c r="B157" s="155"/>
      <c r="C157" s="155"/>
      <c r="D157" s="154"/>
      <c r="E157" s="155"/>
    </row>
    <row r="158" spans="1:5" ht="20.100000000000001" customHeight="1" x14ac:dyDescent="0.25">
      <c r="A158" s="152"/>
      <c r="B158" s="155"/>
      <c r="C158" s="155"/>
      <c r="D158" s="154"/>
      <c r="E158" s="155"/>
    </row>
    <row r="159" spans="1:5" ht="20.100000000000001" customHeight="1" x14ac:dyDescent="0.25">
      <c r="A159" s="152"/>
      <c r="B159" s="155"/>
      <c r="C159" s="155"/>
      <c r="D159" s="154"/>
      <c r="E159" s="155"/>
    </row>
    <row r="160" spans="1:5" ht="20.100000000000001" customHeight="1" x14ac:dyDescent="0.25">
      <c r="A160" s="152"/>
      <c r="B160" s="155"/>
      <c r="C160" s="155"/>
      <c r="D160" s="154"/>
      <c r="E160" s="155"/>
    </row>
    <row r="161" spans="1:5" ht="20.100000000000001" customHeight="1" x14ac:dyDescent="0.25">
      <c r="A161" s="152"/>
      <c r="B161" s="155"/>
      <c r="C161" s="155"/>
      <c r="D161" s="154"/>
      <c r="E161" s="155"/>
    </row>
    <row r="162" spans="1:5" ht="20.100000000000001" customHeight="1" x14ac:dyDescent="0.25">
      <c r="A162" s="152"/>
      <c r="B162" s="155"/>
      <c r="C162" s="155"/>
      <c r="D162" s="154"/>
      <c r="E162" s="155"/>
    </row>
    <row r="163" spans="1:5" ht="20.100000000000001" customHeight="1" x14ac:dyDescent="0.25">
      <c r="A163" s="152"/>
      <c r="B163" s="155"/>
      <c r="C163" s="155"/>
      <c r="D163" s="154"/>
      <c r="E163" s="155"/>
    </row>
    <row r="164" spans="1:5" ht="20.100000000000001" customHeight="1" x14ac:dyDescent="0.25">
      <c r="A164" s="152"/>
      <c r="B164" s="155"/>
      <c r="C164" s="155"/>
      <c r="D164" s="154"/>
      <c r="E164" s="155"/>
    </row>
    <row r="165" spans="1:5" ht="20.100000000000001" customHeight="1" x14ac:dyDescent="0.25">
      <c r="A165" s="152"/>
      <c r="B165" s="155"/>
      <c r="C165" s="155"/>
      <c r="D165" s="154"/>
      <c r="E165" s="155"/>
    </row>
    <row r="166" spans="1:5" ht="20.100000000000001" customHeight="1" x14ac:dyDescent="0.25">
      <c r="A166" s="152"/>
      <c r="B166" s="155"/>
      <c r="C166" s="155"/>
      <c r="D166" s="154"/>
      <c r="E166" s="155"/>
    </row>
    <row r="167" spans="1:5" ht="20.100000000000001" customHeight="1" x14ac:dyDescent="0.25">
      <c r="A167" s="152"/>
      <c r="B167" s="155"/>
      <c r="C167" s="155"/>
      <c r="D167" s="154"/>
      <c r="E167" s="155"/>
    </row>
    <row r="168" spans="1:5" ht="20.100000000000001" customHeight="1" x14ac:dyDescent="0.25">
      <c r="A168" s="152"/>
      <c r="B168" s="155"/>
      <c r="C168" s="155"/>
      <c r="D168" s="154"/>
      <c r="E168" s="155"/>
    </row>
    <row r="169" spans="1:5" ht="20.100000000000001" customHeight="1" x14ac:dyDescent="0.25">
      <c r="A169" s="152"/>
      <c r="B169" s="155"/>
      <c r="C169" s="155"/>
      <c r="D169" s="154"/>
      <c r="E169" s="155"/>
    </row>
    <row r="170" spans="1:5" ht="20.100000000000001" customHeight="1" x14ac:dyDescent="0.25">
      <c r="A170" s="152"/>
      <c r="B170" s="155"/>
      <c r="C170" s="155"/>
      <c r="D170" s="154"/>
      <c r="E170" s="155"/>
    </row>
    <row r="171" spans="1:5" ht="20.100000000000001" customHeight="1" x14ac:dyDescent="0.25">
      <c r="A171" s="152"/>
      <c r="B171" s="155"/>
      <c r="C171" s="155"/>
      <c r="D171" s="154"/>
      <c r="E171" s="155"/>
    </row>
    <row r="172" spans="1:5" ht="20.100000000000001" customHeight="1" x14ac:dyDescent="0.25">
      <c r="A172" s="152"/>
      <c r="B172" s="155"/>
      <c r="C172" s="155"/>
      <c r="D172" s="154"/>
      <c r="E172" s="155"/>
    </row>
    <row r="173" spans="1:5" ht="20.100000000000001" customHeight="1" x14ac:dyDescent="0.25">
      <c r="A173" s="152"/>
      <c r="B173" s="155"/>
      <c r="C173" s="155"/>
      <c r="D173" s="154"/>
      <c r="E173" s="155"/>
    </row>
    <row r="174" spans="1:5" ht="20.100000000000001" customHeight="1" x14ac:dyDescent="0.25">
      <c r="A174" s="152"/>
      <c r="B174" s="155"/>
      <c r="C174" s="155"/>
      <c r="D174" s="154"/>
      <c r="E174" s="155"/>
    </row>
    <row r="175" spans="1:5" ht="20.100000000000001" customHeight="1" x14ac:dyDescent="0.25">
      <c r="A175" s="152"/>
      <c r="B175" s="155"/>
      <c r="C175" s="155"/>
      <c r="D175" s="154"/>
      <c r="E175" s="155"/>
    </row>
    <row r="176" spans="1:5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</sheetData>
  <mergeCells count="3">
    <mergeCell ref="A1:E1"/>
    <mergeCell ref="A2:E2"/>
    <mergeCell ref="A3:E3"/>
  </mergeCells>
  <conditionalFormatting sqref="D5:D175">
    <cfRule type="expression" dxfId="11" priority="1">
      <formula>D5="A"</formula>
    </cfRule>
    <cfRule type="expression" dxfId="10" priority="2">
      <formula>D5="E"</formula>
    </cfRule>
    <cfRule type="expression" dxfId="9" priority="3">
      <formula>D5="I"</formula>
    </cfRule>
    <cfRule type="expression" dxfId="8" priority="4">
      <formula>D5="O"</formula>
    </cfRule>
    <cfRule type="expression" dxfId="7" priority="5">
      <formula>D5="U"</formula>
    </cfRule>
    <cfRule type="expression" dxfId="6" priority="6">
      <formula>D5="X"</formula>
    </cfRule>
  </conditionalFormatting>
  <dataValidations count="1">
    <dataValidation type="list" sqref="D5:D175" xr:uid="{00000000-0002-0000-0800-000000000000}">
      <formula1>"A,E,I,O,U,X"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60"/>
  <sheetViews>
    <sheetView topLeftCell="A28" zoomScale="85" zoomScaleNormal="85" workbookViewId="0">
      <selection activeCell="V58" sqref="V58"/>
    </sheetView>
  </sheetViews>
  <sheetFormatPr baseColWidth="10" defaultColWidth="9.140625" defaultRowHeight="15" x14ac:dyDescent="0.25"/>
  <cols>
    <col min="1" max="19" width="7.42578125" customWidth="1"/>
    <col min="20" max="20" width="3" customWidth="1"/>
    <col min="21" max="21" width="8.7109375" customWidth="1"/>
    <col min="22" max="22" width="23.7109375" customWidth="1"/>
    <col min="23" max="23" width="10" customWidth="1"/>
    <col min="24" max="24" width="27" customWidth="1"/>
  </cols>
  <sheetData>
    <row r="1" spans="1:24" ht="21" customHeight="1" x14ac:dyDescent="0.3">
      <c r="A1" s="240" t="s">
        <v>665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3"/>
      <c r="U1" s="243"/>
    </row>
    <row r="2" spans="1:24" ht="21" customHeight="1" x14ac:dyDescent="0.25">
      <c r="A2" s="244" t="s">
        <v>666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45"/>
    </row>
    <row r="3" spans="1:24" ht="21" customHeight="1" x14ac:dyDescent="0.25"/>
    <row r="4" spans="1:24" ht="21" customHeight="1" x14ac:dyDescent="0.25">
      <c r="B4" s="186" t="s">
        <v>667</v>
      </c>
      <c r="C4" s="186" t="s">
        <v>668</v>
      </c>
      <c r="D4" s="186" t="s">
        <v>669</v>
      </c>
      <c r="E4" s="186" t="s">
        <v>196</v>
      </c>
      <c r="F4" s="186" t="s">
        <v>670</v>
      </c>
      <c r="G4" s="186" t="s">
        <v>671</v>
      </c>
      <c r="H4" s="186" t="s">
        <v>672</v>
      </c>
      <c r="I4" s="186" t="s">
        <v>673</v>
      </c>
      <c r="J4" s="186" t="s">
        <v>674</v>
      </c>
      <c r="K4" s="186" t="s">
        <v>675</v>
      </c>
      <c r="L4" s="186" t="s">
        <v>676</v>
      </c>
      <c r="M4" s="186" t="s">
        <v>677</v>
      </c>
      <c r="N4" s="186" t="s">
        <v>678</v>
      </c>
      <c r="O4" s="186" t="s">
        <v>679</v>
      </c>
      <c r="P4" s="186" t="s">
        <v>680</v>
      </c>
      <c r="Q4" s="186" t="s">
        <v>681</v>
      </c>
      <c r="R4" s="186" t="s">
        <v>682</v>
      </c>
      <c r="S4" s="186" t="s">
        <v>683</v>
      </c>
      <c r="T4" s="157"/>
      <c r="U4" s="186" t="s">
        <v>485</v>
      </c>
      <c r="V4" s="172" t="s">
        <v>684</v>
      </c>
      <c r="W4" s="156" t="s">
        <v>485</v>
      </c>
      <c r="X4" s="156" t="s">
        <v>486</v>
      </c>
    </row>
    <row r="5" spans="1:24" ht="21" customHeight="1" x14ac:dyDescent="0.25">
      <c r="B5" s="187" t="s">
        <v>668</v>
      </c>
      <c r="C5" s="188" t="s">
        <v>9</v>
      </c>
      <c r="D5" s="179" t="str">
        <f>'8. Carga REL'!$D$5</f>
        <v>A</v>
      </c>
      <c r="E5" s="180" t="str">
        <f>'8. Carga REL'!$D$6</f>
        <v>U</v>
      </c>
      <c r="F5" s="180" t="str">
        <f>'8. Carga REL'!$D$7</f>
        <v>U</v>
      </c>
      <c r="G5" s="180" t="str">
        <f>'8. Carga REL'!$D$8</f>
        <v>U</v>
      </c>
      <c r="H5" s="180" t="str">
        <f>'8. Carga REL'!$D$9</f>
        <v>U</v>
      </c>
      <c r="I5" s="180" t="str">
        <f>'8. Carga REL'!$D$10</f>
        <v>U</v>
      </c>
      <c r="J5" s="180" t="str">
        <f>'8. Carga REL'!$D$11</f>
        <v>U</v>
      </c>
      <c r="K5" s="180" t="str">
        <f>'8. Carga REL'!$D$12</f>
        <v>U</v>
      </c>
      <c r="L5" s="180" t="str">
        <f>'8. Carga REL'!$D$13</f>
        <v>U</v>
      </c>
      <c r="M5" s="180" t="str">
        <f>'8. Carga REL'!$D$14</f>
        <v>U</v>
      </c>
      <c r="N5" s="180" t="str">
        <f>'8. Carga REL'!$D$15</f>
        <v>U</v>
      </c>
      <c r="O5" s="180" t="str">
        <f>'8. Carga REL'!$D$16</f>
        <v>U</v>
      </c>
      <c r="P5" s="180" t="str">
        <f>'8. Carga REL'!$D$17</f>
        <v>U</v>
      </c>
      <c r="Q5" s="180" t="str">
        <f>'8. Carga REL'!$D$18</f>
        <v>U</v>
      </c>
      <c r="R5" s="180" t="str">
        <f>'8. Carga REL'!$D$19</f>
        <v>U</v>
      </c>
      <c r="S5" s="180" t="str">
        <f>'8. Carga REL'!$D$20</f>
        <v>U</v>
      </c>
      <c r="T5" s="159"/>
      <c r="U5" s="179" t="s">
        <v>196</v>
      </c>
      <c r="V5" s="189" t="s">
        <v>685</v>
      </c>
      <c r="W5" s="160" t="s">
        <v>196</v>
      </c>
      <c r="X5" s="153" t="s">
        <v>487</v>
      </c>
    </row>
    <row r="6" spans="1:24" ht="21" customHeight="1" x14ac:dyDescent="0.25">
      <c r="B6" s="187" t="s">
        <v>669</v>
      </c>
      <c r="C6" s="179" t="str">
        <f>'8. Carga REL'!$D$5</f>
        <v>A</v>
      </c>
      <c r="D6" s="188" t="s">
        <v>9</v>
      </c>
      <c r="E6" s="181" t="str">
        <f>'8. Carga REL'!$D$21</f>
        <v>E</v>
      </c>
      <c r="F6" s="180" t="str">
        <f>'8. Carga REL'!$D$22</f>
        <v>U</v>
      </c>
      <c r="G6" s="180" t="str">
        <f>'8. Carga REL'!$D$23</f>
        <v>U</v>
      </c>
      <c r="H6" s="180" t="str">
        <f>'8. Carga REL'!$D$24</f>
        <v>U</v>
      </c>
      <c r="I6" s="180" t="str">
        <f>'8. Carga REL'!$D$25</f>
        <v>U</v>
      </c>
      <c r="J6" s="181" t="str">
        <f>'8. Carga REL'!$D$26</f>
        <v>E</v>
      </c>
      <c r="K6" s="180" t="str">
        <f>'8. Carga REL'!$D$27</f>
        <v>U</v>
      </c>
      <c r="L6" s="180" t="str">
        <f>'8. Carga REL'!$D$28</f>
        <v>U</v>
      </c>
      <c r="M6" s="180" t="str">
        <f>'8. Carga REL'!$D$29</f>
        <v>U</v>
      </c>
      <c r="N6" s="180" t="str">
        <f>'8. Carga REL'!$D$30</f>
        <v>U</v>
      </c>
      <c r="O6" s="180" t="str">
        <f>'8. Carga REL'!$D$31</f>
        <v>U</v>
      </c>
      <c r="P6" s="180" t="str">
        <f>'8. Carga REL'!$D$32</f>
        <v>U</v>
      </c>
      <c r="Q6" s="180" t="str">
        <f>'8. Carga REL'!$D$33</f>
        <v>U</v>
      </c>
      <c r="R6" s="180" t="str">
        <f>'8. Carga REL'!$D$34</f>
        <v>U</v>
      </c>
      <c r="S6" s="180" t="str">
        <f>'8. Carga REL'!$D$35</f>
        <v>U</v>
      </c>
      <c r="T6" s="159"/>
      <c r="U6" s="181" t="s">
        <v>201</v>
      </c>
      <c r="V6" s="189" t="s">
        <v>686</v>
      </c>
      <c r="W6" s="161" t="s">
        <v>201</v>
      </c>
      <c r="X6" s="153" t="s">
        <v>488</v>
      </c>
    </row>
    <row r="7" spans="1:24" ht="21" customHeight="1" x14ac:dyDescent="0.25">
      <c r="B7" s="187" t="s">
        <v>196</v>
      </c>
      <c r="C7" s="180" t="str">
        <f>'8. Carga REL'!$D$6</f>
        <v>U</v>
      </c>
      <c r="D7" s="181" t="str">
        <f>'8. Carga REL'!$D$21</f>
        <v>E</v>
      </c>
      <c r="E7" s="188" t="s">
        <v>9</v>
      </c>
      <c r="F7" s="179" t="str">
        <f>'8. Carga REL'!$D$36</f>
        <v>A</v>
      </c>
      <c r="G7" s="180" t="str">
        <f>'8. Carga REL'!$D$37</f>
        <v>U</v>
      </c>
      <c r="H7" s="182" t="str">
        <f>'8. Carga REL'!$D$38</f>
        <v>O</v>
      </c>
      <c r="I7" s="180" t="str">
        <f>'8. Carga REL'!$D$39</f>
        <v>U</v>
      </c>
      <c r="J7" s="180" t="str">
        <f>'8. Carga REL'!$D$40</f>
        <v>U</v>
      </c>
      <c r="K7" s="180" t="str">
        <f>'8. Carga REL'!$D$41</f>
        <v>U</v>
      </c>
      <c r="L7" s="180" t="str">
        <f>'8. Carga REL'!$D$42</f>
        <v>U</v>
      </c>
      <c r="M7" s="180" t="str">
        <f>'8. Carga REL'!$D$43</f>
        <v>U</v>
      </c>
      <c r="N7" s="180" t="str">
        <f>'8. Carga REL'!$D$44</f>
        <v>U</v>
      </c>
      <c r="O7" s="180" t="str">
        <f>'8. Carga REL'!$D$45</f>
        <v>U</v>
      </c>
      <c r="P7" s="180" t="str">
        <f>'8. Carga REL'!$D$46</f>
        <v>U</v>
      </c>
      <c r="Q7" s="180" t="str">
        <f>'8. Carga REL'!$D$47</f>
        <v>U</v>
      </c>
      <c r="R7" s="182" t="str">
        <f>'8. Carga REL'!$D$48</f>
        <v>O</v>
      </c>
      <c r="S7" s="180" t="str">
        <f>'8. Carga REL'!$D$49</f>
        <v>U</v>
      </c>
      <c r="T7" s="159"/>
      <c r="U7" s="184" t="s">
        <v>222</v>
      </c>
      <c r="V7" s="189" t="s">
        <v>687</v>
      </c>
      <c r="W7" s="162" t="s">
        <v>222</v>
      </c>
      <c r="X7" s="153" t="s">
        <v>489</v>
      </c>
    </row>
    <row r="8" spans="1:24" ht="21" customHeight="1" x14ac:dyDescent="0.25">
      <c r="B8" s="187" t="s">
        <v>670</v>
      </c>
      <c r="C8" s="180" t="str">
        <f>'8. Carga REL'!$D$7</f>
        <v>U</v>
      </c>
      <c r="D8" s="180" t="str">
        <f>'8. Carga REL'!$D$22</f>
        <v>U</v>
      </c>
      <c r="E8" s="179" t="str">
        <f>'8. Carga REL'!$D$36</f>
        <v>A</v>
      </c>
      <c r="F8" s="188" t="s">
        <v>9</v>
      </c>
      <c r="G8" s="179" t="str">
        <f>'8. Carga REL'!$D$50</f>
        <v>A</v>
      </c>
      <c r="H8" s="180" t="str">
        <f>'8. Carga REL'!$D$51</f>
        <v>U</v>
      </c>
      <c r="I8" s="180" t="str">
        <f>'8. Carga REL'!$D$52</f>
        <v>U</v>
      </c>
      <c r="J8" s="180" t="str">
        <f>'8. Carga REL'!$D$53</f>
        <v>U</v>
      </c>
      <c r="K8" s="180" t="str">
        <f>'8. Carga REL'!$D$54</f>
        <v>U</v>
      </c>
      <c r="L8" s="180" t="str">
        <f>'8. Carga REL'!$D$55</f>
        <v>U</v>
      </c>
      <c r="M8" s="180" t="str">
        <f>'8. Carga REL'!$D$56</f>
        <v>U</v>
      </c>
      <c r="N8" s="180" t="str">
        <f>'8. Carga REL'!$D$57</f>
        <v>U</v>
      </c>
      <c r="O8" s="180" t="str">
        <f>'8. Carga REL'!$D$58</f>
        <v>U</v>
      </c>
      <c r="P8" s="180" t="str">
        <f>'8. Carga REL'!$D$59</f>
        <v>U</v>
      </c>
      <c r="Q8" s="182" t="str">
        <f>'8. Carga REL'!$D$60</f>
        <v>O</v>
      </c>
      <c r="R8" s="180" t="str">
        <f>'8. Carga REL'!$D$61</f>
        <v>U</v>
      </c>
      <c r="S8" s="180" t="str">
        <f>'8. Carga REL'!$D$62</f>
        <v>U</v>
      </c>
      <c r="T8" s="159"/>
      <c r="U8" s="182" t="s">
        <v>248</v>
      </c>
      <c r="V8" s="189" t="s">
        <v>688</v>
      </c>
      <c r="W8" s="163" t="s">
        <v>248</v>
      </c>
      <c r="X8" s="153" t="s">
        <v>490</v>
      </c>
    </row>
    <row r="9" spans="1:24" ht="21" customHeight="1" x14ac:dyDescent="0.25">
      <c r="B9" s="187" t="s">
        <v>671</v>
      </c>
      <c r="C9" s="180" t="str">
        <f>'8. Carga REL'!$D$8</f>
        <v>U</v>
      </c>
      <c r="D9" s="180" t="str">
        <f>'8. Carga REL'!$D$23</f>
        <v>U</v>
      </c>
      <c r="E9" s="180" t="str">
        <f>'8. Carga REL'!$D$37</f>
        <v>U</v>
      </c>
      <c r="F9" s="179" t="str">
        <f>'8. Carga REL'!$D$50</f>
        <v>A</v>
      </c>
      <c r="G9" s="188" t="s">
        <v>9</v>
      </c>
      <c r="H9" s="179" t="str">
        <f>'8. Carga REL'!$D$63</f>
        <v>A</v>
      </c>
      <c r="I9" s="180" t="str">
        <f>'8. Carga REL'!$D$64</f>
        <v>U</v>
      </c>
      <c r="J9" s="180" t="str">
        <f>'8. Carga REL'!$D$65</f>
        <v>U</v>
      </c>
      <c r="K9" s="180" t="str">
        <f>'8. Carga REL'!$D$66</f>
        <v>U</v>
      </c>
      <c r="L9" s="180" t="str">
        <f>'8. Carga REL'!$D$67</f>
        <v>U</v>
      </c>
      <c r="M9" s="180" t="str">
        <f>'8. Carga REL'!$D$68</f>
        <v>U</v>
      </c>
      <c r="N9" s="183" t="str">
        <f>'8. Carga REL'!$D$69</f>
        <v>X</v>
      </c>
      <c r="O9" s="180" t="str">
        <f>'8. Carga REL'!$D$70</f>
        <v>U</v>
      </c>
      <c r="P9" s="180" t="str">
        <f>'8. Carga REL'!$D$71</f>
        <v>U</v>
      </c>
      <c r="Q9" s="180" t="str">
        <f>'8. Carga REL'!$D$72</f>
        <v>U</v>
      </c>
      <c r="R9" s="180" t="str">
        <f>'8. Carga REL'!$D$73</f>
        <v>U</v>
      </c>
      <c r="S9" s="180" t="str">
        <f>'8. Carga REL'!$D$74</f>
        <v>U</v>
      </c>
      <c r="T9" s="159"/>
      <c r="U9" s="180" t="s">
        <v>491</v>
      </c>
      <c r="V9" s="189" t="s">
        <v>689</v>
      </c>
      <c r="W9" s="164" t="s">
        <v>491</v>
      </c>
      <c r="X9" s="153" t="s">
        <v>492</v>
      </c>
    </row>
    <row r="10" spans="1:24" ht="21" customHeight="1" x14ac:dyDescent="0.25">
      <c r="B10" s="187" t="s">
        <v>672</v>
      </c>
      <c r="C10" s="180" t="str">
        <f>'8. Carga REL'!$D$9</f>
        <v>U</v>
      </c>
      <c r="D10" s="180" t="str">
        <f>'8. Carga REL'!$D$24</f>
        <v>U</v>
      </c>
      <c r="E10" s="182" t="str">
        <f>'8. Carga REL'!$D$38</f>
        <v>O</v>
      </c>
      <c r="F10" s="180" t="str">
        <f>'8. Carga REL'!$D$51</f>
        <v>U</v>
      </c>
      <c r="G10" s="179" t="str">
        <f>'8. Carga REL'!$D$63</f>
        <v>A</v>
      </c>
      <c r="H10" s="188" t="s">
        <v>9</v>
      </c>
      <c r="I10" s="179" t="str">
        <f>'8. Carga REL'!$D$75</f>
        <v>A</v>
      </c>
      <c r="J10" s="180" t="str">
        <f>'8. Carga REL'!$D$76</f>
        <v>U</v>
      </c>
      <c r="K10" s="180" t="str">
        <f>'8. Carga REL'!$D$77</f>
        <v>U</v>
      </c>
      <c r="L10" s="180" t="str">
        <f>'8. Carga REL'!$D$78</f>
        <v>U</v>
      </c>
      <c r="M10" s="180" t="str">
        <f>'8. Carga REL'!$D$79</f>
        <v>U</v>
      </c>
      <c r="N10" s="180" t="str">
        <f>'8. Carga REL'!$D$80</f>
        <v>U</v>
      </c>
      <c r="O10" s="180" t="str">
        <f>'8. Carga REL'!$D$81</f>
        <v>U</v>
      </c>
      <c r="P10" s="180" t="str">
        <f>'8. Carga REL'!$D$82</f>
        <v>U</v>
      </c>
      <c r="Q10" s="182" t="str">
        <f>'8. Carga REL'!$D$83</f>
        <v>O</v>
      </c>
      <c r="R10" s="180" t="str">
        <f>'8. Carga REL'!$D$84</f>
        <v>U</v>
      </c>
      <c r="S10" s="184" t="str">
        <f>'8. Carga REL'!$D$85</f>
        <v>I</v>
      </c>
      <c r="T10" s="159"/>
      <c r="U10" s="191" t="s">
        <v>493</v>
      </c>
      <c r="V10" s="190" t="s">
        <v>690</v>
      </c>
      <c r="W10" s="165" t="s">
        <v>493</v>
      </c>
      <c r="X10" s="153" t="s">
        <v>494</v>
      </c>
    </row>
    <row r="11" spans="1:24" ht="21" customHeight="1" x14ac:dyDescent="0.25">
      <c r="B11" s="187" t="s">
        <v>673</v>
      </c>
      <c r="C11" s="180" t="str">
        <f>'8. Carga REL'!$D$10</f>
        <v>U</v>
      </c>
      <c r="D11" s="180" t="str">
        <f>'8. Carga REL'!$D$25</f>
        <v>U</v>
      </c>
      <c r="E11" s="180" t="str">
        <f>'8. Carga REL'!$D$39</f>
        <v>U</v>
      </c>
      <c r="F11" s="180" t="str">
        <f>'8. Carga REL'!$D$52</f>
        <v>U</v>
      </c>
      <c r="G11" s="180" t="str">
        <f>'8. Carga REL'!$D$64</f>
        <v>U</v>
      </c>
      <c r="H11" s="179" t="str">
        <f>'8. Carga REL'!$D$75</f>
        <v>A</v>
      </c>
      <c r="I11" s="188" t="s">
        <v>9</v>
      </c>
      <c r="J11" s="180" t="str">
        <f>'8. Carga REL'!$D$86</f>
        <v>U</v>
      </c>
      <c r="K11" s="180" t="str">
        <f>'8. Carga REL'!$D$87</f>
        <v>U</v>
      </c>
      <c r="L11" s="180" t="str">
        <f>'8. Carga REL'!$D$88</f>
        <v>U</v>
      </c>
      <c r="M11" s="180" t="str">
        <f>'8. Carga REL'!$D$89</f>
        <v>U</v>
      </c>
      <c r="N11" s="180" t="str">
        <f>'8. Carga REL'!$D$90</f>
        <v>U</v>
      </c>
      <c r="O11" s="180" t="str">
        <f>'8. Carga REL'!$D$91</f>
        <v>U</v>
      </c>
      <c r="P11" s="184" t="str">
        <f>'8. Carga REL'!$D$92</f>
        <v>I</v>
      </c>
      <c r="Q11" s="180" t="str">
        <f>'8. Carga REL'!$D$93</f>
        <v>U</v>
      </c>
      <c r="R11" s="180" t="str">
        <f>'8. Carga REL'!$D$94</f>
        <v>U</v>
      </c>
      <c r="S11" s="184" t="str">
        <f>'8. Carga REL'!$D$95</f>
        <v>I</v>
      </c>
      <c r="T11" s="159"/>
      <c r="U11" s="159"/>
    </row>
    <row r="12" spans="1:24" ht="21" customHeight="1" x14ac:dyDescent="0.25">
      <c r="B12" s="187" t="s">
        <v>674</v>
      </c>
      <c r="C12" s="180" t="str">
        <f>'8. Carga REL'!$D$11</f>
        <v>U</v>
      </c>
      <c r="D12" s="181" t="str">
        <f>'8. Carga REL'!$D$26</f>
        <v>E</v>
      </c>
      <c r="E12" s="180" t="str">
        <f>'8. Carga REL'!$D$40</f>
        <v>U</v>
      </c>
      <c r="F12" s="180" t="str">
        <f>'8. Carga REL'!$D$53</f>
        <v>U</v>
      </c>
      <c r="G12" s="180" t="str">
        <f>'8. Carga REL'!$D$65</f>
        <v>U</v>
      </c>
      <c r="H12" s="180" t="str">
        <f>'8. Carga REL'!$D$76</f>
        <v>U</v>
      </c>
      <c r="I12" s="180" t="str">
        <f>'8. Carga REL'!$D$86</f>
        <v>U</v>
      </c>
      <c r="J12" s="188" t="s">
        <v>9</v>
      </c>
      <c r="K12" s="179" t="str">
        <f>'8. Carga REL'!$D$96</f>
        <v>A</v>
      </c>
      <c r="L12" s="180" t="str">
        <f>'8. Carga REL'!$D$97</f>
        <v>U</v>
      </c>
      <c r="M12" s="180" t="str">
        <f>'8. Carga REL'!$D$98</f>
        <v>U</v>
      </c>
      <c r="N12" s="180" t="str">
        <f>'8. Carga REL'!$D$99</f>
        <v>U</v>
      </c>
      <c r="O12" s="180" t="str">
        <f>'8. Carga REL'!$D$100</f>
        <v>U</v>
      </c>
      <c r="P12" s="180" t="str">
        <f>'8. Carga REL'!$D$101</f>
        <v>U</v>
      </c>
      <c r="Q12" s="180" t="str">
        <f>'8. Carga REL'!$D$102</f>
        <v>U</v>
      </c>
      <c r="R12" s="182" t="str">
        <f>'8. Carga REL'!$D$103</f>
        <v>O</v>
      </c>
      <c r="S12" s="180" t="str">
        <f>'8. Carga REL'!$D$104</f>
        <v>U</v>
      </c>
      <c r="T12" s="159"/>
      <c r="U12" s="159"/>
    </row>
    <row r="13" spans="1:24" ht="21" customHeight="1" x14ac:dyDescent="0.25">
      <c r="B13" s="187" t="s">
        <v>675</v>
      </c>
      <c r="C13" s="180" t="str">
        <f>'8. Carga REL'!$D$12</f>
        <v>U</v>
      </c>
      <c r="D13" s="180" t="str">
        <f>'8. Carga REL'!$D$27</f>
        <v>U</v>
      </c>
      <c r="E13" s="180" t="str">
        <f>'8. Carga REL'!$D$41</f>
        <v>U</v>
      </c>
      <c r="F13" s="180" t="str">
        <f>'8. Carga REL'!$D$54</f>
        <v>U</v>
      </c>
      <c r="G13" s="180" t="str">
        <f>'8. Carga REL'!$D$66</f>
        <v>U</v>
      </c>
      <c r="H13" s="180" t="str">
        <f>'8. Carga REL'!$D$77</f>
        <v>U</v>
      </c>
      <c r="I13" s="180" t="str">
        <f>'8. Carga REL'!$D$87</f>
        <v>U</v>
      </c>
      <c r="J13" s="179" t="str">
        <f>'8. Carga REL'!$D$96</f>
        <v>A</v>
      </c>
      <c r="K13" s="188" t="s">
        <v>9</v>
      </c>
      <c r="L13" s="181" t="str">
        <f>'8. Carga REL'!$D$105</f>
        <v>E</v>
      </c>
      <c r="M13" s="179" t="str">
        <f>'8. Carga REL'!$D$106</f>
        <v>A</v>
      </c>
      <c r="N13" s="180" t="str">
        <f>'8. Carga REL'!$D$107</f>
        <v>U</v>
      </c>
      <c r="O13" s="180" t="str">
        <f>'8. Carga REL'!$D$108</f>
        <v>U</v>
      </c>
      <c r="P13" s="180" t="str">
        <f>'8. Carga REL'!$D$109</f>
        <v>U</v>
      </c>
      <c r="Q13" s="180" t="str">
        <f>'8. Carga REL'!$D$110</f>
        <v>U</v>
      </c>
      <c r="R13" s="180" t="str">
        <f>'8. Carga REL'!$D$111</f>
        <v>U</v>
      </c>
      <c r="S13" s="180" t="str">
        <f>'8. Carga REL'!$D$112</f>
        <v>U</v>
      </c>
      <c r="T13" s="159"/>
      <c r="U13" s="159"/>
    </row>
    <row r="14" spans="1:24" ht="21" customHeight="1" x14ac:dyDescent="0.25">
      <c r="B14" s="187" t="s">
        <v>676</v>
      </c>
      <c r="C14" s="180" t="str">
        <f>'8. Carga REL'!$D$13</f>
        <v>U</v>
      </c>
      <c r="D14" s="180" t="str">
        <f>'8. Carga REL'!$D$28</f>
        <v>U</v>
      </c>
      <c r="E14" s="180" t="str">
        <f>'8. Carga REL'!$D$42</f>
        <v>U</v>
      </c>
      <c r="F14" s="180" t="str">
        <f>'8. Carga REL'!$D$55</f>
        <v>U</v>
      </c>
      <c r="G14" s="180" t="str">
        <f>'8. Carga REL'!$D$67</f>
        <v>U</v>
      </c>
      <c r="H14" s="180" t="str">
        <f>'8. Carga REL'!$D$78</f>
        <v>U</v>
      </c>
      <c r="I14" s="180" t="str">
        <f>'8. Carga REL'!$D$88</f>
        <v>U</v>
      </c>
      <c r="J14" s="180" t="str">
        <f>'8. Carga REL'!$D$97</f>
        <v>U</v>
      </c>
      <c r="K14" s="181" t="str">
        <f>'8. Carga REL'!$D$105</f>
        <v>E</v>
      </c>
      <c r="L14" s="188" t="s">
        <v>9</v>
      </c>
      <c r="M14" s="181" t="str">
        <f>'8. Carga REL'!$D$113</f>
        <v>E</v>
      </c>
      <c r="N14" s="180" t="str">
        <f>'8. Carga REL'!$D$114</f>
        <v>U</v>
      </c>
      <c r="O14" s="180" t="str">
        <f>'8. Carga REL'!$D$115</f>
        <v>U</v>
      </c>
      <c r="P14" s="180" t="str">
        <f>'8. Carga REL'!$D$116</f>
        <v>U</v>
      </c>
      <c r="Q14" s="180" t="str">
        <f>'8. Carga REL'!$D$117</f>
        <v>U</v>
      </c>
      <c r="R14" s="180" t="str">
        <f>'8. Carga REL'!$D$118</f>
        <v>U</v>
      </c>
      <c r="S14" s="180" t="str">
        <f>'8. Carga REL'!$D$119</f>
        <v>U</v>
      </c>
      <c r="T14" s="159"/>
      <c r="U14" s="159"/>
    </row>
    <row r="15" spans="1:24" ht="21" customHeight="1" x14ac:dyDescent="0.25">
      <c r="B15" s="187" t="s">
        <v>677</v>
      </c>
      <c r="C15" s="180" t="str">
        <f>'8. Carga REL'!$D$14</f>
        <v>U</v>
      </c>
      <c r="D15" s="180" t="str">
        <f>'8. Carga REL'!$D$29</f>
        <v>U</v>
      </c>
      <c r="E15" s="180" t="str">
        <f>'8. Carga REL'!$D$43</f>
        <v>U</v>
      </c>
      <c r="F15" s="180" t="str">
        <f>'8. Carga REL'!$D$56</f>
        <v>U</v>
      </c>
      <c r="G15" s="180" t="str">
        <f>'8. Carga REL'!$D$68</f>
        <v>U</v>
      </c>
      <c r="H15" s="180" t="str">
        <f>'8. Carga REL'!$D$79</f>
        <v>U</v>
      </c>
      <c r="I15" s="180" t="str">
        <f>'8. Carga REL'!$D$89</f>
        <v>U</v>
      </c>
      <c r="J15" s="180" t="str">
        <f>'8. Carga REL'!$D$98</f>
        <v>U</v>
      </c>
      <c r="K15" s="179" t="str">
        <f>'8. Carga REL'!$D$106</f>
        <v>A</v>
      </c>
      <c r="L15" s="181" t="str">
        <f>'8. Carga REL'!$D$113</f>
        <v>E</v>
      </c>
      <c r="M15" s="188" t="s">
        <v>9</v>
      </c>
      <c r="N15" s="179" t="str">
        <f>'8. Carga REL'!$D$120</f>
        <v>A</v>
      </c>
      <c r="O15" s="180" t="str">
        <f>'8. Carga REL'!$D$121</f>
        <v>U</v>
      </c>
      <c r="P15" s="180" t="str">
        <f>'8. Carga REL'!$D$122</f>
        <v>U</v>
      </c>
      <c r="Q15" s="180" t="str">
        <f>'8. Carga REL'!$D$123</f>
        <v>U</v>
      </c>
      <c r="R15" s="180" t="str">
        <f>'8. Carga REL'!$D$124</f>
        <v>U</v>
      </c>
      <c r="S15" s="180" t="str">
        <f>'8. Carga REL'!$D$125</f>
        <v>U</v>
      </c>
      <c r="T15" s="159"/>
      <c r="U15" s="159"/>
    </row>
    <row r="16" spans="1:24" ht="21" customHeight="1" x14ac:dyDescent="0.25">
      <c r="B16" s="187" t="s">
        <v>678</v>
      </c>
      <c r="C16" s="180" t="str">
        <f>'8. Carga REL'!$D$15</f>
        <v>U</v>
      </c>
      <c r="D16" s="180" t="str">
        <f>'8. Carga REL'!$D$30</f>
        <v>U</v>
      </c>
      <c r="E16" s="180" t="str">
        <f>'8. Carga REL'!$D$44</f>
        <v>U</v>
      </c>
      <c r="F16" s="180" t="str">
        <f>'8. Carga REL'!$D$57</f>
        <v>U</v>
      </c>
      <c r="G16" s="183" t="str">
        <f>'8. Carga REL'!$D$69</f>
        <v>X</v>
      </c>
      <c r="H16" s="180" t="str">
        <f>'8. Carga REL'!$D$80</f>
        <v>U</v>
      </c>
      <c r="I16" s="180" t="str">
        <f>'8. Carga REL'!$D$90</f>
        <v>U</v>
      </c>
      <c r="J16" s="180" t="str">
        <f>'8. Carga REL'!$D$99</f>
        <v>U</v>
      </c>
      <c r="K16" s="180" t="str">
        <f>'8. Carga REL'!$D$107</f>
        <v>U</v>
      </c>
      <c r="L16" s="180" t="str">
        <f>'8. Carga REL'!$D$114</f>
        <v>U</v>
      </c>
      <c r="M16" s="179" t="str">
        <f>'8. Carga REL'!$D$120</f>
        <v>A</v>
      </c>
      <c r="N16" s="188" t="s">
        <v>9</v>
      </c>
      <c r="O16" s="179" t="str">
        <f>'8. Carga REL'!$D$126</f>
        <v>A</v>
      </c>
      <c r="P16" s="180" t="str">
        <f>'8. Carga REL'!$D$127</f>
        <v>U</v>
      </c>
      <c r="Q16" s="182" t="str">
        <f>'8. Carga REL'!$D$128</f>
        <v>O</v>
      </c>
      <c r="R16" s="180" t="str">
        <f>'8. Carga REL'!$D$129</f>
        <v>U</v>
      </c>
      <c r="S16" s="180" t="str">
        <f>'8. Carga REL'!$D$130</f>
        <v>U</v>
      </c>
      <c r="T16" s="159"/>
      <c r="U16" s="159"/>
    </row>
    <row r="17" spans="1:21" ht="21" customHeight="1" x14ac:dyDescent="0.25">
      <c r="B17" s="187" t="s">
        <v>679</v>
      </c>
      <c r="C17" s="180" t="str">
        <f>'8. Carga REL'!$D$16</f>
        <v>U</v>
      </c>
      <c r="D17" s="180" t="str">
        <f>'8. Carga REL'!$D$31</f>
        <v>U</v>
      </c>
      <c r="E17" s="180" t="str">
        <f>'8. Carga REL'!$D$45</f>
        <v>U</v>
      </c>
      <c r="F17" s="180" t="str">
        <f>'8. Carga REL'!$D$58</f>
        <v>U</v>
      </c>
      <c r="G17" s="180" t="str">
        <f>'8. Carga REL'!$D$70</f>
        <v>U</v>
      </c>
      <c r="H17" s="180" t="str">
        <f>'8. Carga REL'!$D$81</f>
        <v>U</v>
      </c>
      <c r="I17" s="180" t="str">
        <f>'8. Carga REL'!$D$91</f>
        <v>U</v>
      </c>
      <c r="J17" s="180" t="str">
        <f>'8. Carga REL'!$D$100</f>
        <v>U</v>
      </c>
      <c r="K17" s="180" t="str">
        <f>'8. Carga REL'!$D$108</f>
        <v>U</v>
      </c>
      <c r="L17" s="180" t="str">
        <f>'8. Carga REL'!$D$115</f>
        <v>U</v>
      </c>
      <c r="M17" s="180" t="str">
        <f>'8. Carga REL'!$D$121</f>
        <v>U</v>
      </c>
      <c r="N17" s="179" t="str">
        <f>'8. Carga REL'!$D$126</f>
        <v>A</v>
      </c>
      <c r="O17" s="188" t="s">
        <v>9</v>
      </c>
      <c r="P17" s="184" t="str">
        <f>'8. Carga REL'!$D$131</f>
        <v>I</v>
      </c>
      <c r="Q17" s="180" t="str">
        <f>'8. Carga REL'!$D$132</f>
        <v>U</v>
      </c>
      <c r="R17" s="180" t="str">
        <f>'8. Carga REL'!$D$133</f>
        <v>U</v>
      </c>
      <c r="S17" s="180" t="str">
        <f>'8. Carga REL'!$D$134</f>
        <v>U</v>
      </c>
      <c r="T17" s="159"/>
      <c r="U17" s="159"/>
    </row>
    <row r="18" spans="1:21" ht="21" customHeight="1" x14ac:dyDescent="0.25">
      <c r="B18" s="187" t="s">
        <v>680</v>
      </c>
      <c r="C18" s="180" t="str">
        <f>'8. Carga REL'!$D$17</f>
        <v>U</v>
      </c>
      <c r="D18" s="180" t="str">
        <f>'8. Carga REL'!$D$32</f>
        <v>U</v>
      </c>
      <c r="E18" s="180" t="str">
        <f>'8. Carga REL'!$D$46</f>
        <v>U</v>
      </c>
      <c r="F18" s="180" t="str">
        <f>'8. Carga REL'!$D$59</f>
        <v>U</v>
      </c>
      <c r="G18" s="180" t="str">
        <f>'8. Carga REL'!$D$71</f>
        <v>U</v>
      </c>
      <c r="H18" s="180" t="str">
        <f>'8. Carga REL'!$D$82</f>
        <v>U</v>
      </c>
      <c r="I18" s="184" t="str">
        <f>'8. Carga REL'!$D$92</f>
        <v>I</v>
      </c>
      <c r="J18" s="180" t="str">
        <f>'8. Carga REL'!$D$101</f>
        <v>U</v>
      </c>
      <c r="K18" s="180" t="str">
        <f>'8. Carga REL'!$D$109</f>
        <v>U</v>
      </c>
      <c r="L18" s="180" t="str">
        <f>'8. Carga REL'!$D$116</f>
        <v>U</v>
      </c>
      <c r="M18" s="180" t="str">
        <f>'8. Carga REL'!$D$122</f>
        <v>U</v>
      </c>
      <c r="N18" s="180" t="str">
        <f>'8. Carga REL'!$D$127</f>
        <v>U</v>
      </c>
      <c r="O18" s="184" t="str">
        <f>'8. Carga REL'!$D$131</f>
        <v>I</v>
      </c>
      <c r="P18" s="188" t="s">
        <v>9</v>
      </c>
      <c r="Q18" s="180" t="str">
        <f>'8. Carga REL'!$D$135</f>
        <v>U</v>
      </c>
      <c r="R18" s="180" t="str">
        <f>'8. Carga REL'!$D$136</f>
        <v>U</v>
      </c>
      <c r="S18" s="180" t="str">
        <f>'8. Carga REL'!$D$137</f>
        <v>U</v>
      </c>
      <c r="T18" s="159"/>
      <c r="U18" s="159"/>
    </row>
    <row r="19" spans="1:21" ht="21" customHeight="1" x14ac:dyDescent="0.25">
      <c r="B19" s="187" t="s">
        <v>681</v>
      </c>
      <c r="C19" s="180" t="str">
        <f>'8. Carga REL'!$D$18</f>
        <v>U</v>
      </c>
      <c r="D19" s="180" t="str">
        <f>'8. Carga REL'!$D$33</f>
        <v>U</v>
      </c>
      <c r="E19" s="180" t="str">
        <f>'8. Carga REL'!$D$47</f>
        <v>U</v>
      </c>
      <c r="F19" s="182" t="str">
        <f>'8. Carga REL'!$D$60</f>
        <v>O</v>
      </c>
      <c r="G19" s="180" t="str">
        <f>'8. Carga REL'!$D$72</f>
        <v>U</v>
      </c>
      <c r="H19" s="182" t="str">
        <f>'8. Carga REL'!$D$83</f>
        <v>O</v>
      </c>
      <c r="I19" s="180" t="str">
        <f>'8. Carga REL'!$D$93</f>
        <v>U</v>
      </c>
      <c r="J19" s="180" t="str">
        <f>'8. Carga REL'!$D$102</f>
        <v>U</v>
      </c>
      <c r="K19" s="180" t="str">
        <f>'8. Carga REL'!$D$110</f>
        <v>U</v>
      </c>
      <c r="L19" s="180" t="str">
        <f>'8. Carga REL'!$D$117</f>
        <v>U</v>
      </c>
      <c r="M19" s="180" t="str">
        <f>'8. Carga REL'!$D$123</f>
        <v>U</v>
      </c>
      <c r="N19" s="182" t="str">
        <f>'8. Carga REL'!$D$128</f>
        <v>O</v>
      </c>
      <c r="O19" s="180" t="str">
        <f>'8. Carga REL'!$D$132</f>
        <v>U</v>
      </c>
      <c r="P19" s="180" t="str">
        <f>'8. Carga REL'!$D$135</f>
        <v>U</v>
      </c>
      <c r="Q19" s="188" t="s">
        <v>9</v>
      </c>
      <c r="R19" s="180" t="str">
        <f>'8. Carga REL'!$D$138</f>
        <v>U</v>
      </c>
      <c r="S19" s="180" t="str">
        <f>'8. Carga REL'!$D$139</f>
        <v>U</v>
      </c>
      <c r="T19" s="159"/>
      <c r="U19" s="159"/>
    </row>
    <row r="20" spans="1:21" ht="21" customHeight="1" x14ac:dyDescent="0.25">
      <c r="B20" s="187" t="s">
        <v>682</v>
      </c>
      <c r="C20" s="180" t="str">
        <f>'8. Carga REL'!$D$19</f>
        <v>U</v>
      </c>
      <c r="D20" s="180" t="str">
        <f>'8. Carga REL'!$D$34</f>
        <v>U</v>
      </c>
      <c r="E20" s="182" t="str">
        <f>'8. Carga REL'!$D$48</f>
        <v>O</v>
      </c>
      <c r="F20" s="180" t="str">
        <f>'8. Carga REL'!$D$61</f>
        <v>U</v>
      </c>
      <c r="G20" s="180" t="str">
        <f>'8. Carga REL'!$D$73</f>
        <v>U</v>
      </c>
      <c r="H20" s="180" t="str">
        <f>'8. Carga REL'!$D$84</f>
        <v>U</v>
      </c>
      <c r="I20" s="180" t="str">
        <f>'8. Carga REL'!$D$94</f>
        <v>U</v>
      </c>
      <c r="J20" s="182" t="str">
        <f>'8. Carga REL'!$D$103</f>
        <v>O</v>
      </c>
      <c r="K20" s="180" t="str">
        <f>'8. Carga REL'!$D$111</f>
        <v>U</v>
      </c>
      <c r="L20" s="180" t="str">
        <f>'8. Carga REL'!$D$118</f>
        <v>U</v>
      </c>
      <c r="M20" s="180" t="str">
        <f>'8. Carga REL'!$D$124</f>
        <v>U</v>
      </c>
      <c r="N20" s="180" t="str">
        <f>'8. Carga REL'!$D$129</f>
        <v>U</v>
      </c>
      <c r="O20" s="180" t="str">
        <f>'8. Carga REL'!$D$133</f>
        <v>U</v>
      </c>
      <c r="P20" s="180" t="str">
        <f>'8. Carga REL'!$D$136</f>
        <v>U</v>
      </c>
      <c r="Q20" s="180" t="str">
        <f>'8. Carga REL'!$D$138</f>
        <v>U</v>
      </c>
      <c r="R20" s="188" t="s">
        <v>9</v>
      </c>
      <c r="S20" s="180" t="str">
        <f>'8. Carga REL'!$D$140</f>
        <v>U</v>
      </c>
      <c r="T20" s="159"/>
      <c r="U20" s="159"/>
    </row>
    <row r="21" spans="1:21" ht="21" customHeight="1" x14ac:dyDescent="0.25">
      <c r="B21" s="187" t="s">
        <v>683</v>
      </c>
      <c r="C21" s="180" t="str">
        <f>'8. Carga REL'!$D$20</f>
        <v>U</v>
      </c>
      <c r="D21" s="180" t="str">
        <f>'8. Carga REL'!$D$35</f>
        <v>U</v>
      </c>
      <c r="E21" s="180" t="str">
        <f>'8. Carga REL'!$D$49</f>
        <v>U</v>
      </c>
      <c r="F21" s="180" t="str">
        <f>'8. Carga REL'!$D$62</f>
        <v>U</v>
      </c>
      <c r="G21" s="180" t="str">
        <f>'8. Carga REL'!$D$74</f>
        <v>U</v>
      </c>
      <c r="H21" s="184" t="str">
        <f>'8. Carga REL'!$D$85</f>
        <v>I</v>
      </c>
      <c r="I21" s="184" t="str">
        <f>'8. Carga REL'!$D$95</f>
        <v>I</v>
      </c>
      <c r="J21" s="180" t="str">
        <f>'8. Carga REL'!$D$104</f>
        <v>U</v>
      </c>
      <c r="K21" s="180" t="str">
        <f>'8. Carga REL'!$D$112</f>
        <v>U</v>
      </c>
      <c r="L21" s="180" t="str">
        <f>'8. Carga REL'!$D$119</f>
        <v>U</v>
      </c>
      <c r="M21" s="180" t="str">
        <f>'8. Carga REL'!$D$125</f>
        <v>U</v>
      </c>
      <c r="N21" s="180" t="str">
        <f>'8. Carga REL'!$D$130</f>
        <v>U</v>
      </c>
      <c r="O21" s="180" t="str">
        <f>'8. Carga REL'!$D$134</f>
        <v>U</v>
      </c>
      <c r="P21" s="180" t="str">
        <f>'8. Carga REL'!$D$137</f>
        <v>U</v>
      </c>
      <c r="Q21" s="180" t="str">
        <f>'8. Carga REL'!$D$139</f>
        <v>U</v>
      </c>
      <c r="R21" s="180" t="str">
        <f>'8. Carga REL'!$D$140</f>
        <v>U</v>
      </c>
      <c r="S21" s="188" t="s">
        <v>9</v>
      </c>
      <c r="T21" s="159"/>
      <c r="U21" s="159"/>
    </row>
    <row r="22" spans="1:21" ht="21" customHeight="1" x14ac:dyDescent="0.25">
      <c r="B22" s="158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</row>
    <row r="23" spans="1:21" ht="21" customHeight="1" x14ac:dyDescent="0.25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159"/>
      <c r="U23" s="159"/>
    </row>
    <row r="24" spans="1:21" ht="21" customHeight="1" x14ac:dyDescent="0.25">
      <c r="A24" s="192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4"/>
    </row>
    <row r="25" spans="1:21" ht="21" customHeight="1" x14ac:dyDescent="0.25">
      <c r="A25" s="195"/>
      <c r="S25" s="196"/>
    </row>
    <row r="26" spans="1:21" ht="21" customHeight="1" x14ac:dyDescent="0.25">
      <c r="A26" s="195"/>
      <c r="S26" s="196"/>
    </row>
    <row r="27" spans="1:21" ht="21" customHeight="1" x14ac:dyDescent="0.25">
      <c r="A27" s="195"/>
      <c r="S27" s="196"/>
    </row>
    <row r="28" spans="1:21" ht="21" customHeight="1" x14ac:dyDescent="0.25">
      <c r="A28" s="195"/>
      <c r="S28" s="196"/>
    </row>
    <row r="29" spans="1:21" ht="21" customHeight="1" x14ac:dyDescent="0.25">
      <c r="A29" s="195"/>
      <c r="S29" s="196"/>
    </row>
    <row r="30" spans="1:21" ht="21" customHeight="1" x14ac:dyDescent="0.25">
      <c r="A30" s="195"/>
      <c r="S30" s="196"/>
    </row>
    <row r="31" spans="1:21" ht="21" customHeight="1" x14ac:dyDescent="0.25">
      <c r="A31" s="195"/>
      <c r="S31" s="196"/>
    </row>
    <row r="32" spans="1:21" ht="21" customHeight="1" x14ac:dyDescent="0.25">
      <c r="A32" s="195"/>
      <c r="S32" s="196"/>
    </row>
    <row r="33" spans="1:19" ht="21" customHeight="1" x14ac:dyDescent="0.25">
      <c r="A33" s="195"/>
      <c r="S33" s="196"/>
    </row>
    <row r="34" spans="1:19" ht="21" customHeight="1" x14ac:dyDescent="0.25">
      <c r="A34" s="195"/>
      <c r="S34" s="196"/>
    </row>
    <row r="35" spans="1:19" ht="21" customHeight="1" x14ac:dyDescent="0.25">
      <c r="A35" s="195"/>
      <c r="S35" s="196"/>
    </row>
    <row r="36" spans="1:19" ht="21" customHeight="1" x14ac:dyDescent="0.25">
      <c r="A36" s="195"/>
      <c r="S36" s="196"/>
    </row>
    <row r="37" spans="1:19" ht="21" customHeight="1" x14ac:dyDescent="0.25">
      <c r="A37" s="195"/>
      <c r="S37" s="196"/>
    </row>
    <row r="38" spans="1:19" ht="21" customHeight="1" x14ac:dyDescent="0.25">
      <c r="A38" s="195"/>
      <c r="S38" s="196"/>
    </row>
    <row r="39" spans="1:19" ht="21" customHeight="1" x14ac:dyDescent="0.25">
      <c r="A39" s="195"/>
      <c r="S39" s="196"/>
    </row>
    <row r="40" spans="1:19" ht="21" customHeight="1" x14ac:dyDescent="0.25">
      <c r="A40" s="195"/>
      <c r="S40" s="196"/>
    </row>
    <row r="41" spans="1:19" ht="21" customHeight="1" x14ac:dyDescent="0.25">
      <c r="A41" s="195"/>
      <c r="S41" s="196"/>
    </row>
    <row r="42" spans="1:19" ht="21" customHeight="1" x14ac:dyDescent="0.25">
      <c r="A42" s="195"/>
      <c r="S42" s="196"/>
    </row>
    <row r="43" spans="1:19" ht="21" customHeight="1" x14ac:dyDescent="0.25">
      <c r="A43" s="195"/>
      <c r="S43" s="196"/>
    </row>
    <row r="44" spans="1:19" ht="21" customHeight="1" x14ac:dyDescent="0.25">
      <c r="A44" s="195"/>
      <c r="S44" s="196"/>
    </row>
    <row r="45" spans="1:19" ht="21" customHeight="1" x14ac:dyDescent="0.25">
      <c r="A45" s="197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9"/>
    </row>
    <row r="46" spans="1:19" ht="21" customHeight="1" x14ac:dyDescent="0.25"/>
    <row r="47" spans="1:19" ht="21" customHeight="1" x14ac:dyDescent="0.25"/>
    <row r="48" spans="1:19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</sheetData>
  <mergeCells count="3">
    <mergeCell ref="A1:U1"/>
    <mergeCell ref="A2:U2"/>
    <mergeCell ref="A23:S23"/>
  </mergeCells>
  <conditionalFormatting sqref="C5:U23">
    <cfRule type="expression" dxfId="5" priority="1">
      <formula>C5="A"</formula>
    </cfRule>
    <cfRule type="expression" dxfId="4" priority="2">
      <formula>C5="E"</formula>
    </cfRule>
    <cfRule type="expression" dxfId="3" priority="3">
      <formula>C5="I"</formula>
    </cfRule>
    <cfRule type="expression" dxfId="2" priority="4">
      <formula>C5="O"</formula>
    </cfRule>
    <cfRule type="expression" dxfId="1" priority="5">
      <formula>C5="U"</formula>
    </cfRule>
    <cfRule type="expression" dxfId="0" priority="6">
      <formula>C5="X"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6AB9-B84B-4D21-9ACC-5821AD3772E2}">
  <dimension ref="A1:H20"/>
  <sheetViews>
    <sheetView workbookViewId="0">
      <selection activeCell="G2" sqref="G2:G19"/>
    </sheetView>
  </sheetViews>
  <sheetFormatPr baseColWidth="10" defaultRowHeight="15" x14ac:dyDescent="0.25"/>
  <cols>
    <col min="1" max="1" width="3" bestFit="1" customWidth="1"/>
    <col min="2" max="2" width="39" bestFit="1" customWidth="1"/>
    <col min="3" max="3" width="11.5703125" bestFit="1" customWidth="1"/>
    <col min="4" max="4" width="15.85546875" bestFit="1" customWidth="1"/>
    <col min="5" max="5" width="10.85546875" bestFit="1" customWidth="1"/>
    <col min="6" max="6" width="9.85546875" bestFit="1" customWidth="1"/>
    <col min="7" max="7" width="16.85546875" bestFit="1" customWidth="1"/>
    <col min="8" max="8" width="14.7109375" bestFit="1" customWidth="1"/>
  </cols>
  <sheetData>
    <row r="1" spans="1:8" ht="15.75" thickBot="1" x14ac:dyDescent="0.3">
      <c r="A1" s="200" t="s">
        <v>691</v>
      </c>
      <c r="B1" s="200" t="s">
        <v>692</v>
      </c>
      <c r="C1" s="200" t="s">
        <v>693</v>
      </c>
      <c r="D1" s="200" t="s">
        <v>694</v>
      </c>
      <c r="E1" s="200" t="s">
        <v>695</v>
      </c>
      <c r="F1" s="200" t="s">
        <v>696</v>
      </c>
      <c r="G1" s="200" t="s">
        <v>697</v>
      </c>
      <c r="H1" s="200" t="s">
        <v>698</v>
      </c>
    </row>
    <row r="2" spans="1:8" x14ac:dyDescent="0.25">
      <c r="A2" s="201"/>
      <c r="B2" s="202" t="s">
        <v>726</v>
      </c>
      <c r="C2" s="203"/>
      <c r="D2" s="204"/>
      <c r="E2" s="205">
        <v>12</v>
      </c>
      <c r="F2" s="205">
        <v>15.6</v>
      </c>
      <c r="G2" s="206">
        <f>+F2*E2</f>
        <v>187.2</v>
      </c>
      <c r="H2" s="205"/>
    </row>
    <row r="3" spans="1:8" x14ac:dyDescent="0.25">
      <c r="A3" s="201"/>
      <c r="B3" s="202" t="s">
        <v>727</v>
      </c>
      <c r="C3" s="203"/>
      <c r="D3" s="204"/>
      <c r="E3" s="205">
        <v>8.3000000000000007</v>
      </c>
      <c r="F3" s="205">
        <v>6.3</v>
      </c>
      <c r="G3" s="206">
        <f>+F3*E3</f>
        <v>52.290000000000006</v>
      </c>
      <c r="H3" s="205"/>
    </row>
    <row r="4" spans="1:8" x14ac:dyDescent="0.25">
      <c r="A4" s="201"/>
      <c r="B4" s="202" t="s">
        <v>699</v>
      </c>
      <c r="C4" s="203" t="s">
        <v>700</v>
      </c>
      <c r="D4" s="204" t="s">
        <v>701</v>
      </c>
      <c r="E4" s="205"/>
      <c r="F4" s="205"/>
      <c r="G4" s="206">
        <v>14.5</v>
      </c>
      <c r="H4" s="205"/>
    </row>
    <row r="5" spans="1:8" x14ac:dyDescent="0.25">
      <c r="A5" s="201"/>
      <c r="B5" s="202" t="s">
        <v>721</v>
      </c>
      <c r="C5" s="203"/>
      <c r="D5" s="204"/>
      <c r="E5" s="213">
        <v>2.1</v>
      </c>
      <c r="F5" s="205">
        <v>1.5</v>
      </c>
      <c r="G5" s="206">
        <f>+F5*E5</f>
        <v>3.1500000000000004</v>
      </c>
      <c r="H5" s="205"/>
    </row>
    <row r="6" spans="1:8" x14ac:dyDescent="0.25">
      <c r="A6" s="201"/>
      <c r="B6" s="202" t="s">
        <v>702</v>
      </c>
      <c r="C6" s="203" t="s">
        <v>703</v>
      </c>
      <c r="D6" s="207" t="s">
        <v>704</v>
      </c>
      <c r="E6" s="208">
        <v>2</v>
      </c>
      <c r="F6" s="208">
        <v>3</v>
      </c>
      <c r="G6" s="206">
        <v>7.6</v>
      </c>
      <c r="H6" s="209"/>
    </row>
    <row r="7" spans="1:8" x14ac:dyDescent="0.25">
      <c r="A7" s="201"/>
      <c r="B7" s="202" t="s">
        <v>705</v>
      </c>
      <c r="C7" s="203" t="s">
        <v>706</v>
      </c>
      <c r="D7" s="207" t="s">
        <v>704</v>
      </c>
      <c r="E7" s="214">
        <v>2.4</v>
      </c>
      <c r="F7" s="208">
        <v>2.17</v>
      </c>
      <c r="G7" s="206">
        <v>5.22</v>
      </c>
      <c r="H7" s="209"/>
    </row>
    <row r="8" spans="1:8" x14ac:dyDescent="0.25">
      <c r="A8" s="201"/>
      <c r="B8" s="202" t="s">
        <v>707</v>
      </c>
      <c r="C8" s="203" t="s">
        <v>706</v>
      </c>
      <c r="D8" s="207" t="s">
        <v>704</v>
      </c>
      <c r="E8" s="208">
        <v>2.2000000000000002</v>
      </c>
      <c r="F8" s="208">
        <v>1.85</v>
      </c>
      <c r="G8" s="206">
        <v>4.08</v>
      </c>
      <c r="H8" s="209"/>
    </row>
    <row r="9" spans="1:8" x14ac:dyDescent="0.25">
      <c r="A9" s="201"/>
      <c r="B9" s="202" t="s">
        <v>708</v>
      </c>
      <c r="C9" s="203" t="s">
        <v>706</v>
      </c>
      <c r="D9" s="207" t="s">
        <v>704</v>
      </c>
      <c r="E9" s="208">
        <v>2.5</v>
      </c>
      <c r="F9" s="208">
        <v>2.3199999999999998</v>
      </c>
      <c r="G9" s="206">
        <v>3.4</v>
      </c>
      <c r="H9" s="209"/>
    </row>
    <row r="10" spans="1:8" x14ac:dyDescent="0.25">
      <c r="A10" s="201"/>
      <c r="B10" s="202" t="s">
        <v>709</v>
      </c>
      <c r="C10" s="203" t="s">
        <v>710</v>
      </c>
      <c r="D10" s="207" t="s">
        <v>704</v>
      </c>
      <c r="E10" s="208">
        <v>8.6</v>
      </c>
      <c r="F10" s="208">
        <v>2.2999999999999998</v>
      </c>
      <c r="G10" s="206">
        <v>19.78</v>
      </c>
      <c r="H10" s="209"/>
    </row>
    <row r="11" spans="1:8" x14ac:dyDescent="0.25">
      <c r="A11" s="201"/>
      <c r="B11" s="202" t="s">
        <v>711</v>
      </c>
      <c r="C11" s="203" t="s">
        <v>712</v>
      </c>
      <c r="D11" s="207" t="s">
        <v>704</v>
      </c>
      <c r="E11" s="208">
        <v>7</v>
      </c>
      <c r="F11" s="208">
        <v>1.19</v>
      </c>
      <c r="G11" s="206">
        <v>8.34</v>
      </c>
      <c r="H11" s="209"/>
    </row>
    <row r="12" spans="1:8" x14ac:dyDescent="0.25">
      <c r="A12" s="201"/>
      <c r="B12" s="202" t="s">
        <v>713</v>
      </c>
      <c r="C12" s="203" t="s">
        <v>714</v>
      </c>
      <c r="D12" s="207" t="s">
        <v>704</v>
      </c>
      <c r="E12" s="208">
        <v>4</v>
      </c>
      <c r="F12" s="208">
        <v>4.3</v>
      </c>
      <c r="G12" s="206">
        <f>+F12*E12</f>
        <v>17.2</v>
      </c>
      <c r="H12" s="209"/>
    </row>
    <row r="13" spans="1:8" x14ac:dyDescent="0.25">
      <c r="A13" s="201"/>
      <c r="B13" s="202" t="s">
        <v>715</v>
      </c>
      <c r="C13" s="203" t="s">
        <v>706</v>
      </c>
      <c r="D13" s="207" t="s">
        <v>704</v>
      </c>
      <c r="E13" s="208">
        <v>2</v>
      </c>
      <c r="F13" s="208">
        <v>1.5</v>
      </c>
      <c r="G13" s="206">
        <v>3</v>
      </c>
      <c r="H13" s="209"/>
    </row>
    <row r="14" spans="1:8" x14ac:dyDescent="0.25">
      <c r="A14" s="201"/>
      <c r="B14" s="202" t="s">
        <v>716</v>
      </c>
      <c r="C14" s="203" t="s">
        <v>706</v>
      </c>
      <c r="D14" s="207" t="s">
        <v>704</v>
      </c>
      <c r="E14" s="208">
        <v>1.5</v>
      </c>
      <c r="F14" s="208">
        <v>1.23</v>
      </c>
      <c r="G14" s="206">
        <v>1.85</v>
      </c>
      <c r="H14" s="209"/>
    </row>
    <row r="15" spans="1:8" x14ac:dyDescent="0.25">
      <c r="A15" s="201"/>
      <c r="B15" s="202" t="s">
        <v>717</v>
      </c>
      <c r="C15" s="203" t="s">
        <v>710</v>
      </c>
      <c r="D15" s="207" t="s">
        <v>704</v>
      </c>
      <c r="E15" s="208">
        <v>5.2</v>
      </c>
      <c r="F15" s="208">
        <v>3.74</v>
      </c>
      <c r="G15" s="206">
        <v>19.46</v>
      </c>
      <c r="H15" s="209"/>
    </row>
    <row r="16" spans="1:8" x14ac:dyDescent="0.25">
      <c r="A16" s="201"/>
      <c r="B16" s="202" t="s">
        <v>718</v>
      </c>
      <c r="C16" s="203" t="s">
        <v>712</v>
      </c>
      <c r="D16" s="207" t="s">
        <v>704</v>
      </c>
      <c r="E16" s="208">
        <v>2.65</v>
      </c>
      <c r="F16" s="208">
        <v>2</v>
      </c>
      <c r="G16" s="206">
        <v>5.3</v>
      </c>
      <c r="H16" s="209"/>
    </row>
    <row r="17" spans="1:8" x14ac:dyDescent="0.25">
      <c r="A17" s="201"/>
      <c r="B17" s="202" t="s">
        <v>719</v>
      </c>
      <c r="C17" s="203" t="s">
        <v>714</v>
      </c>
      <c r="D17" s="207" t="s">
        <v>704</v>
      </c>
      <c r="E17" s="208">
        <v>4.84</v>
      </c>
      <c r="F17" s="208">
        <v>4.8</v>
      </c>
      <c r="G17" s="206">
        <f>+F17*E17</f>
        <v>23.231999999999999</v>
      </c>
      <c r="H17" s="209"/>
    </row>
    <row r="18" spans="1:8" x14ac:dyDescent="0.25">
      <c r="A18" s="201"/>
      <c r="B18" t="s">
        <v>681</v>
      </c>
      <c r="E18">
        <v>2.9</v>
      </c>
      <c r="F18">
        <v>2</v>
      </c>
      <c r="G18">
        <f>+E18*F18</f>
        <v>5.8</v>
      </c>
    </row>
    <row r="19" spans="1:8" x14ac:dyDescent="0.25">
      <c r="A19" s="201"/>
      <c r="B19" t="s">
        <v>722</v>
      </c>
      <c r="E19">
        <v>2.9</v>
      </c>
      <c r="F19">
        <v>5</v>
      </c>
      <c r="G19">
        <f>+F19*E19</f>
        <v>14.5</v>
      </c>
    </row>
    <row r="20" spans="1:8" x14ac:dyDescent="0.25">
      <c r="B20" s="210" t="s">
        <v>720</v>
      </c>
      <c r="G20" s="211">
        <f>+SUM(G1:G19)</f>
        <v>395.90199999999999</v>
      </c>
      <c r="H20" s="21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0. Capacidades x hora - turno</vt:lpstr>
      <vt:lpstr>1. Resumen Ejecutivo</vt:lpstr>
      <vt:lpstr>2. PCP - Programa &amp; Lotes</vt:lpstr>
      <vt:lpstr>3. Cuantificación Frecuencias</vt:lpstr>
      <vt:lpstr>4. Dimensionamiento Stocks</vt:lpstr>
      <vt:lpstr>5. Desde-Hasta (Viajes)</vt:lpstr>
      <vt:lpstr>6. Desde-Hasta (Flujo Masa)</vt:lpstr>
      <vt:lpstr>7. Carga-Distancia &amp; Horas</vt:lpstr>
      <vt:lpstr>8. Carga REL</vt:lpstr>
      <vt:lpstr>9. Diagrama REL</vt:lpstr>
      <vt:lpstr>Superficies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CENTRAL</dc:creator>
  <cp:lastModifiedBy>Joaquin Carrizo</cp:lastModifiedBy>
  <dcterms:created xsi:type="dcterms:W3CDTF">2026-09-05T16:14:30Z</dcterms:created>
  <dcterms:modified xsi:type="dcterms:W3CDTF">2026-09-08T21:52:03Z</dcterms:modified>
</cp:coreProperties>
</file>