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PROBOOK\Desktop\Control de Gestión\Pelaccini\Forecast\"/>
    </mc:Choice>
  </mc:AlternateContent>
  <xr:revisionPtr revIDLastSave="0" documentId="13_ncr:1_{C3CCFB82-25D2-4DF5-A188-BDD8DC06B6E1}" xr6:coauthVersionLast="47" xr6:coauthVersionMax="47" xr10:uidLastSave="{00000000-0000-0000-0000-000000000000}"/>
  <bookViews>
    <workbookView xWindow="-110" yWindow="-110" windowWidth="19420" windowHeight="10300" activeTab="1" xr2:uid="{00000000-000D-0000-FFFF-FFFF00000000}"/>
  </bookViews>
  <sheets>
    <sheet name="Caratula" sheetId="11" r:id="rId1"/>
    <sheet name="FOR 11" sheetId="1" r:id="rId2"/>
    <sheet name="FOR 12" sheetId="2" r:id="rId3"/>
    <sheet name="FOR 13" sheetId="3" r:id="rId4"/>
    <sheet name="FOR 14" sheetId="4" r:id="rId5"/>
    <sheet name="FOR 15" sheetId="5" r:id="rId6"/>
    <sheet name="FOR 16" sheetId="6" r:id="rId7"/>
    <sheet name="FOR 17" sheetId="7" r:id="rId8"/>
    <sheet name="FOR 18" sheetId="8" r:id="rId9"/>
    <sheet name="FOR 19" sheetId="9" r:id="rId10"/>
    <sheet name="FOR 20"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 l="1"/>
  <c r="H126" i="7"/>
  <c r="D40" i="2"/>
  <c r="E40" i="2" s="1"/>
  <c r="C27" i="1"/>
  <c r="E46" i="7"/>
  <c r="F46" i="7" s="1"/>
  <c r="G46" i="7" s="1"/>
  <c r="C127" i="5"/>
  <c r="E127" i="5" s="1"/>
  <c r="C128" i="5"/>
  <c r="E128" i="5" s="1"/>
  <c r="D40" i="8"/>
  <c r="D41" i="8"/>
  <c r="D42" i="8"/>
  <c r="H42" i="8" s="1"/>
  <c r="D39" i="8"/>
  <c r="F58" i="10"/>
  <c r="I81" i="8"/>
  <c r="F42" i="9" a="1"/>
  <c r="B46" i="9"/>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48" i="8"/>
  <c r="D34" i="6"/>
  <c r="D35" i="6"/>
  <c r="I105" i="8"/>
  <c r="I100" i="8"/>
  <c r="I82" i="8"/>
  <c r="I83" i="8"/>
  <c r="I84" i="8"/>
  <c r="I85" i="8"/>
  <c r="I86" i="8"/>
  <c r="I87" i="8"/>
  <c r="I88" i="8"/>
  <c r="I89" i="8"/>
  <c r="I90" i="8"/>
  <c r="I91" i="8"/>
  <c r="I92" i="8"/>
  <c r="I93" i="8"/>
  <c r="I94" i="8"/>
  <c r="I95" i="8"/>
  <c r="I96" i="8"/>
  <c r="I97" i="8"/>
  <c r="I98" i="8"/>
  <c r="I99" i="8"/>
  <c r="I101" i="8"/>
  <c r="I102" i="8"/>
  <c r="I103" i="8"/>
  <c r="I104" i="8"/>
  <c r="J104" i="8" s="1"/>
  <c r="K104" i="8" s="1"/>
  <c r="D88" i="8"/>
  <c r="H88" i="8" s="1"/>
  <c r="D89" i="8"/>
  <c r="H89" i="8" s="1"/>
  <c r="D90" i="8"/>
  <c r="H90" i="8" s="1"/>
  <c r="D91" i="8"/>
  <c r="H91" i="8" s="1"/>
  <c r="D92" i="8"/>
  <c r="H92" i="8" s="1"/>
  <c r="D93" i="8"/>
  <c r="H93" i="8" s="1"/>
  <c r="D94" i="8"/>
  <c r="H94" i="8" s="1"/>
  <c r="D95" i="8"/>
  <c r="H95" i="8" s="1"/>
  <c r="D96" i="8"/>
  <c r="H96" i="8" s="1"/>
  <c r="D97" i="8"/>
  <c r="H97" i="8" s="1"/>
  <c r="D98" i="8"/>
  <c r="H98" i="8" s="1"/>
  <c r="D99" i="8"/>
  <c r="H99" i="8" s="1"/>
  <c r="D100" i="8"/>
  <c r="H100" i="8" s="1"/>
  <c r="D101" i="8"/>
  <c r="H101" i="8" s="1"/>
  <c r="D102" i="8"/>
  <c r="H102" i="8" s="1"/>
  <c r="D103" i="8"/>
  <c r="H103" i="8" s="1"/>
  <c r="D104" i="8"/>
  <c r="H104" i="8" s="1"/>
  <c r="D105" i="8"/>
  <c r="H105" i="8" s="1"/>
  <c r="D106" i="8"/>
  <c r="H106" i="8" s="1"/>
  <c r="D107" i="8"/>
  <c r="H107" i="8" s="1"/>
  <c r="D108" i="8"/>
  <c r="H108" i="8" s="1"/>
  <c r="D109" i="8"/>
  <c r="H109" i="8" s="1"/>
  <c r="D110" i="8"/>
  <c r="H110" i="8" s="1"/>
  <c r="D87" i="8"/>
  <c r="H87" i="8" s="1"/>
  <c r="D43" i="8"/>
  <c r="H43" i="8" s="1"/>
  <c r="D44" i="8"/>
  <c r="H44" i="8" s="1"/>
  <c r="D45" i="8"/>
  <c r="H45" i="8" s="1"/>
  <c r="D46" i="8"/>
  <c r="H46" i="8" s="1"/>
  <c r="D47" i="8"/>
  <c r="H47" i="8" s="1"/>
  <c r="D48" i="8"/>
  <c r="H48" i="8" s="1"/>
  <c r="D49" i="8"/>
  <c r="H49" i="8" s="1"/>
  <c r="D50" i="8"/>
  <c r="H50" i="8" s="1"/>
  <c r="D51" i="8"/>
  <c r="H51" i="8" s="1"/>
  <c r="D52" i="8"/>
  <c r="H52" i="8" s="1"/>
  <c r="D53" i="8"/>
  <c r="H53" i="8" s="1"/>
  <c r="D54" i="8"/>
  <c r="H54" i="8" s="1"/>
  <c r="D55" i="8"/>
  <c r="H55" i="8" s="1"/>
  <c r="D56" i="8"/>
  <c r="H56" i="8" s="1"/>
  <c r="D57" i="8"/>
  <c r="H57" i="8" s="1"/>
  <c r="D58" i="8"/>
  <c r="H58" i="8" s="1"/>
  <c r="D59" i="8"/>
  <c r="H59" i="8" s="1"/>
  <c r="D60" i="8"/>
  <c r="H60" i="8" s="1"/>
  <c r="D61" i="8"/>
  <c r="H61" i="8" s="1"/>
  <c r="D62" i="8"/>
  <c r="H62" i="8" s="1"/>
  <c r="D63" i="8"/>
  <c r="H63" i="8" s="1"/>
  <c r="D64" i="8"/>
  <c r="H64" i="8" s="1"/>
  <c r="D65" i="8"/>
  <c r="H65" i="8" s="1"/>
  <c r="D66" i="8"/>
  <c r="H66" i="8" s="1"/>
  <c r="D67" i="8"/>
  <c r="H67" i="8" s="1"/>
  <c r="D68" i="8"/>
  <c r="H68" i="8" s="1"/>
  <c r="D69" i="8"/>
  <c r="H69" i="8" s="1"/>
  <c r="D70" i="8"/>
  <c r="H70" i="8" s="1"/>
  <c r="D55" i="10"/>
  <c r="A61" i="10" s="1"/>
  <c r="C129" i="5"/>
  <c r="E129" i="5" s="1"/>
  <c r="C130" i="5"/>
  <c r="E130" i="5" s="1"/>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D81" i="5"/>
  <c r="D80" i="5"/>
  <c r="D79" i="5"/>
  <c r="D78" i="5"/>
  <c r="D77" i="5"/>
  <c r="D76" i="5"/>
  <c r="D75" i="5"/>
  <c r="D74" i="5"/>
  <c r="D73" i="5"/>
  <c r="D72" i="5"/>
  <c r="D71" i="5"/>
  <c r="D70" i="5"/>
  <c r="D69" i="5"/>
  <c r="E69" i="5" s="1"/>
  <c r="F69" i="5" s="1"/>
  <c r="D68" i="5"/>
  <c r="D67" i="5"/>
  <c r="D66" i="5"/>
  <c r="E66" i="5" s="1"/>
  <c r="F66" i="5" s="1"/>
  <c r="D65" i="5"/>
  <c r="E65" i="5" s="1"/>
  <c r="F65" i="5" s="1"/>
  <c r="D64" i="5"/>
  <c r="D63" i="5"/>
  <c r="D62" i="5"/>
  <c r="D61" i="5"/>
  <c r="D60" i="5"/>
  <c r="D59" i="5"/>
  <c r="D58" i="5"/>
  <c r="D57" i="5"/>
  <c r="C52" i="5"/>
  <c r="C51" i="5"/>
  <c r="C42" i="5"/>
  <c r="C29" i="5"/>
  <c r="C50" i="5"/>
  <c r="C49" i="5"/>
  <c r="C48" i="5"/>
  <c r="C47" i="5"/>
  <c r="C46" i="5"/>
  <c r="C45" i="5"/>
  <c r="C44" i="5"/>
  <c r="C43" i="5"/>
  <c r="C41" i="5"/>
  <c r="C40" i="5"/>
  <c r="C39" i="5"/>
  <c r="C38" i="5"/>
  <c r="C37" i="5"/>
  <c r="C36" i="5"/>
  <c r="C35" i="5"/>
  <c r="C34" i="5"/>
  <c r="C33" i="5"/>
  <c r="C32" i="5"/>
  <c r="C31" i="5"/>
  <c r="C30" i="5"/>
  <c r="G248" i="7"/>
  <c r="E57" i="6"/>
  <c r="E58" i="6"/>
  <c r="E59" i="6"/>
  <c r="E60" i="6"/>
  <c r="E61" i="6"/>
  <c r="E62" i="6"/>
  <c r="E63" i="6"/>
  <c r="E64" i="6"/>
  <c r="E65" i="6"/>
  <c r="E66" i="6"/>
  <c r="E67" i="6"/>
  <c r="E68" i="6"/>
  <c r="E69" i="6"/>
  <c r="E70" i="6"/>
  <c r="E71" i="6"/>
  <c r="E72" i="6"/>
  <c r="E73" i="6"/>
  <c r="E74" i="6"/>
  <c r="E75" i="6"/>
  <c r="E76" i="6"/>
  <c r="E77" i="6"/>
  <c r="E78" i="6"/>
  <c r="E79" i="6"/>
  <c r="F79" i="6" s="1"/>
  <c r="G79" i="6" s="1"/>
  <c r="E55" i="6"/>
  <c r="E56" i="6"/>
  <c r="D22" i="3"/>
  <c r="E22" i="3"/>
  <c r="C36" i="1"/>
  <c r="D36" i="1" s="1"/>
  <c r="C37" i="1"/>
  <c r="D37" i="1" s="1"/>
  <c r="C38" i="1"/>
  <c r="D38" i="1" s="1"/>
  <c r="C35" i="1"/>
  <c r="D35" i="1" s="1"/>
  <c r="C48" i="2"/>
  <c r="C24" i="1"/>
  <c r="D24" i="1" s="1"/>
  <c r="C25" i="1"/>
  <c r="D25" i="1" s="1"/>
  <c r="C23" i="1"/>
  <c r="C46" i="2"/>
  <c r="D47" i="2" s="1"/>
  <c r="E47" i="2" s="1"/>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F196" i="7"/>
  <c r="F174" i="7"/>
  <c r="F175" i="7"/>
  <c r="F176" i="7"/>
  <c r="F177" i="7"/>
  <c r="F178" i="7"/>
  <c r="F179" i="7"/>
  <c r="F180" i="7"/>
  <c r="F181" i="7"/>
  <c r="F182" i="7"/>
  <c r="F183" i="7"/>
  <c r="F184" i="7"/>
  <c r="F185" i="7"/>
  <c r="F186" i="7"/>
  <c r="F187" i="7"/>
  <c r="F188" i="7"/>
  <c r="F189" i="7"/>
  <c r="F190" i="7"/>
  <c r="F191" i="7"/>
  <c r="F192" i="7"/>
  <c r="F193" i="7"/>
  <c r="F194" i="7"/>
  <c r="F195" i="7"/>
  <c r="F173"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7" i="7"/>
  <c r="H128" i="7"/>
  <c r="H129" i="7"/>
  <c r="H130" i="7"/>
  <c r="H131" i="7"/>
  <c r="H132" i="7"/>
  <c r="H133" i="7"/>
  <c r="H134" i="7"/>
  <c r="H135" i="7"/>
  <c r="H136" i="7"/>
  <c r="H137" i="7"/>
  <c r="H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90" i="7"/>
  <c r="E43" i="8"/>
  <c r="E59" i="8"/>
  <c r="C82" i="2"/>
  <c r="C86" i="2" s="1"/>
  <c r="C75" i="2"/>
  <c r="D75" i="2" s="1"/>
  <c r="E75" i="2" s="1"/>
  <c r="C47" i="2"/>
  <c r="B52" i="2" s="1"/>
  <c r="C41" i="2"/>
  <c r="D42" i="2" s="1"/>
  <c r="E42" i="2" s="1"/>
  <c r="G42" i="2" s="1"/>
  <c r="C42" i="2"/>
  <c r="D43" i="2" s="1"/>
  <c r="E43" i="2" s="1"/>
  <c r="C43" i="2"/>
  <c r="D44" i="2" s="1"/>
  <c r="E44" i="2" s="1"/>
  <c r="C44" i="2"/>
  <c r="D45" i="2" s="1"/>
  <c r="E45" i="2" s="1"/>
  <c r="C45" i="2"/>
  <c r="D46" i="2" s="1"/>
  <c r="E46" i="2" s="1"/>
  <c r="C40" i="2"/>
  <c r="D41" i="2" s="1"/>
  <c r="E41" i="2" s="1"/>
  <c r="G41" i="2" s="1"/>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F77" i="7" s="1"/>
  <c r="G77" i="7" s="1"/>
  <c r="C49" i="4"/>
  <c r="D88" i="2"/>
  <c r="E88" i="2"/>
  <c r="C88" i="2"/>
  <c r="C76" i="2"/>
  <c r="D76" i="2" s="1"/>
  <c r="E76" i="2" s="1"/>
  <c r="C77" i="2"/>
  <c r="D77" i="2" s="1"/>
  <c r="E77" i="2" s="1"/>
  <c r="C78" i="2"/>
  <c r="D78" i="2" s="1"/>
  <c r="E78" i="2" s="1"/>
  <c r="C79" i="2"/>
  <c r="D79" i="2" s="1"/>
  <c r="E79" i="2" s="1"/>
  <c r="C80" i="2"/>
  <c r="D80" i="2" s="1"/>
  <c r="E80" i="2" s="1"/>
  <c r="C81" i="2"/>
  <c r="D81" i="2" s="1"/>
  <c r="E81" i="2" s="1"/>
  <c r="C54" i="2"/>
  <c r="D54" i="2"/>
  <c r="B54" i="2"/>
  <c r="E75" i="5" l="1"/>
  <c r="F75" i="5" s="1"/>
  <c r="E64" i="5"/>
  <c r="F64" i="5" s="1"/>
  <c r="E80" i="5"/>
  <c r="F80" i="5" s="1"/>
  <c r="F42" i="9"/>
  <c r="D37" i="9" s="1"/>
  <c r="D36" i="9"/>
  <c r="D44" i="9"/>
  <c r="D35" i="9"/>
  <c r="D43" i="9"/>
  <c r="D42" i="9"/>
  <c r="D41" i="9"/>
  <c r="D40" i="9"/>
  <c r="D38" i="9"/>
  <c r="D39" i="9"/>
  <c r="E87" i="8"/>
  <c r="E58" i="8"/>
  <c r="G58" i="8" s="1"/>
  <c r="E74" i="5"/>
  <c r="F74" i="5" s="1"/>
  <c r="E72" i="5"/>
  <c r="F72" i="5" s="1"/>
  <c r="E58" i="5"/>
  <c r="F58" i="5" s="1"/>
  <c r="E68" i="5"/>
  <c r="F68" i="5" s="1"/>
  <c r="E70" i="5"/>
  <c r="F70" i="5" s="1"/>
  <c r="D29" i="1"/>
  <c r="E66" i="8"/>
  <c r="G66" i="8" s="1"/>
  <c r="E65" i="8"/>
  <c r="E49" i="8"/>
  <c r="G49" i="8" s="1"/>
  <c r="E50" i="8"/>
  <c r="E42" i="8"/>
  <c r="G42" i="8" s="1"/>
  <c r="E63" i="8"/>
  <c r="G63" i="8" s="1"/>
  <c r="E52" i="8"/>
  <c r="F52" i="8" s="1"/>
  <c r="E51" i="8"/>
  <c r="G51" i="8" s="1"/>
  <c r="E44" i="8"/>
  <c r="G44" i="8" s="1"/>
  <c r="J99" i="8"/>
  <c r="K99" i="8" s="1"/>
  <c r="E69" i="8"/>
  <c r="G69" i="8" s="1"/>
  <c r="E53" i="8"/>
  <c r="G53" i="8" s="1"/>
  <c r="E68" i="8"/>
  <c r="F68" i="8" s="1"/>
  <c r="E57" i="8"/>
  <c r="G57" i="8" s="1"/>
  <c r="E47" i="8"/>
  <c r="G47" i="8" s="1"/>
  <c r="E67" i="8"/>
  <c r="F67" i="8" s="1"/>
  <c r="E64" i="8"/>
  <c r="G64" i="8" s="1"/>
  <c r="E48" i="8"/>
  <c r="F48" i="8" s="1"/>
  <c r="E62" i="8"/>
  <c r="G62" i="8" s="1"/>
  <c r="E46" i="8"/>
  <c r="F46" i="8" s="1"/>
  <c r="E61" i="8"/>
  <c r="F61" i="8" s="1"/>
  <c r="E45" i="8"/>
  <c r="G45" i="8" s="1"/>
  <c r="E60" i="8"/>
  <c r="G60" i="8" s="1"/>
  <c r="J81" i="8"/>
  <c r="K81" i="8" s="1"/>
  <c r="E56" i="8"/>
  <c r="G56" i="8" s="1"/>
  <c r="E55" i="8"/>
  <c r="F55" i="8" s="1"/>
  <c r="E70" i="8"/>
  <c r="G70" i="8" s="1"/>
  <c r="E54" i="8"/>
  <c r="G54" i="8" s="1"/>
  <c r="G173" i="7"/>
  <c r="H173" i="7" s="1"/>
  <c r="J53" i="6"/>
  <c r="J84" i="6"/>
  <c r="J79" i="6"/>
  <c r="J77" i="6"/>
  <c r="J76" i="6"/>
  <c r="J73" i="6"/>
  <c r="J71" i="6"/>
  <c r="J69" i="6"/>
  <c r="J68" i="6"/>
  <c r="J67" i="6"/>
  <c r="J66" i="6"/>
  <c r="J60" i="6"/>
  <c r="J65" i="6"/>
  <c r="J83" i="6"/>
  <c r="J64" i="6"/>
  <c r="J82" i="6"/>
  <c r="J63" i="6"/>
  <c r="J81" i="6"/>
  <c r="J62" i="6"/>
  <c r="J80" i="6"/>
  <c r="J61" i="6"/>
  <c r="F56" i="6"/>
  <c r="G56" i="6" s="1"/>
  <c r="J78" i="6"/>
  <c r="J57" i="6"/>
  <c r="J55" i="6"/>
  <c r="J75" i="6"/>
  <c r="J59" i="6"/>
  <c r="J74" i="6"/>
  <c r="J58" i="6"/>
  <c r="J72" i="6"/>
  <c r="J56" i="6"/>
  <c r="J70" i="6"/>
  <c r="J54" i="6"/>
  <c r="E57" i="5"/>
  <c r="F57" i="5" s="1"/>
  <c r="E59" i="5"/>
  <c r="F59" i="5" s="1"/>
  <c r="E60" i="5"/>
  <c r="F60" i="5" s="1"/>
  <c r="E76" i="5"/>
  <c r="F76" i="5" s="1"/>
  <c r="E71" i="5"/>
  <c r="F71" i="5" s="1"/>
  <c r="E73" i="5"/>
  <c r="F73" i="5" s="1"/>
  <c r="E61" i="5"/>
  <c r="F61" i="5" s="1"/>
  <c r="E77" i="5"/>
  <c r="F77" i="5" s="1"/>
  <c r="E62" i="5"/>
  <c r="F62" i="5" s="1"/>
  <c r="E78" i="5"/>
  <c r="F78" i="5" s="1"/>
  <c r="E63" i="5"/>
  <c r="F63" i="5" s="1"/>
  <c r="E79" i="5"/>
  <c r="F79" i="5" s="1"/>
  <c r="E67" i="5"/>
  <c r="F67" i="5" s="1"/>
  <c r="D40" i="1"/>
  <c r="E83" i="2"/>
  <c r="C89" i="2" s="1"/>
  <c r="H39" i="8"/>
  <c r="E39" i="8"/>
  <c r="F39" i="8" s="1"/>
  <c r="H41" i="8"/>
  <c r="E41" i="8"/>
  <c r="G41" i="8" s="1"/>
  <c r="H40" i="8"/>
  <c r="E40" i="8"/>
  <c r="G40" i="8" s="1"/>
  <c r="B61" i="10"/>
  <c r="D34" i="9"/>
  <c r="B31" i="3"/>
  <c r="B32" i="3"/>
  <c r="G40" i="2"/>
  <c r="E49" i="2"/>
  <c r="B55" i="2" s="1"/>
  <c r="F40" i="2"/>
  <c r="E46" i="9"/>
  <c r="J103" i="8"/>
  <c r="K103" i="8" s="1"/>
  <c r="J102" i="8"/>
  <c r="K102" i="8" s="1"/>
  <c r="J101" i="8"/>
  <c r="K101" i="8" s="1"/>
  <c r="J98" i="8"/>
  <c r="K98" i="8" s="1"/>
  <c r="J97" i="8"/>
  <c r="K97" i="8" s="1"/>
  <c r="J96" i="8"/>
  <c r="K96" i="8" s="1"/>
  <c r="J95" i="8"/>
  <c r="K95" i="8" s="1"/>
  <c r="J94" i="8"/>
  <c r="K94" i="8" s="1"/>
  <c r="J93" i="8"/>
  <c r="K93" i="8" s="1"/>
  <c r="J92" i="8"/>
  <c r="K92" i="8" s="1"/>
  <c r="L92" i="8" s="1"/>
  <c r="F153" i="8" s="1"/>
  <c r="J91" i="8"/>
  <c r="K91" i="8" s="1"/>
  <c r="J90" i="8"/>
  <c r="K90" i="8" s="1"/>
  <c r="J89" i="8"/>
  <c r="K89" i="8" s="1"/>
  <c r="J88" i="8"/>
  <c r="K88" i="8" s="1"/>
  <c r="J87" i="8"/>
  <c r="K87" i="8" s="1"/>
  <c r="J86" i="8"/>
  <c r="K86" i="8" s="1"/>
  <c r="J85" i="8"/>
  <c r="K85" i="8" s="1"/>
  <c r="J84" i="8"/>
  <c r="K84" i="8" s="1"/>
  <c r="J83" i="8"/>
  <c r="K83" i="8" s="1"/>
  <c r="J82" i="8"/>
  <c r="K82" i="8" s="1"/>
  <c r="J100" i="8"/>
  <c r="K100" i="8" s="1"/>
  <c r="F55" i="6"/>
  <c r="G55" i="6" s="1"/>
  <c r="F78" i="6"/>
  <c r="G78" i="6" s="1"/>
  <c r="F77" i="6"/>
  <c r="G77" i="6" s="1"/>
  <c r="F76" i="6"/>
  <c r="G76" i="6" s="1"/>
  <c r="F75" i="6"/>
  <c r="G75" i="6" s="1"/>
  <c r="F74" i="6"/>
  <c r="G74" i="6" s="1"/>
  <c r="F73" i="6"/>
  <c r="G73" i="6" s="1"/>
  <c r="F72" i="6"/>
  <c r="G72" i="6" s="1"/>
  <c r="F71" i="6"/>
  <c r="G71" i="6" s="1"/>
  <c r="F70" i="6"/>
  <c r="G70" i="6" s="1"/>
  <c r="F69" i="6"/>
  <c r="G69" i="6" s="1"/>
  <c r="F68" i="6"/>
  <c r="G68" i="6" s="1"/>
  <c r="F67" i="6"/>
  <c r="G67" i="6" s="1"/>
  <c r="F66" i="6"/>
  <c r="G66" i="6" s="1"/>
  <c r="F65" i="6"/>
  <c r="G65" i="6" s="1"/>
  <c r="F64" i="6"/>
  <c r="G64" i="6" s="1"/>
  <c r="F63" i="6"/>
  <c r="G63" i="6" s="1"/>
  <c r="F62" i="6"/>
  <c r="G62" i="6" s="1"/>
  <c r="F61" i="6"/>
  <c r="G61" i="6" s="1"/>
  <c r="F60" i="6"/>
  <c r="G60" i="6" s="1"/>
  <c r="F59" i="6"/>
  <c r="G59" i="6" s="1"/>
  <c r="F58" i="6"/>
  <c r="G58" i="6" s="1"/>
  <c r="F57" i="6"/>
  <c r="G57" i="6" s="1"/>
  <c r="E110" i="8"/>
  <c r="E109" i="8"/>
  <c r="E108" i="8"/>
  <c r="E107" i="8"/>
  <c r="E106" i="8"/>
  <c r="E105" i="8"/>
  <c r="E104" i="8"/>
  <c r="E103" i="8"/>
  <c r="E102" i="8"/>
  <c r="E101" i="8"/>
  <c r="E100" i="8"/>
  <c r="E99" i="8"/>
  <c r="E98" i="8"/>
  <c r="E97" i="8"/>
  <c r="E96" i="8"/>
  <c r="E95" i="8"/>
  <c r="E94" i="8"/>
  <c r="E93" i="8"/>
  <c r="E92" i="8"/>
  <c r="E91" i="8"/>
  <c r="E90" i="8"/>
  <c r="E89" i="8"/>
  <c r="E88" i="8"/>
  <c r="F35" i="1"/>
  <c r="E35" i="1"/>
  <c r="F36" i="1"/>
  <c r="E36" i="1"/>
  <c r="F37" i="1"/>
  <c r="E37" i="1"/>
  <c r="G37" i="1" s="1"/>
  <c r="F38" i="1"/>
  <c r="E38" i="1"/>
  <c r="G38" i="1" s="1"/>
  <c r="E23" i="1"/>
  <c r="F23" i="1"/>
  <c r="F25" i="1"/>
  <c r="E25" i="1"/>
  <c r="G25" i="1" s="1"/>
  <c r="F24" i="1"/>
  <c r="E24" i="1"/>
  <c r="G24" i="1" s="1"/>
  <c r="G195" i="7"/>
  <c r="H195" i="7" s="1"/>
  <c r="G194" i="7"/>
  <c r="H194" i="7" s="1"/>
  <c r="G193" i="7"/>
  <c r="H193" i="7" s="1"/>
  <c r="G192" i="7"/>
  <c r="H192" i="7" s="1"/>
  <c r="G191" i="7"/>
  <c r="H191" i="7" s="1"/>
  <c r="G190" i="7"/>
  <c r="H190" i="7" s="1"/>
  <c r="G189" i="7"/>
  <c r="H189" i="7" s="1"/>
  <c r="G188" i="7"/>
  <c r="H188" i="7" s="1"/>
  <c r="G187" i="7"/>
  <c r="H187" i="7" s="1"/>
  <c r="G186" i="7"/>
  <c r="H186" i="7" s="1"/>
  <c r="G185" i="7"/>
  <c r="H185" i="7" s="1"/>
  <c r="I173" i="7" s="1"/>
  <c r="G184" i="7"/>
  <c r="H184" i="7" s="1"/>
  <c r="I184" i="7" s="1"/>
  <c r="G183" i="7"/>
  <c r="H183" i="7" s="1"/>
  <c r="G182" i="7"/>
  <c r="H182" i="7" s="1"/>
  <c r="G181" i="7"/>
  <c r="H181" i="7" s="1"/>
  <c r="G180" i="7"/>
  <c r="H180" i="7" s="1"/>
  <c r="G179" i="7"/>
  <c r="H179" i="7" s="1"/>
  <c r="G178" i="7"/>
  <c r="H178" i="7" s="1"/>
  <c r="G177" i="7"/>
  <c r="H177" i="7" s="1"/>
  <c r="G176" i="7"/>
  <c r="H176" i="7" s="1"/>
  <c r="G175" i="7"/>
  <c r="H175" i="7" s="1"/>
  <c r="G174" i="7"/>
  <c r="H174" i="7" s="1"/>
  <c r="F76" i="7"/>
  <c r="G76" i="7" s="1"/>
  <c r="I76" i="7" s="1"/>
  <c r="J76" i="7"/>
  <c r="K76" i="7" s="1"/>
  <c r="F75" i="7"/>
  <c r="G75" i="7" s="1"/>
  <c r="I75" i="7" s="1"/>
  <c r="J75" i="7"/>
  <c r="K75" i="7" s="1"/>
  <c r="F74" i="7"/>
  <c r="G74" i="7" s="1"/>
  <c r="I74" i="7" s="1"/>
  <c r="J74" i="7"/>
  <c r="K74" i="7" s="1"/>
  <c r="F73" i="7"/>
  <c r="G73" i="7" s="1"/>
  <c r="H73" i="7" s="1"/>
  <c r="J73" i="7"/>
  <c r="K73" i="7" s="1"/>
  <c r="F72" i="7"/>
  <c r="G72" i="7" s="1"/>
  <c r="I72" i="7" s="1"/>
  <c r="J72" i="7"/>
  <c r="K72" i="7" s="1"/>
  <c r="F71" i="7"/>
  <c r="G71" i="7" s="1"/>
  <c r="I71" i="7" s="1"/>
  <c r="J71" i="7"/>
  <c r="K71" i="7" s="1"/>
  <c r="F70" i="7"/>
  <c r="G70" i="7" s="1"/>
  <c r="H70" i="7" s="1"/>
  <c r="J70" i="7"/>
  <c r="K70" i="7" s="1"/>
  <c r="F69" i="7"/>
  <c r="G69" i="7" s="1"/>
  <c r="I69" i="7" s="1"/>
  <c r="J69" i="7"/>
  <c r="K69" i="7" s="1"/>
  <c r="F68" i="7"/>
  <c r="G68" i="7" s="1"/>
  <c r="H68" i="7" s="1"/>
  <c r="J68" i="7"/>
  <c r="K68" i="7" s="1"/>
  <c r="F67" i="7"/>
  <c r="G67" i="7" s="1"/>
  <c r="I67" i="7" s="1"/>
  <c r="J67" i="7"/>
  <c r="K67" i="7" s="1"/>
  <c r="F66" i="7"/>
  <c r="G66" i="7" s="1"/>
  <c r="I66" i="7" s="1"/>
  <c r="J66" i="7"/>
  <c r="K66" i="7" s="1"/>
  <c r="F65" i="7"/>
  <c r="G65" i="7" s="1"/>
  <c r="H65" i="7" s="1"/>
  <c r="J65" i="7"/>
  <c r="K65" i="7" s="1"/>
  <c r="F64" i="7"/>
  <c r="G64" i="7" s="1"/>
  <c r="H64" i="7" s="1"/>
  <c r="J64" i="7"/>
  <c r="K64" i="7" s="1"/>
  <c r="F63" i="7"/>
  <c r="G63" i="7" s="1"/>
  <c r="I63" i="7" s="1"/>
  <c r="J63" i="7"/>
  <c r="K63" i="7" s="1"/>
  <c r="F62" i="7"/>
  <c r="G62" i="7" s="1"/>
  <c r="I62" i="7" s="1"/>
  <c r="J62" i="7"/>
  <c r="K62" i="7" s="1"/>
  <c r="F61" i="7"/>
  <c r="G61" i="7" s="1"/>
  <c r="I61" i="7" s="1"/>
  <c r="J61" i="7"/>
  <c r="K61" i="7" s="1"/>
  <c r="F60" i="7"/>
  <c r="G60" i="7" s="1"/>
  <c r="I60" i="7" s="1"/>
  <c r="J60" i="7"/>
  <c r="K60" i="7" s="1"/>
  <c r="F59" i="7"/>
  <c r="G59" i="7" s="1"/>
  <c r="I59" i="7" s="1"/>
  <c r="J59" i="7"/>
  <c r="K59" i="7" s="1"/>
  <c r="F58" i="7"/>
  <c r="G58" i="7" s="1"/>
  <c r="I58" i="7" s="1"/>
  <c r="J58" i="7"/>
  <c r="K58" i="7" s="1"/>
  <c r="F57" i="7"/>
  <c r="G57" i="7" s="1"/>
  <c r="I57" i="7" s="1"/>
  <c r="J57" i="7"/>
  <c r="K57" i="7" s="1"/>
  <c r="F56" i="7"/>
  <c r="G56" i="7" s="1"/>
  <c r="H56" i="7" s="1"/>
  <c r="J56" i="7"/>
  <c r="K56" i="7" s="1"/>
  <c r="F55" i="7"/>
  <c r="G55" i="7" s="1"/>
  <c r="H55" i="7" s="1"/>
  <c r="J55" i="7"/>
  <c r="K55" i="7" s="1"/>
  <c r="F54" i="7"/>
  <c r="G54" i="7" s="1"/>
  <c r="H54" i="7" s="1"/>
  <c r="J54" i="7"/>
  <c r="K54" i="7" s="1"/>
  <c r="F53" i="7"/>
  <c r="G53" i="7" s="1"/>
  <c r="H53" i="7" s="1"/>
  <c r="J53" i="7"/>
  <c r="K53" i="7" s="1"/>
  <c r="L53" i="7" s="1"/>
  <c r="F52" i="7"/>
  <c r="G52" i="7" s="1"/>
  <c r="I52" i="7" s="1"/>
  <c r="J52" i="7"/>
  <c r="K52" i="7" s="1"/>
  <c r="F51" i="7"/>
  <c r="G51" i="7" s="1"/>
  <c r="I51" i="7" s="1"/>
  <c r="J51" i="7"/>
  <c r="K51" i="7" s="1"/>
  <c r="F50" i="7"/>
  <c r="G50" i="7" s="1"/>
  <c r="I50" i="7" s="1"/>
  <c r="J50" i="7"/>
  <c r="K50" i="7" s="1"/>
  <c r="F49" i="7"/>
  <c r="G49" i="7" s="1"/>
  <c r="H49" i="7" s="1"/>
  <c r="J49" i="7"/>
  <c r="K49" i="7" s="1"/>
  <c r="F48" i="7"/>
  <c r="G48" i="7" s="1"/>
  <c r="I48" i="7" s="1"/>
  <c r="J48" i="7"/>
  <c r="K48" i="7" s="1"/>
  <c r="F47" i="7"/>
  <c r="G47" i="7" s="1"/>
  <c r="I47" i="7" s="1"/>
  <c r="J47" i="7"/>
  <c r="K47" i="7" s="1"/>
  <c r="J46" i="7"/>
  <c r="K46" i="7" s="1"/>
  <c r="F66" i="8"/>
  <c r="G65" i="8"/>
  <c r="F65" i="8"/>
  <c r="G59" i="8"/>
  <c r="F59" i="8"/>
  <c r="F58" i="8"/>
  <c r="F56" i="8"/>
  <c r="G50" i="8"/>
  <c r="F50" i="8"/>
  <c r="G43" i="8"/>
  <c r="F43" i="8"/>
  <c r="I46" i="7"/>
  <c r="H46" i="7"/>
  <c r="I77" i="7"/>
  <c r="H77" i="7"/>
  <c r="H76" i="7"/>
  <c r="I73" i="7"/>
  <c r="H72" i="7"/>
  <c r="I70" i="7"/>
  <c r="I65" i="7"/>
  <c r="I56" i="7"/>
  <c r="I49" i="7"/>
  <c r="G75" i="2"/>
  <c r="F75" i="2"/>
  <c r="G76" i="2"/>
  <c r="F76" i="2"/>
  <c r="G77" i="2"/>
  <c r="F77" i="2"/>
  <c r="G78" i="2"/>
  <c r="F78" i="2"/>
  <c r="G79" i="2"/>
  <c r="F79" i="2"/>
  <c r="G80" i="2"/>
  <c r="F80" i="2"/>
  <c r="G81" i="2"/>
  <c r="F81" i="2"/>
  <c r="G47" i="2"/>
  <c r="F47" i="2"/>
  <c r="G46" i="2"/>
  <c r="F46" i="2"/>
  <c r="G45" i="2"/>
  <c r="F45" i="2"/>
  <c r="G44" i="2"/>
  <c r="F44" i="2"/>
  <c r="G43" i="2"/>
  <c r="F43" i="2"/>
  <c r="F42" i="2"/>
  <c r="F41" i="2"/>
  <c r="D45" i="9" l="1"/>
  <c r="F49" i="8"/>
  <c r="G52" i="8"/>
  <c r="H57" i="7"/>
  <c r="G60" i="5"/>
  <c r="H60" i="5" s="1"/>
  <c r="G58" i="5"/>
  <c r="H58" i="5" s="1"/>
  <c r="F63" i="8"/>
  <c r="F42" i="8"/>
  <c r="F57" i="8"/>
  <c r="F47" i="8"/>
  <c r="F69" i="8"/>
  <c r="F70" i="8"/>
  <c r="G39" i="8"/>
  <c r="F51" i="8"/>
  <c r="G68" i="8"/>
  <c r="F44" i="8"/>
  <c r="L87" i="8"/>
  <c r="F148" i="8" s="1"/>
  <c r="G148" i="8" s="1"/>
  <c r="G48" i="8"/>
  <c r="G67" i="8"/>
  <c r="G46" i="8"/>
  <c r="G61" i="8"/>
  <c r="L86" i="8"/>
  <c r="F159" i="8" s="1"/>
  <c r="F171" i="8" s="1"/>
  <c r="G171" i="8" s="1"/>
  <c r="F60" i="8"/>
  <c r="F40" i="8"/>
  <c r="L83" i="8"/>
  <c r="F156" i="8" s="1"/>
  <c r="F192" i="8" s="1"/>
  <c r="F53" i="8"/>
  <c r="F45" i="8"/>
  <c r="F41" i="8"/>
  <c r="F64" i="8"/>
  <c r="L84" i="8"/>
  <c r="F157" i="8" s="1"/>
  <c r="F181" i="8" s="1"/>
  <c r="G181" i="8" s="1"/>
  <c r="F62" i="8"/>
  <c r="G55" i="8"/>
  <c r="L85" i="8"/>
  <c r="F158" i="8" s="1"/>
  <c r="F170" i="8" s="1"/>
  <c r="G170" i="8" s="1"/>
  <c r="E71" i="8"/>
  <c r="L89" i="8"/>
  <c r="F150" i="8" s="1"/>
  <c r="F162" i="8" s="1"/>
  <c r="G162" i="8" s="1"/>
  <c r="L90" i="8"/>
  <c r="F151" i="8" s="1"/>
  <c r="F175" i="8" s="1"/>
  <c r="G175" i="8" s="1"/>
  <c r="L91" i="8"/>
  <c r="F152" i="8" s="1"/>
  <c r="F164" i="8" s="1"/>
  <c r="G164" i="8" s="1"/>
  <c r="F54" i="8"/>
  <c r="L82" i="8"/>
  <c r="F155" i="8" s="1"/>
  <c r="F167" i="8" s="1"/>
  <c r="G167" i="8" s="1"/>
  <c r="L50" i="7"/>
  <c r="I54" i="7"/>
  <c r="I53" i="7"/>
  <c r="L51" i="7"/>
  <c r="H62" i="7"/>
  <c r="I179" i="7"/>
  <c r="H61" i="7"/>
  <c r="H69" i="7"/>
  <c r="H47" i="7"/>
  <c r="H48" i="7"/>
  <c r="H63" i="7"/>
  <c r="I64" i="7"/>
  <c r="I55" i="7"/>
  <c r="H75" i="7"/>
  <c r="H71" i="7"/>
  <c r="H66" i="7"/>
  <c r="H67" i="7"/>
  <c r="L52" i="7"/>
  <c r="H59" i="7"/>
  <c r="H60" i="7"/>
  <c r="H58" i="7"/>
  <c r="I68" i="7"/>
  <c r="H50" i="7"/>
  <c r="H51" i="7"/>
  <c r="H52" i="7"/>
  <c r="I178" i="7"/>
  <c r="H74" i="7"/>
  <c r="L49" i="7"/>
  <c r="L57" i="7"/>
  <c r="I174" i="7"/>
  <c r="I175" i="7"/>
  <c r="G81" i="7"/>
  <c r="L54" i="7"/>
  <c r="I176" i="7"/>
  <c r="L46" i="7"/>
  <c r="I177" i="7"/>
  <c r="L47" i="7"/>
  <c r="L55" i="7"/>
  <c r="L48" i="7"/>
  <c r="L56" i="7"/>
  <c r="I180" i="7"/>
  <c r="I181" i="7"/>
  <c r="I182" i="7"/>
  <c r="I183" i="7"/>
  <c r="H56" i="6"/>
  <c r="K56" i="6" s="1"/>
  <c r="H55" i="6"/>
  <c r="K55" i="6" s="1"/>
  <c r="H58" i="6"/>
  <c r="I58" i="6" s="1"/>
  <c r="H57" i="6"/>
  <c r="H61" i="6" s="1"/>
  <c r="K61" i="6" s="1"/>
  <c r="G57" i="5"/>
  <c r="H57" i="5" s="1"/>
  <c r="G59" i="5"/>
  <c r="H59" i="5" s="1"/>
  <c r="H71" i="8"/>
  <c r="L81" i="8"/>
  <c r="F154" i="8" s="1"/>
  <c r="F166" i="8" s="1"/>
  <c r="G166" i="8" s="1"/>
  <c r="I29" i="6"/>
  <c r="B49" i="9"/>
  <c r="B48" i="9"/>
  <c r="F165" i="8"/>
  <c r="G165" i="8" s="1"/>
  <c r="F177" i="8"/>
  <c r="G177" i="8" s="1"/>
  <c r="F189" i="8"/>
  <c r="G153" i="8"/>
  <c r="L88" i="8"/>
  <c r="F149" i="8" s="1"/>
  <c r="G88" i="8"/>
  <c r="F88" i="8"/>
  <c r="G89" i="8"/>
  <c r="F89" i="8"/>
  <c r="G90" i="8"/>
  <c r="F90" i="8"/>
  <c r="G91" i="8"/>
  <c r="F91" i="8"/>
  <c r="G92" i="8"/>
  <c r="F92" i="8"/>
  <c r="G93" i="8"/>
  <c r="F93" i="8"/>
  <c r="G94" i="8"/>
  <c r="F94" i="8"/>
  <c r="G95" i="8"/>
  <c r="F95" i="8"/>
  <c r="G96" i="8"/>
  <c r="F96" i="8"/>
  <c r="G97" i="8"/>
  <c r="F97" i="8"/>
  <c r="G98" i="8"/>
  <c r="F98" i="8"/>
  <c r="G99" i="8"/>
  <c r="F99" i="8"/>
  <c r="G100" i="8"/>
  <c r="F100" i="8"/>
  <c r="G101" i="8"/>
  <c r="F101" i="8"/>
  <c r="G102" i="8"/>
  <c r="F102" i="8"/>
  <c r="G103" i="8"/>
  <c r="F103" i="8"/>
  <c r="G104" i="8"/>
  <c r="F104" i="8"/>
  <c r="G105" i="8"/>
  <c r="F105" i="8"/>
  <c r="G106" i="8"/>
  <c r="F106" i="8"/>
  <c r="G107" i="8"/>
  <c r="F107" i="8"/>
  <c r="G108" i="8"/>
  <c r="F108" i="8"/>
  <c r="G109" i="8"/>
  <c r="F109" i="8"/>
  <c r="G110" i="8"/>
  <c r="F110" i="8"/>
  <c r="E111" i="8"/>
  <c r="G87" i="8"/>
  <c r="F87" i="8"/>
  <c r="H111" i="8"/>
  <c r="F29" i="1"/>
  <c r="E29" i="1"/>
  <c r="G23" i="1"/>
  <c r="E40" i="1"/>
  <c r="G35" i="1"/>
  <c r="F40" i="1"/>
  <c r="G36" i="1"/>
  <c r="F83" i="2"/>
  <c r="D89" i="2" s="1"/>
  <c r="G83" i="2"/>
  <c r="E89" i="2" s="1"/>
  <c r="G49" i="2"/>
  <c r="D55" i="2" s="1"/>
  <c r="F49" i="2"/>
  <c r="C55" i="2" s="1"/>
  <c r="I81" i="7" l="1"/>
  <c r="I30" i="6"/>
  <c r="H60" i="6"/>
  <c r="K60" i="6" s="1"/>
  <c r="I56" i="6"/>
  <c r="F184" i="8"/>
  <c r="F172" i="8"/>
  <c r="G172" i="8" s="1"/>
  <c r="F160" i="8"/>
  <c r="G160" i="8" s="1"/>
  <c r="G71" i="8"/>
  <c r="F168" i="8"/>
  <c r="G168" i="8" s="1"/>
  <c r="G156" i="8"/>
  <c r="F180" i="8"/>
  <c r="G180" i="8" s="1"/>
  <c r="G150" i="8"/>
  <c r="G159" i="8"/>
  <c r="F186" i="8"/>
  <c r="F195" i="8"/>
  <c r="F183" i="8"/>
  <c r="G183" i="8" s="1"/>
  <c r="F169" i="8"/>
  <c r="G169" i="8" s="1"/>
  <c r="F71" i="8"/>
  <c r="F174" i="8"/>
  <c r="G174" i="8" s="1"/>
  <c r="F188" i="8"/>
  <c r="F163" i="8"/>
  <c r="G163" i="8" s="1"/>
  <c r="G157" i="8"/>
  <c r="F193" i="8"/>
  <c r="G152" i="8"/>
  <c r="G155" i="8"/>
  <c r="F179" i="8"/>
  <c r="G179" i="8" s="1"/>
  <c r="F176" i="8"/>
  <c r="G176" i="8" s="1"/>
  <c r="G158" i="8"/>
  <c r="G151" i="8"/>
  <c r="F194" i="8"/>
  <c r="F187" i="8"/>
  <c r="F182" i="8"/>
  <c r="G182" i="8" s="1"/>
  <c r="G111" i="8"/>
  <c r="F191" i="8"/>
  <c r="G154" i="8"/>
  <c r="F190" i="8"/>
  <c r="F178" i="8"/>
  <c r="G178" i="8" s="1"/>
  <c r="F111" i="8"/>
  <c r="H81" i="7"/>
  <c r="H54" i="6"/>
  <c r="I54" i="6" s="1"/>
  <c r="H53" i="6"/>
  <c r="K53" i="6" s="1"/>
  <c r="I57" i="6"/>
  <c r="K57" i="6"/>
  <c r="K58" i="6"/>
  <c r="H62" i="6"/>
  <c r="K62" i="6" s="1"/>
  <c r="H59" i="6"/>
  <c r="I55" i="6"/>
  <c r="H83" i="5"/>
  <c r="I28" i="6"/>
  <c r="F161" i="8"/>
  <c r="G161" i="8" s="1"/>
  <c r="F173" i="8"/>
  <c r="G173" i="8" s="1"/>
  <c r="F185" i="8"/>
  <c r="G149" i="8"/>
  <c r="I60" i="6"/>
  <c r="H64" i="6"/>
  <c r="K64" i="6" s="1"/>
  <c r="I61" i="6"/>
  <c r="H65" i="6"/>
  <c r="K65" i="6" s="1"/>
  <c r="I53" i="6" l="1"/>
  <c r="I27" i="6"/>
  <c r="K54" i="6"/>
  <c r="H66" i="6"/>
  <c r="K66" i="6" s="1"/>
  <c r="I62" i="6"/>
  <c r="K59" i="6"/>
  <c r="I59" i="6"/>
  <c r="H63" i="6"/>
  <c r="I65" i="6"/>
  <c r="H69" i="6"/>
  <c r="K69" i="6" s="1"/>
  <c r="I66" i="6"/>
  <c r="H70" i="6"/>
  <c r="K70" i="6" s="1"/>
  <c r="I64" i="6"/>
  <c r="H68" i="6"/>
  <c r="K68" i="6" s="1"/>
  <c r="K63" i="6" l="1"/>
  <c r="I63" i="6"/>
  <c r="H67" i="6"/>
  <c r="I68" i="6"/>
  <c r="H72" i="6"/>
  <c r="K72" i="6" s="1"/>
  <c r="I70" i="6"/>
  <c r="H74" i="6"/>
  <c r="K74" i="6" s="1"/>
  <c r="I69" i="6"/>
  <c r="H73" i="6"/>
  <c r="K73" i="6" s="1"/>
  <c r="K67" i="6" l="1"/>
  <c r="I67" i="6"/>
  <c r="H71" i="6"/>
  <c r="I73" i="6"/>
  <c r="H77" i="6"/>
  <c r="I74" i="6"/>
  <c r="H78" i="6"/>
  <c r="I72" i="6"/>
  <c r="H76" i="6"/>
  <c r="K76" i="6" s="1"/>
  <c r="K71" i="6" l="1"/>
  <c r="I71" i="6"/>
  <c r="H75" i="6"/>
  <c r="I78" i="6"/>
  <c r="H82" i="6"/>
  <c r="K82" i="6" s="1"/>
  <c r="K78" i="6"/>
  <c r="I77" i="6"/>
  <c r="H81" i="6"/>
  <c r="K81" i="6" s="1"/>
  <c r="K77" i="6"/>
  <c r="H80" i="6"/>
  <c r="I76" i="6"/>
  <c r="I115" i="8"/>
  <c r="I114" i="8"/>
  <c r="H181" i="8" l="1"/>
  <c r="I181" i="8" s="1"/>
  <c r="H182" i="8"/>
  <c r="I182" i="8" s="1"/>
  <c r="H150" i="8"/>
  <c r="I150" i="8" s="1"/>
  <c r="H159" i="8"/>
  <c r="I159" i="8" s="1"/>
  <c r="H166" i="8"/>
  <c r="I166" i="8" s="1"/>
  <c r="H175" i="8"/>
  <c r="I175" i="8" s="1"/>
  <c r="H154" i="8"/>
  <c r="I154" i="8" s="1"/>
  <c r="H158" i="8"/>
  <c r="I158" i="8" s="1"/>
  <c r="H167" i="8"/>
  <c r="I167" i="8" s="1"/>
  <c r="H177" i="8"/>
  <c r="I177" i="8" s="1"/>
  <c r="H185" i="8"/>
  <c r="I185" i="8" s="1"/>
  <c r="H179" i="8"/>
  <c r="I179" i="8" s="1"/>
  <c r="H161" i="8"/>
  <c r="I161" i="8" s="1"/>
  <c r="H178" i="8"/>
  <c r="I178" i="8" s="1"/>
  <c r="H189" i="8"/>
  <c r="I189" i="8" s="1"/>
  <c r="H151" i="8"/>
  <c r="I151" i="8" s="1"/>
  <c r="H176" i="8"/>
  <c r="I176" i="8" s="1"/>
  <c r="H153" i="8"/>
  <c r="I153" i="8" s="1"/>
  <c r="H170" i="8"/>
  <c r="I170" i="8" s="1"/>
  <c r="H194" i="8"/>
  <c r="I194" i="8" s="1"/>
  <c r="H163" i="8"/>
  <c r="I163" i="8" s="1"/>
  <c r="H164" i="8"/>
  <c r="I164" i="8" s="1"/>
  <c r="H180" i="8"/>
  <c r="I180" i="8" s="1"/>
  <c r="H174" i="8"/>
  <c r="I174" i="8" s="1"/>
  <c r="H183" i="8"/>
  <c r="I183" i="8" s="1"/>
  <c r="H191" i="8"/>
  <c r="I191" i="8" s="1"/>
  <c r="H160" i="8"/>
  <c r="I160" i="8" s="1"/>
  <c r="H169" i="8"/>
  <c r="I169" i="8" s="1"/>
  <c r="H162" i="8"/>
  <c r="I162" i="8" s="1"/>
  <c r="H186" i="8"/>
  <c r="I186" i="8" s="1"/>
  <c r="H155" i="8"/>
  <c r="I155" i="8" s="1"/>
  <c r="H187" i="8"/>
  <c r="I187" i="8" s="1"/>
  <c r="H190" i="8"/>
  <c r="I190" i="8" s="1"/>
  <c r="H168" i="8"/>
  <c r="I168" i="8" s="1"/>
  <c r="H192" i="8"/>
  <c r="I192" i="8" s="1"/>
  <c r="H193" i="8"/>
  <c r="I193" i="8" s="1"/>
  <c r="H195" i="8"/>
  <c r="I195" i="8" s="1"/>
  <c r="H156" i="8"/>
  <c r="I156" i="8" s="1"/>
  <c r="H172" i="8"/>
  <c r="I172" i="8" s="1"/>
  <c r="H157" i="8"/>
  <c r="I157" i="8" s="1"/>
  <c r="H165" i="8"/>
  <c r="I165" i="8" s="1"/>
  <c r="H173" i="8"/>
  <c r="I173" i="8" s="1"/>
  <c r="H148" i="8"/>
  <c r="I148" i="8" s="1"/>
  <c r="H152" i="8"/>
  <c r="I152" i="8" s="1"/>
  <c r="H184" i="8"/>
  <c r="I184" i="8" s="1"/>
  <c r="H171" i="8"/>
  <c r="I171" i="8" s="1"/>
  <c r="H188" i="8"/>
  <c r="I188" i="8" s="1"/>
  <c r="H149" i="8"/>
  <c r="I149" i="8" s="1"/>
  <c r="K75" i="6"/>
  <c r="I75" i="6"/>
  <c r="H79" i="6"/>
  <c r="I80" i="6"/>
  <c r="H84" i="6"/>
  <c r="K84" i="6" s="1"/>
  <c r="K80" i="6"/>
  <c r="I79" i="6" l="1"/>
  <c r="H83" i="6"/>
  <c r="K83" i="6" s="1"/>
  <c r="K7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<sst xmlns="http://schemas.openxmlformats.org/spreadsheetml/2006/main" count="657" uniqueCount="183">
  <si>
    <t>Asignatura</t>
  </si>
  <si>
    <t>Control de gestion</t>
  </si>
  <si>
    <t>Docente</t>
  </si>
  <si>
    <t>Ing. Diego Pelaccini</t>
  </si>
  <si>
    <t>Curso</t>
  </si>
  <si>
    <t>Legajos</t>
  </si>
  <si>
    <t>Integrantes</t>
  </si>
  <si>
    <t>N=3</t>
  </si>
  <si>
    <t>N=2</t>
  </si>
  <si>
    <t>Semana</t>
  </si>
  <si>
    <t>Valor</t>
  </si>
  <si>
    <t>prom movil 3</t>
  </si>
  <si>
    <t>Error</t>
  </si>
  <si>
    <t>Error abs</t>
  </si>
  <si>
    <t>Error2</t>
  </si>
  <si>
    <t>Error %</t>
  </si>
  <si>
    <t>MAD</t>
  </si>
  <si>
    <t>MSE</t>
  </si>
  <si>
    <t>MAPE</t>
  </si>
  <si>
    <t>Ventas</t>
  </si>
  <si>
    <t>A)</t>
  </si>
  <si>
    <t>B)</t>
  </si>
  <si>
    <t>C)</t>
  </si>
  <si>
    <t>Año</t>
  </si>
  <si>
    <t>Costo Unitario</t>
  </si>
  <si>
    <t>Oredenada al origen</t>
  </si>
  <si>
    <t>Pendiente</t>
  </si>
  <si>
    <t>Y = A.X+B</t>
  </si>
  <si>
    <t>Y=14.286x+28</t>
  </si>
  <si>
    <t xml:space="preserve">Linea de tiempo </t>
  </si>
  <si>
    <t>QUARTERS</t>
  </si>
  <si>
    <t>Promedio movil (n=4)</t>
  </si>
  <si>
    <t>N° QUARTERS</t>
  </si>
  <si>
    <t>Linea de tiempo</t>
  </si>
  <si>
    <t>Promedio movil centrado</t>
  </si>
  <si>
    <t>Indice estacionales</t>
  </si>
  <si>
    <t>Indices adopatados</t>
  </si>
  <si>
    <t>Efecto estacional</t>
  </si>
  <si>
    <t>Promedio de efectos</t>
  </si>
  <si>
    <t>Efecto mas largo</t>
  </si>
  <si>
    <t xml:space="preserve"> Trimestre 4</t>
  </si>
  <si>
    <t>Indices adoptados</t>
  </si>
  <si>
    <t>Ventas descestacionalizadas</t>
  </si>
  <si>
    <t>Tendencia para el próximo año</t>
  </si>
  <si>
    <t xml:space="preserve">Ordenada al origen </t>
  </si>
  <si>
    <t xml:space="preserve">Año </t>
  </si>
  <si>
    <t>Trim 1</t>
  </si>
  <si>
    <t>Trim 2</t>
  </si>
  <si>
    <t>Trim 3</t>
  </si>
  <si>
    <t>Trim 4</t>
  </si>
  <si>
    <t>Total</t>
  </si>
  <si>
    <t>OO (b)</t>
  </si>
  <si>
    <t>Y = A.X +B</t>
  </si>
  <si>
    <t>Pendiente(a)</t>
  </si>
  <si>
    <t>Trim</t>
  </si>
  <si>
    <t>Prom movil n=4, trim</t>
  </si>
  <si>
    <t>Prom centrado</t>
  </si>
  <si>
    <t>Indice</t>
  </si>
  <si>
    <t>Indeices adoptados</t>
  </si>
  <si>
    <t>Ventas desetacionalizadas</t>
  </si>
  <si>
    <t>Pronostico por tendencia sin estacionalidad</t>
  </si>
  <si>
    <t>Pronostico por tendencia con estacionalidad</t>
  </si>
  <si>
    <t>n=4</t>
  </si>
  <si>
    <t>n mes</t>
  </si>
  <si>
    <t>Mes</t>
  </si>
  <si>
    <t>Fecha</t>
  </si>
  <si>
    <t>PM n=4</t>
  </si>
  <si>
    <t>Promedio centrado</t>
  </si>
  <si>
    <t>Indice adoptado</t>
  </si>
  <si>
    <t>enero</t>
  </si>
  <si>
    <t>febrero</t>
  </si>
  <si>
    <t>marzo</t>
  </si>
  <si>
    <t>abril</t>
  </si>
  <si>
    <t>mayo</t>
  </si>
  <si>
    <t>junio</t>
  </si>
  <si>
    <t>julio</t>
  </si>
  <si>
    <t>agosto</t>
  </si>
  <si>
    <t>sepriembre</t>
  </si>
  <si>
    <t>octubre</t>
  </si>
  <si>
    <t xml:space="preserve">noviembre </t>
  </si>
  <si>
    <t>diciembre</t>
  </si>
  <si>
    <t>Indice de estacionalidad adoptado</t>
  </si>
  <si>
    <t>venta desest</t>
  </si>
  <si>
    <t>Proyeccion</t>
  </si>
  <si>
    <t>prom n=12</t>
  </si>
  <si>
    <t>Pronostico</t>
  </si>
  <si>
    <t>Erorr</t>
  </si>
  <si>
    <t>Error ^2</t>
  </si>
  <si>
    <t>Error porcentual</t>
  </si>
  <si>
    <t xml:space="preserve">ene-11 </t>
  </si>
  <si>
    <t xml:space="preserve">abr-11 </t>
  </si>
  <si>
    <t xml:space="preserve">jul-11 </t>
  </si>
  <si>
    <t xml:space="preserve">ago-11 </t>
  </si>
  <si>
    <t xml:space="preserve">sep-11 </t>
  </si>
  <si>
    <t xml:space="preserve">oct-11 </t>
  </si>
  <si>
    <t xml:space="preserve">nov-11 </t>
  </si>
  <si>
    <t xml:space="preserve">dic-11 </t>
  </si>
  <si>
    <t xml:space="preserve">ene-12 </t>
  </si>
  <si>
    <t xml:space="preserve">feb-12 </t>
  </si>
  <si>
    <t xml:space="preserve">mar-12 </t>
  </si>
  <si>
    <t xml:space="preserve">abr-12 </t>
  </si>
  <si>
    <t xml:space="preserve">may-12 </t>
  </si>
  <si>
    <t xml:space="preserve">jun-12 </t>
  </si>
  <si>
    <t xml:space="preserve">jul-12 </t>
  </si>
  <si>
    <t xml:space="preserve">ago-12 </t>
  </si>
  <si>
    <t xml:space="preserve">sep-12 </t>
  </si>
  <si>
    <t xml:space="preserve">oct-12 </t>
  </si>
  <si>
    <t xml:space="preserve">nov-12 </t>
  </si>
  <si>
    <t xml:space="preserve">dic-12 </t>
  </si>
  <si>
    <t xml:space="preserve">ene-13 </t>
  </si>
  <si>
    <t xml:space="preserve">feb-13 </t>
  </si>
  <si>
    <t xml:space="preserve">mar-13 </t>
  </si>
  <si>
    <t xml:space="preserve">abr-13 </t>
  </si>
  <si>
    <t xml:space="preserve">may-13 </t>
  </si>
  <si>
    <t xml:space="preserve">jun-13 </t>
  </si>
  <si>
    <t xml:space="preserve">jul-13 </t>
  </si>
  <si>
    <t xml:space="preserve">ago-13 </t>
  </si>
  <si>
    <t xml:space="preserve">sep-13 </t>
  </si>
  <si>
    <t xml:space="preserve">oct-13 </t>
  </si>
  <si>
    <t xml:space="preserve">nov-13 </t>
  </si>
  <si>
    <t xml:space="preserve">dic-13 </t>
  </si>
  <si>
    <t>Para N= 12</t>
  </si>
  <si>
    <t>Error 2</t>
  </si>
  <si>
    <t>Prom mov n=12</t>
  </si>
  <si>
    <t>Prom mov centrado</t>
  </si>
  <si>
    <t xml:space="preserve">feb-11 </t>
  </si>
  <si>
    <t xml:space="preserve">mar-11 </t>
  </si>
  <si>
    <t xml:space="preserve">may-11 </t>
  </si>
  <si>
    <t xml:space="preserve">jun-11 </t>
  </si>
  <si>
    <t>Julio</t>
  </si>
  <si>
    <t>Agosto</t>
  </si>
  <si>
    <t>Septiembre</t>
  </si>
  <si>
    <t>Octubre</t>
  </si>
  <si>
    <t>Noviembre</t>
  </si>
  <si>
    <t>Diciembre</t>
  </si>
  <si>
    <t xml:space="preserve">Enero </t>
  </si>
  <si>
    <t>Febrero</t>
  </si>
  <si>
    <t>Marzo</t>
  </si>
  <si>
    <t>Abril</t>
  </si>
  <si>
    <t>Mayo</t>
  </si>
  <si>
    <t>Junio</t>
  </si>
  <si>
    <t>B) N=4 posee un menor error siendo este el mas estable</t>
  </si>
  <si>
    <t>a</t>
  </si>
  <si>
    <t>b</t>
  </si>
  <si>
    <t>num periodo</t>
  </si>
  <si>
    <t>Ventas desestacionalizadas</t>
  </si>
  <si>
    <t>Proy tendencia</t>
  </si>
  <si>
    <t>Proy tendencia c/estacionalidad</t>
  </si>
  <si>
    <t>Y (X=11.5)</t>
  </si>
  <si>
    <t>Sucursal</t>
  </si>
  <si>
    <t>Espacio gondola mts(X)</t>
  </si>
  <si>
    <t>Ventas mensuales millones (Y)</t>
  </si>
  <si>
    <t>RECTA</t>
  </si>
  <si>
    <t>ALFA/2</t>
  </si>
  <si>
    <r>
      <rPr>
        <sz val="10"/>
        <color rgb="FF000000"/>
        <rFont val="Arial"/>
        <family val="2"/>
        <scheme val="minor"/>
      </rPr>
      <t>T</t>
    </r>
    <r>
      <rPr>
        <sz val="8"/>
        <color rgb="FF000000"/>
        <rFont val="Arial"/>
        <family val="2"/>
        <scheme val="minor"/>
      </rPr>
      <t>10</t>
    </r>
  </si>
  <si>
    <t>I.C sup</t>
  </si>
  <si>
    <t>I.C inf</t>
  </si>
  <si>
    <t>C) Indica cuántas unidades de ventas aumentan por cada unidad adicional de espacio de góndolas. En este caso, por cada unidad adicional de espacio de góndolas, las ventas aumentan en promedio en 0.1176 unidades.</t>
  </si>
  <si>
    <t>Local</t>
  </si>
  <si>
    <t>Población infantil (X) (Miles de niños)</t>
  </si>
  <si>
    <t>Ventas (Y) Millones</t>
  </si>
  <si>
    <t>Ordenada al origen</t>
  </si>
  <si>
    <t xml:space="preserve">IC </t>
  </si>
  <si>
    <t>Alfa</t>
  </si>
  <si>
    <t>Alfa/2</t>
  </si>
  <si>
    <t>n-2</t>
  </si>
  <si>
    <t>t (de tabla)</t>
  </si>
  <si>
    <t>Error tipico</t>
  </si>
  <si>
    <t>IC Superior</t>
  </si>
  <si>
    <t>IC Inferior</t>
  </si>
  <si>
    <t>Intervalo de confianza al 95% para una estimación de población de 50</t>
  </si>
  <si>
    <t>Promedio movil 4</t>
  </si>
  <si>
    <t>Promedio movil 5</t>
  </si>
  <si>
    <t>SEMANA 4</t>
  </si>
  <si>
    <t>SEMANA 5</t>
  </si>
  <si>
    <t>indice adoptado</t>
  </si>
  <si>
    <t>indice de estacionalidad</t>
  </si>
  <si>
    <t>Promedio Centrado</t>
  </si>
  <si>
    <t>Ventas desest</t>
  </si>
  <si>
    <t>I5052 VIERNES</t>
  </si>
  <si>
    <t>Blat Catalina</t>
  </si>
  <si>
    <t>Casado Gina</t>
  </si>
  <si>
    <t>Truffa Ramiro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</si>
</sst>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F800]dddd\,\ mmmm\ dd\,\ yyyy"/>
  </numFmts>
  <fonts count="8" x14ac:knownFonts="1">
    <font>
      <sz val="10"/>
      <color rgb="FF000000"/>
      <name val="Arial"/>
      <scheme val="minor"/>
    </font>
    <font>
      <sz val="10"/>
      <color theme="1"/>
      <name val="Arial"/>
      <family val="2"/>
      <scheme val="minor"/>
    </font>
    <font>
      <b/>
      <sz val="10"/>
      <color rgb="FF000000"/>
      <name val="Arial"/>
      <family val="2"/>
      <scheme val="minor"/>
    </font>
    <font>
      <b/>
      <sz val="10"/>
      <color theme="1"/>
      <name val="Arial"/>
      <family val="2"/>
      <scheme val="minor"/>
    </font>
    <font>
      <sz val="8"/>
      <color rgb="FF000000"/>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2"/>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diagonal/>
    </border>
    <border>
      <left style="medium">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148">
    <xf numFmtId="0" fontId="0" fillId="0" borderId="0" xfId="0"/>
    <xf numFmtId="0" fontId="1" fillId="0" borderId="1" xfId="0" applyFont="1" applyBorder="1"/>
    <xf numFmtId="0" fontId="0" fillId="0" borderId="3" xfId="0" applyBorder="1" applyAlignment="1">
      <alignment horizontal="center"/>
    </xf>
    <xf numFmtId="0" fontId="0" fillId="0" borderId="1" xfId="0" applyBorder="1" applyAlignment="1">
      <alignment horizontal="center"/>
    </xf>
    <xf numFmtId="0" fontId="0" fillId="0" borderId="4" xfId="0" applyBorder="1"/>
    <xf numFmtId="0" fontId="0" fillId="0" borderId="5" xfId="0" applyBorder="1"/>
    <xf numFmtId="10" fontId="0" fillId="0" borderId="6" xfId="0" applyNumberFormat="1" applyBorder="1"/>
    <xf numFmtId="0" fontId="0" fillId="0" borderId="7" xfId="0" applyBorder="1" applyAlignment="1">
      <alignment horizontal="center"/>
    </xf>
    <xf numFmtId="10" fontId="0" fillId="0" borderId="4" xfId="0" applyNumberFormat="1" applyBorder="1"/>
    <xf numFmtId="164" fontId="0" fillId="0" borderId="4" xfId="0" applyNumberFormat="1" applyBorder="1"/>
    <xf numFmtId="164" fontId="0" fillId="0" borderId="5" xfId="0" applyNumberFormat="1" applyBorder="1"/>
    <xf numFmtId="165" fontId="0" fillId="0" borderId="0" xfId="0" applyNumberFormat="1"/>
    <xf numFmtId="0" fontId="0" fillId="0" borderId="1" xfId="0" applyBorder="1"/>
    <xf numFmtId="2" fontId="0" fillId="0" borderId="1" xfId="0" applyNumberFormat="1" applyBorder="1"/>
    <xf numFmtId="0" fontId="0" fillId="0" borderId="0" xfId="0" applyAlignment="1">
      <alignment horizontal="center"/>
    </xf>
    <xf numFmtId="0" fontId="2" fillId="0" borderId="1" xfId="0" applyFont="1" applyBorder="1"/>
    <xf numFmtId="2" fontId="0" fillId="0" borderId="0" xfId="0" applyNumberFormat="1"/>
    <xf numFmtId="10" fontId="0" fillId="0" borderId="1" xfId="0" applyNumberFormat="1" applyBorder="1"/>
    <xf numFmtId="0" fontId="0" fillId="0" borderId="11" xfId="0" applyBorder="1"/>
    <xf numFmtId="0" fontId="0" fillId="0" borderId="12" xfId="0" applyBorder="1"/>
    <xf numFmtId="17" fontId="0" fillId="0" borderId="3" xfId="0" applyNumberFormat="1" applyBorder="1"/>
    <xf numFmtId="0" fontId="0" fillId="0" borderId="13" xfId="0" applyBorder="1"/>
    <xf numFmtId="0" fontId="0" fillId="0" borderId="0" xfId="0" applyAlignment="1">
      <alignment wrapText="1"/>
    </xf>
    <xf numFmtId="2" fontId="1" fillId="0" borderId="1" xfId="0" applyNumberFormat="1" applyFont="1" applyBorder="1"/>
    <xf numFmtId="10" fontId="1" fillId="0" borderId="1" xfId="0" applyNumberFormat="1" applyFont="1" applyBorder="1"/>
    <xf numFmtId="0" fontId="1" fillId="0" borderId="0" xfId="0" applyFont="1"/>
    <xf numFmtId="0" fontId="1" fillId="0" borderId="0" xfId="0" applyFont="1" applyAlignment="1">
      <alignment horizontal="center" wrapText="1"/>
    </xf>
    <xf numFmtId="0" fontId="1" fillId="0" borderId="7" xfId="0" applyFont="1" applyBorder="1"/>
    <xf numFmtId="2" fontId="3" fillId="0" borderId="1" xfId="0" applyNumberFormat="1" applyFont="1" applyBorder="1"/>
    <xf numFmtId="0" fontId="2" fillId="0" borderId="1" xfId="0" applyFont="1" applyBorder="1" applyAlignment="1">
      <alignment horizontal="center"/>
    </xf>
    <xf numFmtId="2" fontId="2" fillId="0" borderId="1" xfId="0" applyNumberFormat="1" applyFont="1" applyBorder="1" applyAlignment="1">
      <alignment horizontal="center"/>
    </xf>
    <xf numFmtId="0" fontId="0" fillId="0" borderId="17" xfId="0" applyBorder="1"/>
    <xf numFmtId="0" fontId="0" fillId="0" borderId="15" xfId="0" applyBorder="1" applyAlignment="1">
      <alignment horizontal="center"/>
    </xf>
    <xf numFmtId="0" fontId="2" fillId="0" borderId="0" xfId="0" applyFont="1"/>
    <xf numFmtId="10" fontId="0" fillId="0" borderId="12" xfId="0" applyNumberFormat="1" applyBorder="1"/>
    <xf numFmtId="0" fontId="0" fillId="0" borderId="0" xfId="0" applyAlignment="1">
      <alignment horizontal="left"/>
    </xf>
    <xf numFmtId="0" fontId="2" fillId="0" borderId="7" xfId="0" applyFont="1" applyBorder="1" applyAlignment="1">
      <alignment horizontal="center"/>
    </xf>
    <xf numFmtId="2" fontId="0" fillId="0" borderId="7" xfId="0" applyNumberFormat="1" applyBorder="1"/>
    <xf numFmtId="2" fontId="2" fillId="0" borderId="1" xfId="0" applyNumberFormat="1" applyFont="1" applyBorder="1"/>
    <xf numFmtId="2" fontId="2" fillId="0" borderId="7" xfId="0" applyNumberFormat="1" applyFont="1" applyBorder="1"/>
    <xf numFmtId="2" fontId="2" fillId="0" borderId="0" xfId="0" applyNumberFormat="1" applyFont="1"/>
    <xf numFmtId="0" fontId="2" fillId="0" borderId="19" xfId="0" applyFont="1" applyBorder="1"/>
    <xf numFmtId="0" fontId="2" fillId="0" borderId="0" xfId="0" applyFont="1" applyAlignment="1">
      <alignment horizontal="center"/>
    </xf>
    <xf numFmtId="0" fontId="2" fillId="0" borderId="3" xfId="0" applyFont="1" applyBorder="1"/>
    <xf numFmtId="0" fontId="5" fillId="0" borderId="1" xfId="0" applyFont="1" applyBorder="1" applyAlignment="1">
      <alignment horizontal="center" wrapText="1"/>
    </xf>
    <xf numFmtId="0" fontId="6" fillId="0" borderId="0" xfId="0" applyFont="1" applyAlignment="1">
      <alignment wrapText="1"/>
    </xf>
    <xf numFmtId="0" fontId="6" fillId="0" borderId="0" xfId="0" applyFont="1"/>
    <xf numFmtId="0" fontId="6" fillId="0" borderId="0" xfId="0" applyFont="1" applyAlignment="1">
      <alignment horizontal="center"/>
    </xf>
    <xf numFmtId="0" fontId="0" fillId="0" borderId="21" xfId="0" applyBorder="1"/>
    <xf numFmtId="0" fontId="0" fillId="0" borderId="21" xfId="0" applyBorder="1" applyAlignment="1">
      <alignment horizontal="left" wrapText="1"/>
    </xf>
    <xf numFmtId="0" fontId="6" fillId="0" borderId="21" xfId="0" applyFont="1" applyBorder="1"/>
    <xf numFmtId="0" fontId="6" fillId="0" borderId="1" xfId="0" applyFont="1" applyBorder="1"/>
    <xf numFmtId="0" fontId="6" fillId="0" borderId="2" xfId="0" applyFont="1" applyBorder="1"/>
    <xf numFmtId="0" fontId="6" fillId="0" borderId="18" xfId="0" applyFont="1" applyBorder="1"/>
    <xf numFmtId="0" fontId="6" fillId="4" borderId="0" xfId="0" applyFont="1" applyFill="1"/>
    <xf numFmtId="0" fontId="5" fillId="6" borderId="1" xfId="0" applyFont="1" applyFill="1" applyBorder="1" applyAlignment="1">
      <alignment horizontal="center" wrapText="1"/>
    </xf>
    <xf numFmtId="0" fontId="5" fillId="6" borderId="12" xfId="0" applyFont="1" applyFill="1" applyBorder="1" applyAlignment="1">
      <alignment horizontal="center" wrapText="1"/>
    </xf>
    <xf numFmtId="0" fontId="1" fillId="0" borderId="7" xfId="0" applyFont="1" applyBorder="1" applyAlignment="1">
      <alignment horizontal="center"/>
    </xf>
    <xf numFmtId="0" fontId="1" fillId="0" borderId="1" xfId="0" applyFont="1" applyBorder="1" applyAlignment="1">
      <alignment horizontal="center"/>
    </xf>
    <xf numFmtId="0" fontId="1" fillId="0" borderId="14" xfId="0" applyFont="1" applyBorder="1" applyAlignment="1">
      <alignment horizontal="center"/>
    </xf>
    <xf numFmtId="0" fontId="0" fillId="0" borderId="12" xfId="0" applyBorder="1" applyAlignment="1">
      <alignment horizontal="center"/>
    </xf>
    <xf numFmtId="0" fontId="6" fillId="6" borderId="1" xfId="0" applyFont="1" applyFill="1" applyBorder="1" applyAlignment="1">
      <alignment horizontal="center"/>
    </xf>
    <xf numFmtId="0" fontId="0" fillId="0" borderId="14" xfId="0" applyBorder="1" applyAlignment="1">
      <alignment horizontal="center"/>
    </xf>
    <xf numFmtId="0" fontId="0" fillId="0" borderId="20" xfId="0" applyBorder="1" applyAlignment="1">
      <alignment horizontal="center"/>
    </xf>
    <xf numFmtId="0" fontId="6" fillId="0" borderId="0" xfId="0" applyFont="1" applyAlignment="1">
      <alignment vertical="center"/>
    </xf>
    <xf numFmtId="0" fontId="6" fillId="0" borderId="1" xfId="0" applyFont="1" applyBorder="1" applyAlignment="1">
      <alignment horizontal="center"/>
    </xf>
    <xf numFmtId="0" fontId="2" fillId="0" borderId="21" xfId="0" applyFont="1" applyBorder="1"/>
    <xf numFmtId="0" fontId="2" fillId="0" borderId="21" xfId="0" applyFont="1" applyBorder="1" applyAlignment="1">
      <alignment horizontal="center" vertical="center"/>
    </xf>
    <xf numFmtId="0" fontId="0" fillId="0" borderId="21" xfId="0" applyBorder="1" applyAlignment="1">
      <alignment horizontal="center"/>
    </xf>
    <xf numFmtId="0" fontId="6" fillId="6" borderId="1" xfId="0" applyFont="1" applyFill="1" applyBorder="1"/>
    <xf numFmtId="164" fontId="2" fillId="6" borderId="21" xfId="0" applyNumberFormat="1" applyFont="1" applyFill="1" applyBorder="1"/>
    <xf numFmtId="0" fontId="2" fillId="0" borderId="21" xfId="0" applyFont="1" applyBorder="1" applyAlignment="1">
      <alignment wrapText="1"/>
    </xf>
    <xf numFmtId="164" fontId="0" fillId="0" borderId="21" xfId="0" applyNumberFormat="1" applyBorder="1"/>
    <xf numFmtId="2" fontId="0" fillId="0" borderId="21" xfId="0" applyNumberFormat="1" applyBorder="1"/>
    <xf numFmtId="0" fontId="0" fillId="3" borderId="21" xfId="0" applyFill="1" applyBorder="1"/>
    <xf numFmtId="164" fontId="0" fillId="3" borderId="21" xfId="0" applyNumberFormat="1" applyFill="1" applyBorder="1"/>
    <xf numFmtId="2" fontId="0" fillId="3" borderId="21" xfId="0" applyNumberFormat="1" applyFill="1" applyBorder="1"/>
    <xf numFmtId="0" fontId="0" fillId="0" borderId="0" xfId="0" applyBorder="1"/>
    <xf numFmtId="10" fontId="0" fillId="0" borderId="21" xfId="0" applyNumberFormat="1" applyBorder="1"/>
    <xf numFmtId="0" fontId="6" fillId="0" borderId="21" xfId="0" applyFont="1" applyBorder="1" applyAlignment="1">
      <alignment horizontal="center"/>
    </xf>
    <xf numFmtId="0" fontId="6" fillId="6" borderId="21" xfId="0" applyFont="1" applyFill="1" applyBorder="1" applyAlignment="1">
      <alignment horizontal="center"/>
    </xf>
    <xf numFmtId="165" fontId="0" fillId="0" borderId="21" xfId="0" applyNumberFormat="1" applyBorder="1" applyAlignment="1">
      <alignment horizontal="center"/>
    </xf>
    <xf numFmtId="17" fontId="0" fillId="0" borderId="21" xfId="0" applyNumberFormat="1" applyBorder="1" applyAlignment="1">
      <alignment horizontal="center"/>
    </xf>
    <xf numFmtId="2" fontId="0" fillId="0" borderId="21" xfId="0" applyNumberFormat="1" applyBorder="1" applyAlignment="1">
      <alignment horizontal="center"/>
    </xf>
    <xf numFmtId="0" fontId="6" fillId="0" borderId="22" xfId="0" applyFont="1" applyBorder="1" applyAlignment="1">
      <alignment horizontal="center" vertical="center"/>
    </xf>
    <xf numFmtId="0" fontId="6" fillId="0" borderId="3" xfId="0" applyFont="1" applyBorder="1" applyAlignment="1">
      <alignment horizontal="center" vertical="center"/>
    </xf>
    <xf numFmtId="0" fontId="6" fillId="0" borderId="23"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10" fontId="6" fillId="0" borderId="10" xfId="0" applyNumberFormat="1" applyFont="1" applyBorder="1" applyAlignment="1">
      <alignment horizontal="center" vertical="center"/>
    </xf>
    <xf numFmtId="0" fontId="7" fillId="0" borderId="0" xfId="0" applyFont="1" applyAlignment="1">
      <alignment wrapText="1"/>
    </xf>
    <xf numFmtId="0" fontId="6" fillId="6" borderId="21" xfId="0" applyFont="1" applyFill="1" applyBorder="1"/>
    <xf numFmtId="0" fontId="6" fillId="6" borderId="21" xfId="0" applyFont="1" applyFill="1" applyBorder="1" applyAlignment="1">
      <alignment horizontal="center" wrapText="1"/>
    </xf>
    <xf numFmtId="0" fontId="0" fillId="0" borderId="21" xfId="0" applyBorder="1" applyAlignment="1">
      <alignment horizontal="center" vertical="center"/>
    </xf>
    <xf numFmtId="165" fontId="0" fillId="0" borderId="21" xfId="0" applyNumberFormat="1" applyBorder="1" applyAlignment="1">
      <alignment horizontal="center" vertical="center"/>
    </xf>
    <xf numFmtId="17" fontId="0" fillId="0" borderId="21" xfId="0" applyNumberFormat="1" applyBorder="1" applyAlignment="1">
      <alignment horizontal="center" vertical="center"/>
    </xf>
    <xf numFmtId="2" fontId="0" fillId="0" borderId="21" xfId="0" applyNumberFormat="1" applyBorder="1" applyAlignment="1">
      <alignment horizontal="center" vertical="center"/>
    </xf>
    <xf numFmtId="0" fontId="0" fillId="2" borderId="21" xfId="0" applyFill="1" applyBorder="1" applyAlignment="1">
      <alignment horizontal="center" vertical="center"/>
    </xf>
    <xf numFmtId="17" fontId="0" fillId="2" borderId="21" xfId="0" applyNumberFormat="1" applyFill="1" applyBorder="1" applyAlignment="1">
      <alignment horizontal="center" vertical="center"/>
    </xf>
    <xf numFmtId="0" fontId="6" fillId="6" borderId="21" xfId="0" applyFont="1" applyFill="1" applyBorder="1" applyAlignment="1">
      <alignment horizontal="center" vertical="center"/>
    </xf>
    <xf numFmtId="0" fontId="0" fillId="0" borderId="0" xfId="0" applyBorder="1" applyAlignment="1">
      <alignment horizontal="center"/>
    </xf>
    <xf numFmtId="17" fontId="0" fillId="0" borderId="0" xfId="0" applyNumberFormat="1" applyBorder="1" applyAlignment="1">
      <alignment horizontal="center"/>
    </xf>
    <xf numFmtId="0" fontId="2" fillId="0" borderId="0" xfId="0" applyFont="1" applyBorder="1" applyAlignment="1">
      <alignment horizontal="center"/>
    </xf>
    <xf numFmtId="0" fontId="2" fillId="0" borderId="0" xfId="0" applyFont="1" applyBorder="1"/>
    <xf numFmtId="2" fontId="2" fillId="5" borderId="20" xfId="0" applyNumberFormat="1" applyFont="1" applyFill="1" applyBorder="1"/>
    <xf numFmtId="2" fontId="0" fillId="0" borderId="0" xfId="0" applyNumberFormat="1" applyBorder="1"/>
    <xf numFmtId="10" fontId="0" fillId="0" borderId="0" xfId="0" applyNumberFormat="1" applyBorder="1"/>
    <xf numFmtId="16" fontId="0" fillId="0" borderId="21" xfId="0" applyNumberFormat="1" applyBorder="1"/>
    <xf numFmtId="2" fontId="2" fillId="5" borderId="21" xfId="0" applyNumberFormat="1" applyFont="1" applyFill="1" applyBorder="1"/>
    <xf numFmtId="2" fontId="0" fillId="0" borderId="1" xfId="0" applyNumberFormat="1" applyFill="1" applyBorder="1"/>
    <xf numFmtId="0" fontId="0" fillId="0" borderId="1" xfId="0" applyFill="1" applyBorder="1"/>
    <xf numFmtId="2" fontId="0" fillId="0" borderId="21" xfId="0" applyNumberFormat="1" applyFill="1" applyBorder="1"/>
    <xf numFmtId="0" fontId="0" fillId="0" borderId="21" xfId="0" applyFill="1" applyBorder="1"/>
    <xf numFmtId="10" fontId="0" fillId="0" borderId="21" xfId="0" applyNumberFormat="1" applyFill="1" applyBorder="1"/>
    <xf numFmtId="2" fontId="2" fillId="0" borderId="21" xfId="0" applyNumberFormat="1" applyFont="1" applyFill="1" applyBorder="1"/>
    <xf numFmtId="0" fontId="0" fillId="6" borderId="21" xfId="0" applyFill="1" applyBorder="1"/>
    <xf numFmtId="0" fontId="2" fillId="6" borderId="21" xfId="0" applyFont="1" applyFill="1" applyBorder="1" applyAlignment="1">
      <alignment horizontal="center"/>
    </xf>
    <xf numFmtId="0" fontId="0" fillId="6" borderId="0" xfId="0" applyFill="1"/>
    <xf numFmtId="2" fontId="0" fillId="6" borderId="21" xfId="0" applyNumberFormat="1" applyFill="1" applyBorder="1"/>
    <xf numFmtId="0" fontId="2" fillId="6" borderId="1" xfId="0" applyFont="1" applyFill="1" applyBorder="1"/>
    <xf numFmtId="0" fontId="2" fillId="6" borderId="12" xfId="0" applyFont="1" applyFill="1" applyBorder="1"/>
    <xf numFmtId="2" fontId="2" fillId="0" borderId="1" xfId="0" applyNumberFormat="1" applyFont="1" applyFill="1" applyBorder="1"/>
    <xf numFmtId="0" fontId="2" fillId="0" borderId="1" xfId="0" applyFont="1" applyFill="1" applyBorder="1"/>
    <xf numFmtId="0" fontId="6" fillId="6" borderId="0" xfId="0" applyFont="1" applyFill="1"/>
    <xf numFmtId="2" fontId="2" fillId="0" borderId="3" xfId="0" applyNumberFormat="1" applyFont="1" applyBorder="1"/>
    <xf numFmtId="0" fontId="0" fillId="0" borderId="1" xfId="0" applyBorder="1" applyAlignment="1">
      <alignment horizontal="center" vertical="center"/>
    </xf>
    <xf numFmtId="0" fontId="6" fillId="6" borderId="1" xfId="0" applyFont="1" applyFill="1" applyBorder="1" applyAlignment="1">
      <alignment horizontal="center" vertical="center"/>
    </xf>
    <xf numFmtId="0" fontId="2" fillId="6" borderId="1" xfId="0" applyFont="1" applyFill="1" applyBorder="1" applyAlignment="1">
      <alignment horizontal="center"/>
    </xf>
    <xf numFmtId="0" fontId="2" fillId="6" borderId="7" xfId="0" applyFont="1" applyFill="1" applyBorder="1" applyAlignment="1">
      <alignment horizontal="center"/>
    </xf>
    <xf numFmtId="0" fontId="7" fillId="0" borderId="21" xfId="0" applyFont="1" applyBorder="1" applyAlignment="1">
      <alignment horizontal="center"/>
    </xf>
    <xf numFmtId="0" fontId="6" fillId="0" borderId="21" xfId="0" applyFont="1" applyBorder="1" applyAlignment="1">
      <alignment horizontal="center" wrapText="1"/>
    </xf>
    <xf numFmtId="0" fontId="0" fillId="0" borderId="21" xfId="0" applyBorder="1" applyAlignment="1">
      <alignment horizontal="center" wrapText="1"/>
    </xf>
    <xf numFmtId="0" fontId="7" fillId="0" borderId="21" xfId="0" applyFont="1" applyBorder="1" applyAlignment="1">
      <alignment horizontal="center" wrapText="1"/>
    </xf>
    <xf numFmtId="0" fontId="6" fillId="6" borderId="1" xfId="0" applyFont="1" applyFill="1" applyBorder="1" applyAlignment="1">
      <alignment horizontal="center" wrapText="1"/>
    </xf>
    <xf numFmtId="0" fontId="6" fillId="6" borderId="7"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vertical="center" wrapText="1"/>
    </xf>
    <xf numFmtId="17" fontId="0" fillId="7" borderId="21" xfId="0" applyNumberFormat="1" applyFill="1" applyBorder="1" applyAlignment="1">
      <alignment horizontal="center"/>
    </xf>
    <xf numFmtId="0" fontId="0" fillId="7" borderId="21" xfId="0" applyFill="1" applyBorder="1" applyAlignment="1">
      <alignment horizontal="center"/>
    </xf>
    <xf numFmtId="0" fontId="6" fillId="7" borderId="1" xfId="0" applyFont="1" applyFill="1" applyBorder="1"/>
    <xf numFmtId="0" fontId="2" fillId="0" borderId="0" xfId="0" applyFont="1" applyBorder="1" applyAlignment="1">
      <alignment horizontal="center" vertical="center" wrapText="1"/>
    </xf>
    <xf numFmtId="0" fontId="2" fillId="0" borderId="0" xfId="0" applyFont="1" applyBorder="1" applyAlignment="1">
      <alignment horizontal="center" wrapText="1"/>
    </xf>
    <xf numFmtId="0" fontId="2" fillId="0" borderId="21" xfId="0" applyFont="1" applyBorder="1" applyAlignment="1">
      <alignment horizontal="center" vertical="center" wrapText="1"/>
    </xf>
    <xf numFmtId="0" fontId="6" fillId="0" borderId="16" xfId="0" applyFont="1" applyBorder="1" applyAlignment="1">
      <alignment horizontal="center"/>
    </xf>
    <xf numFmtId="0" fontId="2" fillId="0" borderId="21" xfId="0" applyFont="1" applyBorder="1" applyAlignment="1">
      <alignment horizontal="center" vertical="center"/>
    </xf>
    <xf numFmtId="0" fontId="2" fillId="0" borderId="20" xfId="0" applyFont="1" applyBorder="1" applyAlignment="1">
      <alignment horizontal="center"/>
    </xf>
    <xf numFmtId="0" fontId="2" fillId="6" borderId="0" xfId="0" applyFont="1" applyFill="1" applyAlignment="1">
      <alignment horizontal="left" vertical="top" wrapText="1"/>
    </xf>
    <xf numFmtId="0" fontId="2" fillId="7" borderId="2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7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Valores</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 11'!$B$20:$B$25</c:f>
              <c:numCache>
                <c:formatCode>General</c:formatCode>
                <c:ptCount val="6"/>
                <c:pt idx="0">
                  <c:v>10</c:v>
                </c:pt>
                <c:pt idx="1">
                  <c:v>12</c:v>
                </c:pt>
                <c:pt idx="2">
                  <c:v>3</c:v>
                </c:pt>
                <c:pt idx="3">
                  <c:v>5</c:v>
                </c:pt>
                <c:pt idx="4">
                  <c:v>7</c:v>
                </c:pt>
                <c:pt idx="5">
                  <c:v>14</c:v>
                </c:pt>
              </c:numCache>
            </c:numRef>
          </c:val>
          <c:smooth val="0"/>
          <c:extLst>
            <c:ext xmlns:c16="http://schemas.microsoft.com/office/drawing/2014/chart" uri="{C3380CC4-5D6E-409C-BE32-E72D297353CC}">
              <c16:uniqueId val="{00000001-C666-47B6-B020-4C138063A06B}"/>
            </c:ext>
          </c:extLst>
        </c:ser>
        <c:ser>
          <c:idx val="1"/>
          <c:order val="1"/>
          <c:tx>
            <c:v>n=3</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'FOR 11'!$C$20:$C$25</c:f>
              <c:numCache>
                <c:formatCode>General</c:formatCode>
                <c:ptCount val="6"/>
                <c:pt idx="3" formatCode="0.00">
                  <c:v>8.3333333333333339</c:v>
                </c:pt>
                <c:pt idx="4" formatCode="0.00">
                  <c:v>6.666666666666667</c:v>
                </c:pt>
                <c:pt idx="5" formatCode="0.00">
                  <c:v>5</c:v>
                </c:pt>
              </c:numCache>
            </c:numRef>
          </c:val>
          <c:smooth val="0"/>
          <c:extLst>
            <c:ext xmlns:c16="http://schemas.microsoft.com/office/drawing/2014/chart" uri="{C3380CC4-5D6E-409C-BE32-E72D297353CC}">
              <c16:uniqueId val="{00000003-C666-47B6-B020-4C138063A06B}"/>
            </c:ext>
          </c:extLst>
        </c:ser>
        <c:ser>
          <c:idx val="2"/>
          <c:order val="2"/>
          <c:tx>
            <c:v>n=2</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'FOR 11'!$C$33:$C$38</c:f>
              <c:numCache>
                <c:formatCode>General</c:formatCode>
                <c:ptCount val="6"/>
                <c:pt idx="2">
                  <c:v>11</c:v>
                </c:pt>
                <c:pt idx="3">
                  <c:v>7.5</c:v>
                </c:pt>
                <c:pt idx="4">
                  <c:v>4</c:v>
                </c:pt>
                <c:pt idx="5">
                  <c:v>6</c:v>
                </c:pt>
              </c:numCache>
            </c:numRef>
          </c:val>
          <c:smooth val="0"/>
          <c:extLst>
            <c:ext xmlns:c16="http://schemas.microsoft.com/office/drawing/2014/chart" uri="{C3380CC4-5D6E-409C-BE32-E72D297353CC}">
              <c16:uniqueId val="{00000005-C666-47B6-B020-4C138063A06B}"/>
            </c:ext>
          </c:extLst>
        </c:ser>
        <c:dLbls>
          <c:showLegendKey val="0"/>
          <c:showVal val="0"/>
          <c:showCatName val="0"/>
          <c:showSerName val="0"/>
          <c:showPercent val="0"/>
          <c:showBubbleSize val="0"/>
        </c:dLbls>
        <c:marker val="1"/>
        <c:smooth val="0"/>
        <c:axId val="533232647"/>
        <c:axId val="533255175"/>
      </c:lineChart>
      <c:catAx>
        <c:axId val="5332326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55175"/>
        <c:crosses val="autoZero"/>
        <c:auto val="1"/>
        <c:lblAlgn val="ctr"/>
        <c:lblOffset val="100"/>
        <c:noMultiLvlLbl val="0"/>
      </c:catAx>
      <c:valAx>
        <c:axId val="533255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32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'FOR 12'!$B$35</c:f>
              <c:strCache>
                <c:ptCount val="1"/>
                <c:pt idx="0">
                  <c:v>Ventas</c:v>
                </c:pt>
              </c:strCache>
            </c:strRef>
          </c:tx>
          <c:spPr>
            <a:ln w="28575" cap="rnd">
              <a:solidFill>
                <a:schemeClr val="accent2"/>
              </a:solidFill>
              <a:round/>
            </a:ln>
            <a:effectLst/>
          </c:spPr>
          <c:marker>
            <c:symbol val="none"/>
          </c:marker>
          <c:val>
            <c:numRef>
              <c:f>'FOR 12'!$B$36:$B$47</c:f>
              <c:numCache>
                <c:formatCode>General</c:formatCode>
                <c:ptCount val="12"/>
                <c:pt idx="0">
                  <c:v>14</c:v>
                </c:pt>
                <c:pt idx="1">
                  <c:v>17</c:v>
                </c:pt>
                <c:pt idx="2">
                  <c:v>15</c:v>
                </c:pt>
                <c:pt idx="3">
                  <c:v>19</c:v>
                </c:pt>
                <c:pt idx="4">
                  <c:v>14</c:v>
                </c:pt>
                <c:pt idx="5">
                  <c:v>12</c:v>
                </c:pt>
                <c:pt idx="6">
                  <c:v>18</c:v>
                </c:pt>
                <c:pt idx="7">
                  <c:v>14</c:v>
                </c:pt>
                <c:pt idx="8">
                  <c:v>19</c:v>
                </c:pt>
                <c:pt idx="9">
                  <c:v>11</c:v>
                </c:pt>
                <c:pt idx="10">
                  <c:v>15</c:v>
                </c:pt>
                <c:pt idx="11">
                  <c:v>21</c:v>
                </c:pt>
              </c:numCache>
            </c:numRef>
          </c:val>
          <c:smooth val="0"/>
          <c:extLst>
            <c:ext xmlns:c16="http://schemas.microsoft.com/office/drawing/2014/chart" uri="{C3380CC4-5D6E-409C-BE32-E72D297353CC}">
              <c16:uniqueId val="{00000003-459A-4279-9652-053277C83B34}"/>
            </c:ext>
          </c:extLst>
        </c:ser>
        <c:ser>
          <c:idx val="2"/>
          <c:order val="1"/>
          <c:tx>
            <c:strRef>
              <c:f>'FOR 12'!$C$35</c:f>
              <c:strCache>
                <c:ptCount val="1"/>
                <c:pt idx="0">
                  <c:v>Promedio movil 4</c:v>
                </c:pt>
              </c:strCache>
            </c:strRef>
          </c:tx>
          <c:spPr>
            <a:ln w="28575" cap="rnd">
              <a:solidFill>
                <a:schemeClr val="accent3"/>
              </a:solidFill>
              <a:round/>
            </a:ln>
            <a:effectLst/>
          </c:spPr>
          <c:marker>
            <c:symbol val="none"/>
          </c:marker>
          <c:val>
            <c:numRef>
              <c:f>'FOR 12'!$C$36:$C$47</c:f>
              <c:numCache>
                <c:formatCode>General</c:formatCode>
                <c:ptCount val="12"/>
                <c:pt idx="4">
                  <c:v>16.25</c:v>
                </c:pt>
                <c:pt idx="5">
                  <c:v>16.25</c:v>
                </c:pt>
                <c:pt idx="6">
                  <c:v>15</c:v>
                </c:pt>
                <c:pt idx="7">
                  <c:v>15.75</c:v>
                </c:pt>
                <c:pt idx="8">
                  <c:v>14.5</c:v>
                </c:pt>
                <c:pt idx="9">
                  <c:v>15.75</c:v>
                </c:pt>
                <c:pt idx="10">
                  <c:v>15.5</c:v>
                </c:pt>
                <c:pt idx="11">
                  <c:v>14.75</c:v>
                </c:pt>
              </c:numCache>
            </c:numRef>
          </c:val>
          <c:smooth val="0"/>
          <c:extLst>
            <c:ext xmlns:c16="http://schemas.microsoft.com/office/drawing/2014/chart" uri="{C3380CC4-5D6E-409C-BE32-E72D297353CC}">
              <c16:uniqueId val="{00000005-459A-4279-9652-053277C83B34}"/>
            </c:ext>
          </c:extLst>
        </c:ser>
        <c:ser>
          <c:idx val="3"/>
          <c:order val="2"/>
          <c:tx>
            <c:strRef>
              <c:f>'FOR 12'!$C$69</c:f>
              <c:strCache>
                <c:ptCount val="1"/>
                <c:pt idx="0">
                  <c:v>Promedio movil 5</c:v>
                </c:pt>
              </c:strCache>
            </c:strRef>
          </c:tx>
          <c:spPr>
            <a:ln w="28575" cap="rnd">
              <a:solidFill>
                <a:schemeClr val="accent4"/>
              </a:solidFill>
              <a:round/>
            </a:ln>
            <a:effectLst/>
          </c:spPr>
          <c:marker>
            <c:symbol val="none"/>
          </c:marker>
          <c:val>
            <c:numRef>
              <c:f>'FOR 12'!$C$70:$C$82</c:f>
              <c:numCache>
                <c:formatCode>General</c:formatCode>
                <c:ptCount val="13"/>
                <c:pt idx="5">
                  <c:v>15.8</c:v>
                </c:pt>
                <c:pt idx="6">
                  <c:v>15.4</c:v>
                </c:pt>
                <c:pt idx="7">
                  <c:v>15.6</c:v>
                </c:pt>
                <c:pt idx="8">
                  <c:v>15.4</c:v>
                </c:pt>
                <c:pt idx="9">
                  <c:v>15.4</c:v>
                </c:pt>
                <c:pt idx="10">
                  <c:v>14.8</c:v>
                </c:pt>
                <c:pt idx="11">
                  <c:v>15.4</c:v>
                </c:pt>
                <c:pt idx="12">
                  <c:v>16</c:v>
                </c:pt>
              </c:numCache>
            </c:numRef>
          </c:val>
          <c:smooth val="0"/>
          <c:extLst>
            <c:ext xmlns:c16="http://schemas.microsoft.com/office/drawing/2014/chart" uri="{C3380CC4-5D6E-409C-BE32-E72D297353CC}">
              <c16:uniqueId val="{00000007-459A-4279-9652-053277C83B34}"/>
            </c:ext>
          </c:extLst>
        </c:ser>
        <c:dLbls>
          <c:showLegendKey val="0"/>
          <c:showVal val="0"/>
          <c:showCatName val="0"/>
          <c:showSerName val="0"/>
          <c:showPercent val="0"/>
          <c:showBubbleSize val="0"/>
        </c:dLbls>
        <c:smooth val="0"/>
        <c:axId val="1640046088"/>
        <c:axId val="1640064008"/>
      </c:lineChart>
      <c:catAx>
        <c:axId val="16400460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064008"/>
        <c:crosses val="autoZero"/>
        <c:auto val="1"/>
        <c:lblAlgn val="ctr"/>
        <c:lblOffset val="100"/>
        <c:noMultiLvlLbl val="0"/>
      </c:catAx>
      <c:valAx>
        <c:axId val="1640064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046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square"/>
            <c:size val="7"/>
            <c:spPr>
              <a:solidFill>
                <a:schemeClr val="accent1"/>
              </a:solidFill>
              <a:ln w="9525">
                <a:solidFill>
                  <a:schemeClr val="accent1"/>
                </a:solidFill>
              </a:ln>
              <a:effectLst/>
            </c:spPr>
          </c:marker>
          <c:dPt>
            <c:idx val="8"/>
            <c:marker>
              <c:symbol val="square"/>
              <c:size val="7"/>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42D-438B-9A86-BF83D9A2AF24}"/>
              </c:ext>
            </c:extLst>
          </c:dPt>
          <c:val>
            <c:numRef>
              <c:f>'FOR 13'!$B$22:$B$32</c:f>
              <c:numCache>
                <c:formatCode>General</c:formatCode>
                <c:ptCount val="11"/>
                <c:pt idx="0">
                  <c:v>66.900000000000006</c:v>
                </c:pt>
                <c:pt idx="1">
                  <c:v>74.8</c:v>
                </c:pt>
                <c:pt idx="2">
                  <c:v>81.2</c:v>
                </c:pt>
                <c:pt idx="3">
                  <c:v>85</c:v>
                </c:pt>
                <c:pt idx="4">
                  <c:v>89.2</c:v>
                </c:pt>
                <c:pt idx="5">
                  <c:v>94.6</c:v>
                </c:pt>
                <c:pt idx="6">
                  <c:v>97.8</c:v>
                </c:pt>
                <c:pt idx="7">
                  <c:v>101.9</c:v>
                </c:pt>
                <c:pt idx="8">
                  <c:v>106.9</c:v>
                </c:pt>
                <c:pt idx="9">
                  <c:v>112.375</c:v>
                </c:pt>
                <c:pt idx="10">
                  <c:v>117.10999999999999</c:v>
                </c:pt>
              </c:numCache>
            </c:numRef>
          </c:val>
          <c:smooth val="0"/>
          <c:extLst>
            <c:ext xmlns:c16="http://schemas.microsoft.com/office/drawing/2014/chart" uri="{C3380CC4-5D6E-409C-BE32-E72D297353CC}">
              <c16:uniqueId val="{00000002-9728-40C2-8616-03017052C9C5}"/>
            </c:ext>
          </c:extLst>
        </c:ser>
        <c:dLbls>
          <c:showLegendKey val="0"/>
          <c:showVal val="0"/>
          <c:showCatName val="0"/>
          <c:showSerName val="0"/>
          <c:showPercent val="0"/>
          <c:showBubbleSize val="0"/>
        </c:dLbls>
        <c:marker val="1"/>
        <c:smooth val="0"/>
        <c:axId val="646151"/>
        <c:axId val="652295"/>
      </c:lineChart>
      <c:catAx>
        <c:axId val="646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295"/>
        <c:crosses val="autoZero"/>
        <c:auto val="1"/>
        <c:lblAlgn val="ctr"/>
        <c:lblOffset val="100"/>
        <c:noMultiLvlLbl val="0"/>
      </c:catAx>
      <c:valAx>
        <c:axId val="652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 14'!$B$22</c:f>
              <c:strCache>
                <c:ptCount val="1"/>
                <c:pt idx="0">
                  <c:v>Ventas</c:v>
                </c:pt>
              </c:strCache>
            </c:strRef>
          </c:tx>
          <c:spPr>
            <a:ln w="25400" cap="rnd">
              <a:noFill/>
              <a:round/>
            </a:ln>
            <a:effectLst/>
          </c:spPr>
          <c:marker>
            <c:symbol val="circle"/>
            <c:size val="7"/>
            <c:spPr>
              <a:solidFill>
                <a:schemeClr val="accent1"/>
              </a:solidFill>
              <a:ln w="9525">
                <a:solidFill>
                  <a:srgbClr val="FFFFFF"/>
                </a:solidFill>
                <a:prstDash val="solid"/>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'FOR 14'!$A$23:$A$29</c:f>
              <c:numCache>
                <c:formatCode>General</c:formatCode>
                <c:ptCount val="7"/>
                <c:pt idx="0">
                  <c:v>1</c:v>
                </c:pt>
                <c:pt idx="1">
                  <c:v>2</c:v>
                </c:pt>
                <c:pt idx="2">
                  <c:v>3</c:v>
                </c:pt>
                <c:pt idx="3">
                  <c:v>4</c:v>
                </c:pt>
                <c:pt idx="4">
                  <c:v>5</c:v>
                </c:pt>
                <c:pt idx="5">
                  <c:v>6</c:v>
                </c:pt>
                <c:pt idx="6">
                  <c:v>7</c:v>
                </c:pt>
              </c:numCache>
            </c:numRef>
          </c:xVal>
          <c:yVal>
            <c:numRef>
              <c:f>'FOR 14'!$B$23:$B$29</c:f>
              <c:numCache>
                <c:formatCode>General</c:formatCode>
                <c:ptCount val="7"/>
                <c:pt idx="0">
                  <c:v>33</c:v>
                </c:pt>
                <c:pt idx="1">
                  <c:v>58</c:v>
                </c:pt>
                <c:pt idx="2">
                  <c:v>83</c:v>
                </c:pt>
                <c:pt idx="3">
                  <c:v>85</c:v>
                </c:pt>
                <c:pt idx="4">
                  <c:v>104</c:v>
                </c:pt>
                <c:pt idx="5">
                  <c:v>105</c:v>
                </c:pt>
                <c:pt idx="6">
                  <c:v>128</c:v>
                </c:pt>
              </c:numCache>
            </c:numRef>
          </c:yVal>
          <c:smooth val="0"/>
          <c:extLst>
            <c:ext xmlns:c16="http://schemas.microsoft.com/office/drawing/2014/chart" uri="{C3380CC4-5D6E-409C-BE32-E72D297353CC}">
              <c16:uniqueId val="{D781CD29-E3CA-4F5D-88CC-CE26F253CC59}"/>
            </c:ext>
          </c:extLst>
        </c:ser>
        <c:dLbls>
          <c:showLegendKey val="0"/>
          <c:showVal val="0"/>
          <c:showCatName val="0"/>
          <c:showSerName val="0"/>
          <c:showPercent val="0"/>
          <c:showBubbleSize val="0"/>
        </c:dLbls>
        <c:axId val="12286471"/>
        <c:axId val="22732807"/>
      </c:scatterChart>
      <c:valAx>
        <c:axId val="12286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32807"/>
        <c:crosses val="autoZero"/>
        <c:crossBetween val="midCat"/>
      </c:valAx>
      <c:valAx>
        <c:axId val="22732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Ventas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64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Original vs Ventas descentralizadas</a:t>
            </a:r>
          </a:p>
        </c:rich>
      </c:tx>
      <c:layout>
        <c:manualLayout>
          <c:xMode val="edge"/>
          <c:yMode val="edge"/>
          <c:x val="0.24343159201240266"/>
          <c:y val="5.9997912860453961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 15'!$C$98</c:f>
              <c:strCache>
                <c:ptCount val="1"/>
                <c:pt idx="0">
                  <c:v>QUARTERS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 15'!$B$99:$B$126</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'FOR 15'!$C$99:$C$126</c:f>
              <c:numCache>
                <c:formatCode>General</c:formatCode>
                <c:ptCount val="28"/>
                <c:pt idx="0">
                  <c:v>12</c:v>
                </c:pt>
                <c:pt idx="1">
                  <c:v>30</c:v>
                </c:pt>
                <c:pt idx="2">
                  <c:v>20</c:v>
                </c:pt>
                <c:pt idx="3">
                  <c:v>8</c:v>
                </c:pt>
                <c:pt idx="4">
                  <c:v>20</c:v>
                </c:pt>
                <c:pt idx="5">
                  <c:v>36</c:v>
                </c:pt>
                <c:pt idx="6">
                  <c:v>30</c:v>
                </c:pt>
                <c:pt idx="7">
                  <c:v>14</c:v>
                </c:pt>
                <c:pt idx="8">
                  <c:v>28</c:v>
                </c:pt>
                <c:pt idx="9">
                  <c:v>45</c:v>
                </c:pt>
                <c:pt idx="10">
                  <c:v>46</c:v>
                </c:pt>
                <c:pt idx="11">
                  <c:v>24</c:v>
                </c:pt>
                <c:pt idx="12">
                  <c:v>38</c:v>
                </c:pt>
                <c:pt idx="13">
                  <c:v>56</c:v>
                </c:pt>
                <c:pt idx="14">
                  <c:v>50</c:v>
                </c:pt>
                <c:pt idx="15">
                  <c:v>36</c:v>
                </c:pt>
                <c:pt idx="16">
                  <c:v>44</c:v>
                </c:pt>
                <c:pt idx="17">
                  <c:v>68</c:v>
                </c:pt>
                <c:pt idx="18">
                  <c:v>62</c:v>
                </c:pt>
                <c:pt idx="19">
                  <c:v>42</c:v>
                </c:pt>
                <c:pt idx="20">
                  <c:v>48</c:v>
                </c:pt>
                <c:pt idx="21">
                  <c:v>72</c:v>
                </c:pt>
                <c:pt idx="22">
                  <c:v>60</c:v>
                </c:pt>
                <c:pt idx="23">
                  <c:v>74</c:v>
                </c:pt>
                <c:pt idx="24">
                  <c:v>56</c:v>
                </c:pt>
                <c:pt idx="25">
                  <c:v>80</c:v>
                </c:pt>
                <c:pt idx="26">
                  <c:v>70</c:v>
                </c:pt>
                <c:pt idx="27">
                  <c:v>54</c:v>
                </c:pt>
              </c:numCache>
            </c:numRef>
          </c:yVal>
          <c:smooth val="1"/>
          <c:extLst>
            <c:ext xmlns:c16="http://schemas.microsoft.com/office/drawing/2014/chart" uri="{C3380CC4-5D6E-409C-BE32-E72D297353CC}">
              <c16:uniqueId val="{00000001-70A5-49BB-BFD5-2B208C222510}"/>
            </c:ext>
          </c:extLst>
        </c:ser>
        <c:ser>
          <c:idx val="1"/>
          <c:order val="1"/>
          <c:tx>
            <c:strRef>
              <c:f>'FOR 15'!$E$98</c:f>
              <c:strCache>
                <c:ptCount val="1"/>
                <c:pt idx="0">
                  <c:v>Ventas descestacionalizadas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2.8273496498858221E-2"/>
                  <c:y val="0.301767643627879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'FOR 15'!$B$99:$B$126</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'FOR 15'!$E$99:$E$126</c:f>
              <c:numCache>
                <c:formatCode>General</c:formatCode>
                <c:ptCount val="28"/>
                <c:pt idx="0">
                  <c:v>13.717378905453542</c:v>
                </c:pt>
                <c:pt idx="1">
                  <c:v>23.230288385464473</c:v>
                </c:pt>
                <c:pt idx="2">
                  <c:v>18.075245738529958</c:v>
                </c:pt>
                <c:pt idx="3">
                  <c:v>11.655983974034219</c:v>
                </c:pt>
                <c:pt idx="4">
                  <c:v>22.862298175755903</c:v>
                </c:pt>
                <c:pt idx="5">
                  <c:v>27.876346062557367</c:v>
                </c:pt>
                <c:pt idx="6">
                  <c:v>27.112868607794937</c:v>
                </c:pt>
                <c:pt idx="7">
                  <c:v>20.397971954559882</c:v>
                </c:pt>
                <c:pt idx="8">
                  <c:v>32.007217446058263</c:v>
                </c:pt>
                <c:pt idx="9">
                  <c:v>34.845432578196707</c:v>
                </c:pt>
                <c:pt idx="10">
                  <c:v>41.573065198618899</c:v>
                </c:pt>
                <c:pt idx="11">
                  <c:v>34.967951922102657</c:v>
                </c:pt>
                <c:pt idx="12">
                  <c:v>43.438366533936218</c:v>
                </c:pt>
                <c:pt idx="13">
                  <c:v>43.363204986200344</c:v>
                </c:pt>
                <c:pt idx="14">
                  <c:v>45.188114346324895</c:v>
                </c:pt>
                <c:pt idx="15">
                  <c:v>52.451927883153985</c:v>
                </c:pt>
                <c:pt idx="16">
                  <c:v>50.29705598666299</c:v>
                </c:pt>
                <c:pt idx="17">
                  <c:v>52.655320340386133</c:v>
                </c:pt>
                <c:pt idx="18">
                  <c:v>56.033261789442868</c:v>
                </c:pt>
                <c:pt idx="19">
                  <c:v>61.193915863679649</c:v>
                </c:pt>
                <c:pt idx="20">
                  <c:v>54.869515621814166</c:v>
                </c:pt>
                <c:pt idx="21">
                  <c:v>55.752692125114734</c:v>
                </c:pt>
                <c:pt idx="22">
                  <c:v>54.225737215589874</c:v>
                </c:pt>
                <c:pt idx="23">
                  <c:v>107.81785175981652</c:v>
                </c:pt>
                <c:pt idx="24">
                  <c:v>64.014434892116526</c:v>
                </c:pt>
                <c:pt idx="25">
                  <c:v>61.947435694571922</c:v>
                </c:pt>
                <c:pt idx="26">
                  <c:v>63.263360084854845</c:v>
                </c:pt>
                <c:pt idx="27">
                  <c:v>78.677891824730978</c:v>
                </c:pt>
              </c:numCache>
            </c:numRef>
          </c:yVal>
          <c:smooth val="1"/>
          <c:extLst>
            <c:ext xmlns:c16="http://schemas.microsoft.com/office/drawing/2014/chart" uri="{C3380CC4-5D6E-409C-BE32-E72D297353CC}">
              <c16:uniqueId val="{00000003-70A5-49BB-BFD5-2B208C222510}"/>
            </c:ext>
          </c:extLst>
        </c:ser>
        <c:dLbls>
          <c:showLegendKey val="0"/>
          <c:showVal val="0"/>
          <c:showCatName val="0"/>
          <c:showSerName val="0"/>
          <c:showPercent val="0"/>
          <c:showBubbleSize val="0"/>
        </c:dLbls>
        <c:axId val="769467911"/>
        <c:axId val="769469959"/>
      </c:scatterChart>
      <c:valAx>
        <c:axId val="769467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69959"/>
        <c:crosses val="autoZero"/>
        <c:crossBetween val="midCat"/>
      </c:valAx>
      <c:valAx>
        <c:axId val="769469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67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Original vs Promedio movil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 15'!$B$24</c:f>
              <c:strCache>
                <c:ptCount val="1"/>
                <c:pt idx="0">
                  <c:v>QUARTERS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 15'!$A$25:$A$52</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'FOR 15'!$B$25:$B$52</c:f>
              <c:numCache>
                <c:formatCode>General</c:formatCode>
                <c:ptCount val="28"/>
                <c:pt idx="0">
                  <c:v>12</c:v>
                </c:pt>
                <c:pt idx="1">
                  <c:v>30</c:v>
                </c:pt>
                <c:pt idx="2">
                  <c:v>20</c:v>
                </c:pt>
                <c:pt idx="3">
                  <c:v>8</c:v>
                </c:pt>
                <c:pt idx="4">
                  <c:v>20</c:v>
                </c:pt>
                <c:pt idx="5">
                  <c:v>36</c:v>
                </c:pt>
                <c:pt idx="6">
                  <c:v>30</c:v>
                </c:pt>
                <c:pt idx="7">
                  <c:v>14</c:v>
                </c:pt>
                <c:pt idx="8">
                  <c:v>28</c:v>
                </c:pt>
                <c:pt idx="9">
                  <c:v>45</c:v>
                </c:pt>
                <c:pt idx="10">
                  <c:v>46</c:v>
                </c:pt>
                <c:pt idx="11">
                  <c:v>24</c:v>
                </c:pt>
                <c:pt idx="12">
                  <c:v>38</c:v>
                </c:pt>
                <c:pt idx="13">
                  <c:v>56</c:v>
                </c:pt>
                <c:pt idx="14">
                  <c:v>50</c:v>
                </c:pt>
                <c:pt idx="15">
                  <c:v>36</c:v>
                </c:pt>
                <c:pt idx="16">
                  <c:v>44</c:v>
                </c:pt>
                <c:pt idx="17">
                  <c:v>68</c:v>
                </c:pt>
                <c:pt idx="18">
                  <c:v>62</c:v>
                </c:pt>
                <c:pt idx="19">
                  <c:v>42</c:v>
                </c:pt>
                <c:pt idx="20">
                  <c:v>48</c:v>
                </c:pt>
                <c:pt idx="21">
                  <c:v>72</c:v>
                </c:pt>
                <c:pt idx="22">
                  <c:v>60</c:v>
                </c:pt>
                <c:pt idx="23">
                  <c:v>74</c:v>
                </c:pt>
                <c:pt idx="24">
                  <c:v>56</c:v>
                </c:pt>
                <c:pt idx="25">
                  <c:v>80</c:v>
                </c:pt>
                <c:pt idx="26">
                  <c:v>70</c:v>
                </c:pt>
                <c:pt idx="27">
                  <c:v>54</c:v>
                </c:pt>
              </c:numCache>
            </c:numRef>
          </c:yVal>
          <c:smooth val="1"/>
          <c:extLst>
            <c:ext xmlns:c16="http://schemas.microsoft.com/office/drawing/2014/chart" uri="{C3380CC4-5D6E-409C-BE32-E72D297353CC}">
              <c16:uniqueId val="{00000001-15FC-46A5-A6ED-CAD8B672AB92}"/>
            </c:ext>
          </c:extLst>
        </c:ser>
        <c:ser>
          <c:idx val="1"/>
          <c:order val="1"/>
          <c:tx>
            <c:strRef>
              <c:f>'FOR 15'!$C$24</c:f>
              <c:strCache>
                <c:ptCount val="1"/>
                <c:pt idx="0">
                  <c:v>Promedio movil (n=4)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'FOR 15'!$A$25:$A$52</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'FOR 15'!$C$25:$C$52</c:f>
              <c:numCache>
                <c:formatCode>General</c:formatCode>
                <c:ptCount val="28"/>
                <c:pt idx="4">
                  <c:v>17.5</c:v>
                </c:pt>
                <c:pt idx="5">
                  <c:v>19.5</c:v>
                </c:pt>
                <c:pt idx="6">
                  <c:v>21</c:v>
                </c:pt>
                <c:pt idx="7">
                  <c:v>23.5</c:v>
                </c:pt>
                <c:pt idx="8">
                  <c:v>25</c:v>
                </c:pt>
                <c:pt idx="9">
                  <c:v>27</c:v>
                </c:pt>
                <c:pt idx="10">
                  <c:v>29.25</c:v>
                </c:pt>
                <c:pt idx="11">
                  <c:v>33.25</c:v>
                </c:pt>
                <c:pt idx="12">
                  <c:v>35.75</c:v>
                </c:pt>
                <c:pt idx="13">
                  <c:v>38.25</c:v>
                </c:pt>
                <c:pt idx="14">
                  <c:v>41</c:v>
                </c:pt>
                <c:pt idx="15">
                  <c:v>42</c:v>
                </c:pt>
                <c:pt idx="16">
                  <c:v>45</c:v>
                </c:pt>
                <c:pt idx="17">
                  <c:v>46.5</c:v>
                </c:pt>
                <c:pt idx="18">
                  <c:v>49.5</c:v>
                </c:pt>
                <c:pt idx="19">
                  <c:v>52.5</c:v>
                </c:pt>
                <c:pt idx="20">
                  <c:v>54</c:v>
                </c:pt>
                <c:pt idx="21">
                  <c:v>55</c:v>
                </c:pt>
                <c:pt idx="22">
                  <c:v>56</c:v>
                </c:pt>
                <c:pt idx="23">
                  <c:v>55.5</c:v>
                </c:pt>
                <c:pt idx="24">
                  <c:v>63.5</c:v>
                </c:pt>
                <c:pt idx="25">
                  <c:v>65.5</c:v>
                </c:pt>
                <c:pt idx="26">
                  <c:v>67.5</c:v>
                </c:pt>
                <c:pt idx="27">
                  <c:v>70</c:v>
                </c:pt>
              </c:numCache>
            </c:numRef>
          </c:yVal>
          <c:smooth val="1"/>
          <c:extLst>
            <c:ext xmlns:c16="http://schemas.microsoft.com/office/drawing/2014/chart" uri="{C3380CC4-5D6E-409C-BE32-E72D297353CC}">
              <c16:uniqueId val="{00000003-15FC-46A5-A6ED-CAD8B672AB92}"/>
            </c:ext>
          </c:extLst>
        </c:ser>
        <c:dLbls>
          <c:showLegendKey val="0"/>
          <c:showVal val="0"/>
          <c:showCatName val="0"/>
          <c:showSerName val="0"/>
          <c:showPercent val="0"/>
          <c:showBubbleSize val="0"/>
        </c:dLbls>
        <c:axId val="664237064"/>
        <c:axId val="664239112"/>
      </c:scatterChart>
      <c:valAx>
        <c:axId val="664237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9112"/>
        <c:crosses val="autoZero"/>
        <c:crossBetween val="midCat"/>
      </c:valAx>
      <c:valAx>
        <c:axId val="664239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70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 de tiempo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Valores</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 16'!$D$53:$D$80</c:f>
              <c:numCache>
                <c:formatCode>General</c:formatCode>
                <c:ptCount val="28"/>
                <c:pt idx="0">
                  <c:v>9</c:v>
                </c:pt>
                <c:pt idx="1">
                  <c:v>22.5</c:v>
                </c:pt>
                <c:pt idx="2">
                  <c:v>12</c:v>
                </c:pt>
                <c:pt idx="3">
                  <c:v>6</c:v>
                </c:pt>
                <c:pt idx="4">
                  <c:v>15</c:v>
                </c:pt>
                <c:pt idx="5">
                  <c:v>27</c:v>
                </c:pt>
                <c:pt idx="6">
                  <c:v>22.5</c:v>
                </c:pt>
                <c:pt idx="7">
                  <c:v>10.5</c:v>
                </c:pt>
                <c:pt idx="8">
                  <c:v>21</c:v>
                </c:pt>
                <c:pt idx="9">
                  <c:v>42</c:v>
                </c:pt>
                <c:pt idx="10">
                  <c:v>34.5</c:v>
                </c:pt>
                <c:pt idx="11">
                  <c:v>18</c:v>
                </c:pt>
                <c:pt idx="12">
                  <c:v>28.5</c:v>
                </c:pt>
                <c:pt idx="13">
                  <c:v>42</c:v>
                </c:pt>
                <c:pt idx="14">
                  <c:v>37.5</c:v>
                </c:pt>
                <c:pt idx="15">
                  <c:v>29</c:v>
                </c:pt>
                <c:pt idx="16">
                  <c:v>33</c:v>
                </c:pt>
                <c:pt idx="17">
                  <c:v>52</c:v>
                </c:pt>
                <c:pt idx="18">
                  <c:v>42</c:v>
                </c:pt>
                <c:pt idx="19">
                  <c:v>31.5</c:v>
                </c:pt>
                <c:pt idx="20">
                  <c:v>33</c:v>
                </c:pt>
                <c:pt idx="21">
                  <c:v>52</c:v>
                </c:pt>
                <c:pt idx="22">
                  <c:v>42</c:v>
                </c:pt>
                <c:pt idx="23">
                  <c:v>31.5</c:v>
                </c:pt>
                <c:pt idx="24">
                  <c:v>42</c:v>
                </c:pt>
                <c:pt idx="25">
                  <c:v>60</c:v>
                </c:pt>
                <c:pt idx="26">
                  <c:v>54</c:v>
                </c:pt>
                <c:pt idx="27">
                  <c:v>40.5</c:v>
                </c:pt>
              </c:numCache>
            </c:numRef>
          </c:val>
          <c:smooth val="0"/>
          <c:extLst>
            <c:ext xmlns:c16="http://schemas.microsoft.com/office/drawing/2014/chart" uri="{C3380CC4-5D6E-409C-BE32-E72D297353CC}">
              <c16:uniqueId val="{00000001-19D0-4B76-BDC9-1F32EF31C424}"/>
            </c:ext>
          </c:extLst>
        </c:ser>
        <c:ser>
          <c:idx val="1"/>
          <c:order val="1"/>
          <c:tx>
            <c:v>Prom movil</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'FOR 16'!$E$53:$E$80</c:f>
              <c:numCache>
                <c:formatCode>General</c:formatCode>
                <c:ptCount val="28"/>
                <c:pt idx="2">
                  <c:v>12.375</c:v>
                </c:pt>
                <c:pt idx="3">
                  <c:v>13.875</c:v>
                </c:pt>
                <c:pt idx="4">
                  <c:v>15</c:v>
                </c:pt>
                <c:pt idx="5">
                  <c:v>17.625</c:v>
                </c:pt>
                <c:pt idx="6">
                  <c:v>18.75</c:v>
                </c:pt>
                <c:pt idx="7">
                  <c:v>20.25</c:v>
                </c:pt>
                <c:pt idx="8">
                  <c:v>24</c:v>
                </c:pt>
                <c:pt idx="9">
                  <c:v>27</c:v>
                </c:pt>
                <c:pt idx="10">
                  <c:v>28.875</c:v>
                </c:pt>
                <c:pt idx="11">
                  <c:v>30.75</c:v>
                </c:pt>
                <c:pt idx="12">
                  <c:v>30.75</c:v>
                </c:pt>
                <c:pt idx="13">
                  <c:v>31.5</c:v>
                </c:pt>
                <c:pt idx="14">
                  <c:v>34.25</c:v>
                </c:pt>
                <c:pt idx="15">
                  <c:v>35.375</c:v>
                </c:pt>
                <c:pt idx="16">
                  <c:v>37.875</c:v>
                </c:pt>
                <c:pt idx="17">
                  <c:v>39</c:v>
                </c:pt>
                <c:pt idx="18">
                  <c:v>39.625</c:v>
                </c:pt>
                <c:pt idx="19">
                  <c:v>39.625</c:v>
                </c:pt>
                <c:pt idx="20">
                  <c:v>39.625</c:v>
                </c:pt>
                <c:pt idx="21">
                  <c:v>39.625</c:v>
                </c:pt>
                <c:pt idx="22">
                  <c:v>39.625</c:v>
                </c:pt>
                <c:pt idx="23">
                  <c:v>41.875</c:v>
                </c:pt>
                <c:pt idx="24">
                  <c:v>43.875</c:v>
                </c:pt>
                <c:pt idx="25">
                  <c:v>46.875</c:v>
                </c:pt>
                <c:pt idx="26">
                  <c:v>49.125</c:v>
                </c:pt>
              </c:numCache>
            </c:numRef>
          </c:val>
          <c:smooth val="0"/>
          <c:extLst>
            <c:ext xmlns:c16="http://schemas.microsoft.com/office/drawing/2014/chart" uri="{C3380CC4-5D6E-409C-BE32-E72D297353CC}">
              <c16:uniqueId val="{00000003-19D0-4B76-BDC9-1F32EF31C424}"/>
            </c:ext>
          </c:extLst>
        </c:ser>
        <c:ser>
          <c:idx val="2"/>
          <c:order val="2"/>
          <c:tx>
            <c:v>Prom centrado</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'FOR 16'!$F$53:$F$80</c:f>
              <c:numCache>
                <c:formatCode>General</c:formatCode>
                <c:ptCount val="28"/>
                <c:pt idx="2">
                  <c:v>13.125</c:v>
                </c:pt>
                <c:pt idx="3">
                  <c:v>14.4375</c:v>
                </c:pt>
                <c:pt idx="4">
                  <c:v>16.3125</c:v>
                </c:pt>
                <c:pt idx="5">
                  <c:v>18.1875</c:v>
                </c:pt>
                <c:pt idx="6">
                  <c:v>19.5</c:v>
                </c:pt>
                <c:pt idx="7">
                  <c:v>22.125</c:v>
                </c:pt>
                <c:pt idx="8">
                  <c:v>25.5</c:v>
                </c:pt>
                <c:pt idx="9">
                  <c:v>27.9375</c:v>
                </c:pt>
                <c:pt idx="10">
                  <c:v>29.8125</c:v>
                </c:pt>
                <c:pt idx="11">
                  <c:v>30.75</c:v>
                </c:pt>
                <c:pt idx="12">
                  <c:v>31.125</c:v>
                </c:pt>
                <c:pt idx="13">
                  <c:v>32.875</c:v>
                </c:pt>
                <c:pt idx="14">
                  <c:v>34.8125</c:v>
                </c:pt>
                <c:pt idx="15">
                  <c:v>36.625</c:v>
                </c:pt>
                <c:pt idx="16">
                  <c:v>38.4375</c:v>
                </c:pt>
                <c:pt idx="17">
                  <c:v>39.3125</c:v>
                </c:pt>
                <c:pt idx="18">
                  <c:v>39.625</c:v>
                </c:pt>
                <c:pt idx="19">
                  <c:v>39.625</c:v>
                </c:pt>
                <c:pt idx="20">
                  <c:v>39.625</c:v>
                </c:pt>
                <c:pt idx="21">
                  <c:v>39.625</c:v>
                </c:pt>
                <c:pt idx="22">
                  <c:v>40.75</c:v>
                </c:pt>
                <c:pt idx="23">
                  <c:v>42.875</c:v>
                </c:pt>
                <c:pt idx="24">
                  <c:v>45.375</c:v>
                </c:pt>
                <c:pt idx="25">
                  <c:v>48</c:v>
                </c:pt>
                <c:pt idx="26">
                  <c:v>49.125</c:v>
                </c:pt>
              </c:numCache>
            </c:numRef>
          </c:val>
          <c:smooth val="0"/>
          <c:extLst>
            <c:ext xmlns:c16="http://schemas.microsoft.com/office/drawing/2014/chart" uri="{C3380CC4-5D6E-409C-BE32-E72D297353CC}">
              <c16:uniqueId val="{00000005-19D0-4B76-BDC9-1F32EF31C424}"/>
            </c:ext>
          </c:extLst>
        </c:ser>
        <c:dLbls>
          <c:showLegendKey val="0"/>
          <c:showVal val="0"/>
          <c:showCatName val="0"/>
          <c:showSerName val="0"/>
          <c:showPercent val="0"/>
          <c:showBubbleSize val="0"/>
        </c:dLbls>
        <c:marker val="1"/>
        <c:smooth val="0"/>
        <c:axId val="1580533767"/>
        <c:axId val="1580535815"/>
      </c:lineChart>
      <c:catAx>
        <c:axId val="15805337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35815"/>
        <c:crosses val="autoZero"/>
        <c:auto val="1"/>
        <c:lblAlgn val="ctr"/>
        <c:lblOffset val="100"/>
        <c:noMultiLvlLbl val="0"/>
      </c:catAx>
      <c:valAx>
        <c:axId val="1580535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33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 con y sin estacionalidad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Vntas</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 16'!$D$53:$D$84</c:f>
              <c:numCache>
                <c:formatCode>General</c:formatCode>
                <c:ptCount val="32"/>
                <c:pt idx="0">
                  <c:v>9</c:v>
                </c:pt>
                <c:pt idx="1">
                  <c:v>22.5</c:v>
                </c:pt>
                <c:pt idx="2">
                  <c:v>12</c:v>
                </c:pt>
                <c:pt idx="3">
                  <c:v>6</c:v>
                </c:pt>
                <c:pt idx="4">
                  <c:v>15</c:v>
                </c:pt>
                <c:pt idx="5">
                  <c:v>27</c:v>
                </c:pt>
                <c:pt idx="6">
                  <c:v>22.5</c:v>
                </c:pt>
                <c:pt idx="7">
                  <c:v>10.5</c:v>
                </c:pt>
                <c:pt idx="8">
                  <c:v>21</c:v>
                </c:pt>
                <c:pt idx="9">
                  <c:v>42</c:v>
                </c:pt>
                <c:pt idx="10">
                  <c:v>34.5</c:v>
                </c:pt>
                <c:pt idx="11">
                  <c:v>18</c:v>
                </c:pt>
                <c:pt idx="12">
                  <c:v>28.5</c:v>
                </c:pt>
                <c:pt idx="13">
                  <c:v>42</c:v>
                </c:pt>
                <c:pt idx="14">
                  <c:v>37.5</c:v>
                </c:pt>
                <c:pt idx="15">
                  <c:v>29</c:v>
                </c:pt>
                <c:pt idx="16">
                  <c:v>33</c:v>
                </c:pt>
                <c:pt idx="17">
                  <c:v>52</c:v>
                </c:pt>
                <c:pt idx="18">
                  <c:v>42</c:v>
                </c:pt>
                <c:pt idx="19">
                  <c:v>31.5</c:v>
                </c:pt>
                <c:pt idx="20">
                  <c:v>33</c:v>
                </c:pt>
                <c:pt idx="21">
                  <c:v>52</c:v>
                </c:pt>
                <c:pt idx="22">
                  <c:v>42</c:v>
                </c:pt>
                <c:pt idx="23">
                  <c:v>31.5</c:v>
                </c:pt>
                <c:pt idx="24">
                  <c:v>42</c:v>
                </c:pt>
                <c:pt idx="25">
                  <c:v>60</c:v>
                </c:pt>
                <c:pt idx="26">
                  <c:v>54</c:v>
                </c:pt>
                <c:pt idx="27">
                  <c:v>40.5</c:v>
                </c:pt>
              </c:numCache>
            </c:numRef>
          </c:val>
          <c:smooth val="0"/>
          <c:extLst>
            <c:ext xmlns:c16="http://schemas.microsoft.com/office/drawing/2014/chart" uri="{C3380CC4-5D6E-409C-BE32-E72D297353CC}">
              <c16:uniqueId val="{00000001-A094-4B14-A780-12A0A5A1D7A2}"/>
            </c:ext>
          </c:extLst>
        </c:ser>
        <c:ser>
          <c:idx val="1"/>
          <c:order val="1"/>
          <c:tx>
            <c:v>Vnts s/estacionalidad</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'FOR 16'!$J$53:$J$84</c:f>
              <c:numCache>
                <c:formatCode>0.00</c:formatCode>
                <c:ptCount val="32"/>
                <c:pt idx="0">
                  <c:v>12.918719211822658</c:v>
                </c:pt>
                <c:pt idx="1">
                  <c:v>14.31759715380405</c:v>
                </c:pt>
                <c:pt idx="2">
                  <c:v>15.716475095785439</c:v>
                </c:pt>
                <c:pt idx="3">
                  <c:v>17.11535303776683</c:v>
                </c:pt>
                <c:pt idx="4">
                  <c:v>18.51423097974822</c:v>
                </c:pt>
                <c:pt idx="5">
                  <c:v>19.913108921729609</c:v>
                </c:pt>
                <c:pt idx="6">
                  <c:v>21.311986863710999</c:v>
                </c:pt>
                <c:pt idx="7">
                  <c:v>22.710864805692388</c:v>
                </c:pt>
                <c:pt idx="8">
                  <c:v>24.109742747673778</c:v>
                </c:pt>
                <c:pt idx="9">
                  <c:v>25.508620689655171</c:v>
                </c:pt>
                <c:pt idx="10">
                  <c:v>26.90749863163656</c:v>
                </c:pt>
                <c:pt idx="11">
                  <c:v>28.30637657361795</c:v>
                </c:pt>
                <c:pt idx="12">
                  <c:v>29.705254515599339</c:v>
                </c:pt>
                <c:pt idx="13">
                  <c:v>31.104132457580732</c:v>
                </c:pt>
                <c:pt idx="14">
                  <c:v>32.503010399562122</c:v>
                </c:pt>
                <c:pt idx="15">
                  <c:v>33.901888341543511</c:v>
                </c:pt>
                <c:pt idx="16">
                  <c:v>35.300766283524901</c:v>
                </c:pt>
                <c:pt idx="17">
                  <c:v>36.69964422550629</c:v>
                </c:pt>
                <c:pt idx="18">
                  <c:v>38.098522167487687</c:v>
                </c:pt>
                <c:pt idx="19">
                  <c:v>39.497400109469069</c:v>
                </c:pt>
                <c:pt idx="20">
                  <c:v>40.896278051450466</c:v>
                </c:pt>
                <c:pt idx="21">
                  <c:v>42.295155993431848</c:v>
                </c:pt>
                <c:pt idx="22">
                  <c:v>43.694033935413245</c:v>
                </c:pt>
                <c:pt idx="23">
                  <c:v>45.092911877394627</c:v>
                </c:pt>
                <c:pt idx="24">
                  <c:v>46.491789819376024</c:v>
                </c:pt>
                <c:pt idx="25">
                  <c:v>47.890667761357406</c:v>
                </c:pt>
                <c:pt idx="26">
                  <c:v>49.289545703338803</c:v>
                </c:pt>
                <c:pt idx="27">
                  <c:v>50.688423645320199</c:v>
                </c:pt>
                <c:pt idx="28">
                  <c:v>52.087301587301582</c:v>
                </c:pt>
                <c:pt idx="29">
                  <c:v>53.486179529282978</c:v>
                </c:pt>
                <c:pt idx="30">
                  <c:v>54.885057471264361</c:v>
                </c:pt>
                <c:pt idx="31">
                  <c:v>56.283935413245757</c:v>
                </c:pt>
              </c:numCache>
            </c:numRef>
          </c:val>
          <c:smooth val="0"/>
          <c:extLst>
            <c:ext xmlns:c16="http://schemas.microsoft.com/office/drawing/2014/chart" uri="{C3380CC4-5D6E-409C-BE32-E72D297353CC}">
              <c16:uniqueId val="{00000003-A094-4B14-A780-12A0A5A1D7A2}"/>
            </c:ext>
          </c:extLst>
        </c:ser>
        <c:ser>
          <c:idx val="2"/>
          <c:order val="2"/>
          <c:tx>
            <c:v>Vntas c/estacionalidad</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'FOR 16'!$K$53:$K$84</c:f>
              <c:numCache>
                <c:formatCode>0.00</c:formatCode>
                <c:ptCount val="32"/>
                <c:pt idx="0">
                  <c:v>11.359206488482585</c:v>
                </c:pt>
                <c:pt idx="1">
                  <c:v>19.449252256880104</c:v>
                </c:pt>
                <c:pt idx="2">
                  <c:v>16.6033193675385</c:v>
                </c:pt>
                <c:pt idx="3">
                  <c:v>10.831114491241202</c:v>
                </c:pt>
                <c:pt idx="4">
                  <c:v>16.279243261356537</c:v>
                </c:pt>
                <c:pt idx="5">
                  <c:v>27.050284658592197</c:v>
                </c:pt>
                <c:pt idx="6">
                  <c:v>22.514572898720019</c:v>
                </c:pt>
                <c:pt idx="7">
                  <c:v>14.37212404341091</c:v>
                </c:pt>
                <c:pt idx="8">
                  <c:v>21.199280034230487</c:v>
                </c:pt>
                <c:pt idx="9">
                  <c:v>34.651317060304287</c:v>
                </c:pt>
                <c:pt idx="10">
                  <c:v>28.425826429901537</c:v>
                </c:pt>
                <c:pt idx="11">
                  <c:v>17.913133595580621</c:v>
                </c:pt>
                <c:pt idx="12">
                  <c:v>26.11931680710444</c:v>
                </c:pt>
                <c:pt idx="13">
                  <c:v>42.252349462016383</c:v>
                </c:pt>
                <c:pt idx="14">
                  <c:v>34.337079961083056</c:v>
                </c:pt>
                <c:pt idx="15">
                  <c:v>21.454143147750333</c:v>
                </c:pt>
                <c:pt idx="16">
                  <c:v>31.039353579978393</c:v>
                </c:pt>
                <c:pt idx="17">
                  <c:v>49.853381863728465</c:v>
                </c:pt>
                <c:pt idx="18">
                  <c:v>40.248333492264578</c:v>
                </c:pt>
                <c:pt idx="19">
                  <c:v>24.995152699920041</c:v>
                </c:pt>
                <c:pt idx="20">
                  <c:v>35.959390352852353</c:v>
                </c:pt>
                <c:pt idx="21">
                  <c:v>57.454414265440555</c:v>
                </c:pt>
                <c:pt idx="22">
                  <c:v>46.159587023446093</c:v>
                </c:pt>
                <c:pt idx="23">
                  <c:v>28.536162252089749</c:v>
                </c:pt>
                <c:pt idx="24">
                  <c:v>40.879427125726302</c:v>
                </c:pt>
                <c:pt idx="25">
                  <c:v>65.055446667152637</c:v>
                </c:pt>
                <c:pt idx="26">
                  <c:v>52.070840554627608</c:v>
                </c:pt>
                <c:pt idx="27">
                  <c:v>32.077171804259464</c:v>
                </c:pt>
                <c:pt idx="28">
                  <c:v>45.799463898600251</c:v>
                </c:pt>
                <c:pt idx="29">
                  <c:v>72.656479068864755</c:v>
                </c:pt>
                <c:pt idx="30">
                  <c:v>57.982094085809123</c:v>
                </c:pt>
                <c:pt idx="31">
                  <c:v>35.618181356429176</c:v>
                </c:pt>
              </c:numCache>
            </c:numRef>
          </c:val>
          <c:smooth val="0"/>
          <c:extLst>
            <c:ext xmlns:c16="http://schemas.microsoft.com/office/drawing/2014/chart" uri="{C3380CC4-5D6E-409C-BE32-E72D297353CC}">
              <c16:uniqueId val="{00000005-A094-4B14-A780-12A0A5A1D7A2}"/>
            </c:ext>
          </c:extLst>
        </c:ser>
        <c:dLbls>
          <c:showLegendKey val="0"/>
          <c:showVal val="0"/>
          <c:showCatName val="0"/>
          <c:showSerName val="0"/>
          <c:showPercent val="0"/>
          <c:showBubbleSize val="0"/>
        </c:dLbls>
        <c:marker val="1"/>
        <c:smooth val="0"/>
        <c:axId val="921455111"/>
        <c:axId val="921470471"/>
      </c:lineChart>
      <c:catAx>
        <c:axId val="9214551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470471"/>
        <c:crosses val="autoZero"/>
        <c:auto val="1"/>
        <c:lblAlgn val="ctr"/>
        <c:lblOffset val="100"/>
        <c:noMultiLvlLbl val="0"/>
      </c:catAx>
      <c:valAx>
        <c:axId val="921470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455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'FOR 17'!$D$43</c:f>
              <c:strCache>
                <c:ptCount val="1"/>
                <c:pt idx="0">
                  <c:v>Ventas</c:v>
                </c:pt>
              </c:strCache>
            </c:strRef>
          </c:tx>
          <c:spPr>
            <a:ln w="28575" cap="rnd">
              <a:solidFill>
                <a:schemeClr val="accent1"/>
              </a:solidFill>
              <a:round/>
            </a:ln>
            <a:effectLst/>
          </c:spPr>
          <c:marker>
            <c:symbol val="none"/>
          </c:marker>
          <c:cat>
            <c:numRef>
              <c:f>'FOR 17'!$C$44:$C$79</c:f>
              <c:numCache>
                <c:formatCode>mmm\-yy</c:formatCode>
                <c:ptCount val="3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numCache>
            </c:numRef>
          </c:cat>
          <c:val>
            <c:numRef>
              <c:f>'FOR 17'!$D$44:$D$79</c:f>
              <c:numCache>
                <c:formatCode>0.00</c:formatCode>
                <c:ptCount val="36"/>
                <c:pt idx="0" formatCode="General">
                  <c:v>349.17</c:v>
                </c:pt>
                <c:pt idx="1">
                  <c:v>339.07</c:v>
                </c:pt>
                <c:pt idx="2" formatCode="General">
                  <c:v>334.74</c:v>
                </c:pt>
                <c:pt idx="3" formatCode="General">
                  <c:v>256.82</c:v>
                </c:pt>
                <c:pt idx="4" formatCode="General">
                  <c:v>265.48</c:v>
                </c:pt>
                <c:pt idx="5" formatCode="General">
                  <c:v>202</c:v>
                </c:pt>
                <c:pt idx="6" formatCode="General">
                  <c:v>339.37</c:v>
                </c:pt>
                <c:pt idx="7" formatCode="General">
                  <c:v>355.76</c:v>
                </c:pt>
                <c:pt idx="8" formatCode="General">
                  <c:v>257.45</c:v>
                </c:pt>
                <c:pt idx="9" formatCode="General">
                  <c:v>304.26</c:v>
                </c:pt>
                <c:pt idx="10" formatCode="General">
                  <c:v>355.76</c:v>
                </c:pt>
                <c:pt idx="11" formatCode="General">
                  <c:v>482.14</c:v>
                </c:pt>
                <c:pt idx="12" formatCode="General">
                  <c:v>379.46</c:v>
                </c:pt>
                <c:pt idx="13" formatCode="General">
                  <c:v>343.39</c:v>
                </c:pt>
                <c:pt idx="14" formatCode="General">
                  <c:v>356.38</c:v>
                </c:pt>
                <c:pt idx="15" formatCode="General">
                  <c:v>278.47000000000003</c:v>
                </c:pt>
                <c:pt idx="16" formatCode="General">
                  <c:v>278.47000000000003</c:v>
                </c:pt>
                <c:pt idx="17" formatCode="General">
                  <c:v>214.98</c:v>
                </c:pt>
                <c:pt idx="18" formatCode="General">
                  <c:v>367.46</c:v>
                </c:pt>
                <c:pt idx="19" formatCode="General">
                  <c:v>376.82</c:v>
                </c:pt>
                <c:pt idx="20" formatCode="General">
                  <c:v>285.54000000000002</c:v>
                </c:pt>
                <c:pt idx="21" formatCode="General">
                  <c:v>304.26</c:v>
                </c:pt>
                <c:pt idx="22" formatCode="General">
                  <c:v>390.86</c:v>
                </c:pt>
                <c:pt idx="23" formatCode="General">
                  <c:v>538.30999999999995</c:v>
                </c:pt>
                <c:pt idx="24" formatCode="General">
                  <c:v>406.88</c:v>
                </c:pt>
                <c:pt idx="25" formatCode="General">
                  <c:v>367.92</c:v>
                </c:pt>
                <c:pt idx="26" formatCode="General">
                  <c:v>382.35</c:v>
                </c:pt>
                <c:pt idx="27" formatCode="General">
                  <c:v>295.77999999999997</c:v>
                </c:pt>
                <c:pt idx="28" formatCode="General">
                  <c:v>302.99</c:v>
                </c:pt>
                <c:pt idx="29" formatCode="General">
                  <c:v>230.85</c:v>
                </c:pt>
                <c:pt idx="30" formatCode="General">
                  <c:v>388.52</c:v>
                </c:pt>
                <c:pt idx="31" formatCode="General">
                  <c:v>407.25</c:v>
                </c:pt>
                <c:pt idx="32" formatCode="General">
                  <c:v>294.89999999999998</c:v>
                </c:pt>
                <c:pt idx="33" formatCode="General">
                  <c:v>346.39</c:v>
                </c:pt>
                <c:pt idx="34" formatCode="General">
                  <c:v>404.91</c:v>
                </c:pt>
                <c:pt idx="35" formatCode="General">
                  <c:v>550.02</c:v>
                </c:pt>
              </c:numCache>
            </c:numRef>
          </c:val>
          <c:smooth val="0"/>
          <c:extLst>
            <c:ext xmlns:c16="http://schemas.microsoft.com/office/drawing/2014/chart" uri="{C3380CC4-5D6E-409C-BE32-E72D297353CC}">
              <c16:uniqueId val="{00000001-6489-44CE-88B3-96335464ED9E}"/>
            </c:ext>
          </c:extLst>
        </c:ser>
        <c:ser>
          <c:idx val="1"/>
          <c:order val="1"/>
          <c:tx>
            <c:strRef>
              <c:f>'FOR 17'!$E$43</c:f>
              <c:strCache>
                <c:ptCount val="1"/>
                <c:pt idx="0">
                  <c:v>PM n=4</c:v>
                </c:pt>
              </c:strCache>
            </c:strRef>
          </c:tx>
          <c:spPr>
            <a:ln w="28575" cap="rnd">
              <a:solidFill>
                <a:schemeClr val="accent2"/>
              </a:solidFill>
              <a:round/>
            </a:ln>
            <a:effectLst/>
          </c:spPr>
          <c:marker>
            <c:symbol val="none"/>
          </c:marker>
          <c:cat>
            <c:numRef>
              <c:f>'FOR 17'!$C$44:$C$79</c:f>
              <c:numCache>
                <c:formatCode>mmm\-yy</c:formatCode>
                <c:ptCount val="3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numCache>
            </c:numRef>
          </c:cat>
          <c:val>
            <c:numRef>
              <c:f>'FOR 17'!$E$44:$E$77</c:f>
              <c:numCache>
                <c:formatCode>General</c:formatCode>
                <c:ptCount val="34"/>
                <c:pt idx="2" formatCode="0.00">
                  <c:v>319.95</c:v>
                </c:pt>
                <c:pt idx="3" formatCode="0.00">
                  <c:v>299.02749999999997</c:v>
                </c:pt>
                <c:pt idx="4" formatCode="0.00">
                  <c:v>264.76</c:v>
                </c:pt>
                <c:pt idx="5" formatCode="0.00">
                  <c:v>265.91750000000002</c:v>
                </c:pt>
                <c:pt idx="6" formatCode="0.00">
                  <c:v>290.65250000000003</c:v>
                </c:pt>
                <c:pt idx="7" formatCode="0.00">
                  <c:v>288.64499999999998</c:v>
                </c:pt>
                <c:pt idx="8" formatCode="0.00">
                  <c:v>314.20999999999998</c:v>
                </c:pt>
                <c:pt idx="9" formatCode="0.00">
                  <c:v>318.3075</c:v>
                </c:pt>
                <c:pt idx="10" formatCode="0.00">
                  <c:v>349.90250000000003</c:v>
                </c:pt>
                <c:pt idx="11" formatCode="0.00">
                  <c:v>380.40499999999997</c:v>
                </c:pt>
                <c:pt idx="12" formatCode="0.00">
                  <c:v>390.1875</c:v>
                </c:pt>
                <c:pt idx="13" formatCode="0.00">
                  <c:v>390.34249999999997</c:v>
                </c:pt>
                <c:pt idx="14" formatCode="0.00">
                  <c:v>339.42500000000001</c:v>
                </c:pt>
                <c:pt idx="15" formatCode="0.00">
                  <c:v>314.17750000000001</c:v>
                </c:pt>
                <c:pt idx="16" formatCode="0.00">
                  <c:v>282.07499999999999</c:v>
                </c:pt>
                <c:pt idx="17" formatCode="0.00">
                  <c:v>284.84500000000003</c:v>
                </c:pt>
                <c:pt idx="18" formatCode="0.00">
                  <c:v>309.4325</c:v>
                </c:pt>
                <c:pt idx="19" formatCode="0.00">
                  <c:v>311.2</c:v>
                </c:pt>
                <c:pt idx="20" formatCode="0.00">
                  <c:v>333.52</c:v>
                </c:pt>
                <c:pt idx="21" formatCode="0.00">
                  <c:v>339.37</c:v>
                </c:pt>
                <c:pt idx="22" formatCode="0.00">
                  <c:v>379.74249999999995</c:v>
                </c:pt>
                <c:pt idx="23" formatCode="0.00">
                  <c:v>410.07749999999999</c:v>
                </c:pt>
                <c:pt idx="24" formatCode="0.00">
                  <c:v>425.99250000000001</c:v>
                </c:pt>
                <c:pt idx="25" formatCode="0.00">
                  <c:v>423.86500000000001</c:v>
                </c:pt>
                <c:pt idx="26" formatCode="0.00">
                  <c:v>363.23250000000002</c:v>
                </c:pt>
                <c:pt idx="27" formatCode="0.00">
                  <c:v>337.26</c:v>
                </c:pt>
                <c:pt idx="28" formatCode="0.00">
                  <c:v>302.99250000000001</c:v>
                </c:pt>
                <c:pt idx="29" formatCode="0.00">
                  <c:v>304.53499999999997</c:v>
                </c:pt>
                <c:pt idx="30" formatCode="0.00">
                  <c:v>332.40250000000003</c:v>
                </c:pt>
                <c:pt idx="31" formatCode="0.00">
                  <c:v>330.38</c:v>
                </c:pt>
                <c:pt idx="32" formatCode="0.00">
                  <c:v>359.26499999999999</c:v>
                </c:pt>
                <c:pt idx="33" formatCode="0.00">
                  <c:v>363.36250000000001</c:v>
                </c:pt>
              </c:numCache>
            </c:numRef>
          </c:val>
          <c:smooth val="0"/>
          <c:extLst>
            <c:ext xmlns:c16="http://schemas.microsoft.com/office/drawing/2014/chart" uri="{C3380CC4-5D6E-409C-BE32-E72D297353CC}">
              <c16:uniqueId val="{00000003-6489-44CE-88B3-96335464ED9E}"/>
            </c:ext>
          </c:extLst>
        </c:ser>
        <c:ser>
          <c:idx val="2"/>
          <c:order val="2"/>
          <c:tx>
            <c:strRef>
              <c:f>'FOR 17'!$D$167</c:f>
              <c:strCache>
                <c:ptCount val="1"/>
                <c:pt idx="0">
                  <c:v>ene-10</c:v>
                </c:pt>
              </c:strCache>
            </c:strRef>
          </c:tx>
          <c:spPr>
            <a:ln w="28575" cap="rnd">
              <a:solidFill>
                <a:schemeClr val="accent3"/>
              </a:solidFill>
              <a:round/>
            </a:ln>
            <a:effectLst/>
          </c:spPr>
          <c:marker>
            <c:symbol val="none"/>
          </c:marker>
          <c:cat>
            <c:numRef>
              <c:f>'FOR 17'!$C$44:$C$79</c:f>
              <c:numCache>
                <c:formatCode>mmm\-yy</c:formatCode>
                <c:ptCount val="3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numCache>
            </c:numRef>
          </c:cat>
          <c:val>
            <c:numRef>
              <c:f>'FOR 17'!$B$90:$B$125</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numCache>
            </c:numRef>
          </c:val>
          <c:smooth val="0"/>
          <c:extLst>
            <c:ext xmlns:c16="http://schemas.microsoft.com/office/drawing/2014/chart" uri="{C3380CC4-5D6E-409C-BE32-E72D297353CC}">
              <c16:uniqueId val="{00000005-6489-44CE-88B3-96335464ED9E}"/>
            </c:ext>
          </c:extLst>
        </c:ser>
        <c:dLbls>
          <c:showLegendKey val="0"/>
          <c:showVal val="0"/>
          <c:showCatName val="0"/>
          <c:showSerName val="0"/>
          <c:showPercent val="0"/>
          <c:showBubbleSize val="0"/>
        </c:dLbls>
        <c:smooth val="0"/>
        <c:axId val="1481468423"/>
        <c:axId val="1481470471"/>
      </c:lineChart>
      <c:dateAx>
        <c:axId val="14814684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70471"/>
        <c:crosses val="autoZero"/>
        <c:auto val="1"/>
        <c:lblOffset val="100"/>
        <c:baseTimeUnit val="months"/>
      </c:dateAx>
      <c:valAx>
        <c:axId val="1481470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68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'FOR 17'!$D$90:$D$125</c:f>
              <c:numCache>
                <c:formatCode>mmm\-yy</c:formatCode>
                <c:ptCount val="3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numCache>
            </c:numRef>
          </c:cat>
          <c:val>
            <c:numRef>
              <c:f>'FOR 17'!$E$90:$E$125</c:f>
              <c:numCache>
                <c:formatCode>0.00</c:formatCode>
                <c:ptCount val="36"/>
                <c:pt idx="0" formatCode="General">
                  <c:v>349.17</c:v>
                </c:pt>
                <c:pt idx="1">
                  <c:v>339.07</c:v>
                </c:pt>
                <c:pt idx="2" formatCode="General">
                  <c:v>334.74</c:v>
                </c:pt>
                <c:pt idx="3" formatCode="General">
                  <c:v>256.82</c:v>
                </c:pt>
                <c:pt idx="4" formatCode="General">
                  <c:v>265.48</c:v>
                </c:pt>
                <c:pt idx="5" formatCode="General">
                  <c:v>202</c:v>
                </c:pt>
                <c:pt idx="6" formatCode="General">
                  <c:v>339.37</c:v>
                </c:pt>
                <c:pt idx="7" formatCode="General">
                  <c:v>355.76</c:v>
                </c:pt>
                <c:pt idx="8" formatCode="General">
                  <c:v>257.45</c:v>
                </c:pt>
                <c:pt idx="9" formatCode="General">
                  <c:v>304.26</c:v>
                </c:pt>
                <c:pt idx="10" formatCode="General">
                  <c:v>355.76</c:v>
                </c:pt>
                <c:pt idx="11" formatCode="General">
                  <c:v>482.14</c:v>
                </c:pt>
                <c:pt idx="12" formatCode="General">
                  <c:v>379.46</c:v>
                </c:pt>
                <c:pt idx="13" formatCode="General">
                  <c:v>343.39</c:v>
                </c:pt>
                <c:pt idx="14" formatCode="General">
                  <c:v>356.38</c:v>
                </c:pt>
                <c:pt idx="15" formatCode="General">
                  <c:v>278.47000000000003</c:v>
                </c:pt>
                <c:pt idx="16" formatCode="General">
                  <c:v>278.47000000000003</c:v>
                </c:pt>
                <c:pt idx="17" formatCode="General">
                  <c:v>214.98</c:v>
                </c:pt>
                <c:pt idx="18" formatCode="General">
                  <c:v>367.46</c:v>
                </c:pt>
                <c:pt idx="19" formatCode="General">
                  <c:v>376.82</c:v>
                </c:pt>
                <c:pt idx="20" formatCode="General">
                  <c:v>285.54000000000002</c:v>
                </c:pt>
                <c:pt idx="21" formatCode="General">
                  <c:v>304.26</c:v>
                </c:pt>
                <c:pt idx="22" formatCode="General">
                  <c:v>390.86</c:v>
                </c:pt>
                <c:pt idx="23" formatCode="General">
                  <c:v>538.30999999999995</c:v>
                </c:pt>
                <c:pt idx="24" formatCode="General">
                  <c:v>406.88</c:v>
                </c:pt>
                <c:pt idx="25" formatCode="General">
                  <c:v>367.92</c:v>
                </c:pt>
                <c:pt idx="26" formatCode="General">
                  <c:v>382.35</c:v>
                </c:pt>
                <c:pt idx="27" formatCode="General">
                  <c:v>295.77999999999997</c:v>
                </c:pt>
                <c:pt idx="28" formatCode="General">
                  <c:v>302.99</c:v>
                </c:pt>
                <c:pt idx="29" formatCode="General">
                  <c:v>230.85</c:v>
                </c:pt>
                <c:pt idx="30" formatCode="General">
                  <c:v>388.52</c:v>
                </c:pt>
                <c:pt idx="31" formatCode="General">
                  <c:v>407.25</c:v>
                </c:pt>
                <c:pt idx="32" formatCode="General">
                  <c:v>294.89999999999998</c:v>
                </c:pt>
                <c:pt idx="33" formatCode="General">
                  <c:v>346.39</c:v>
                </c:pt>
                <c:pt idx="34" formatCode="General">
                  <c:v>404.91</c:v>
                </c:pt>
                <c:pt idx="35" formatCode="General">
                  <c:v>550.02</c:v>
                </c:pt>
              </c:numCache>
            </c:numRef>
          </c:val>
          <c:smooth val="0"/>
          <c:extLst>
            <c:ext xmlns:c16="http://schemas.microsoft.com/office/drawing/2014/chart" uri="{C3380CC4-5D6E-409C-BE32-E72D297353CC}">
              <c16:uniqueId val="{00000001-CEA6-4762-AC6D-5A40B6AC03C5}"/>
            </c:ext>
          </c:extLst>
        </c:ser>
        <c:ser>
          <c:idx val="1"/>
          <c:order val="1"/>
          <c:spPr>
            <a:ln w="28575" cap="rnd">
              <a:solidFill>
                <a:schemeClr val="accent2"/>
              </a:solidFill>
              <a:round/>
            </a:ln>
            <a:effectLst/>
          </c:spPr>
          <c:marker>
            <c:symbol val="none"/>
          </c:marker>
          <c:cat>
            <c:numRef>
              <c:f>'FOR 17'!$D$90:$D$125</c:f>
              <c:numCache>
                <c:formatCode>mmm\-yy</c:formatCode>
                <c:ptCount val="3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numCache>
            </c:numRef>
          </c:cat>
          <c:val>
            <c:numRef>
              <c:f>'FOR 17'!$G$90:$G$125</c:f>
              <c:numCache>
                <c:formatCode>General</c:formatCode>
                <c:ptCount val="36"/>
                <c:pt idx="0">
                  <c:v>361.86439916965514</c:v>
                </c:pt>
                <c:pt idx="1">
                  <c:v>361.48725642951115</c:v>
                </c:pt>
                <c:pt idx="2">
                  <c:v>307.6880070184659</c:v>
                </c:pt>
                <c:pt idx="3">
                  <c:v>278.23803937457848</c:v>
                </c:pt>
                <c:pt idx="4">
                  <c:v>267.22755832500258</c:v>
                </c:pt>
                <c:pt idx="5">
                  <c:v>278.7168209966473</c:v>
                </c:pt>
                <c:pt idx="6">
                  <c:v>288.56374021576983</c:v>
                </c:pt>
                <c:pt idx="7">
                  <c:v>302.32551537221502</c:v>
                </c:pt>
                <c:pt idx="8">
                  <c:v>311.56535190219148</c:v>
                </c:pt>
                <c:pt idx="9">
                  <c:v>346.3637067985274</c:v>
                </c:pt>
                <c:pt idx="10">
                  <c:v>362.27754810888229</c:v>
                </c:pt>
                <c:pt idx="11">
                  <c:v>379.77775335718178</c:v>
                </c:pt>
                <c:pt idx="12">
                  <c:v>393.25562021054878</c:v>
                </c:pt>
                <c:pt idx="13">
                  <c:v>366.0928686859051</c:v>
                </c:pt>
                <c:pt idx="14">
                  <c:v>327.5791717190682</c:v>
                </c:pt>
                <c:pt idx="15">
                  <c:v>301.69358626523979</c:v>
                </c:pt>
                <c:pt idx="16">
                  <c:v>280.30306677250064</c:v>
                </c:pt>
                <c:pt idx="17">
                  <c:v>296.62644642504569</c:v>
                </c:pt>
                <c:pt idx="18">
                  <c:v>312.44845442934485</c:v>
                </c:pt>
                <c:pt idx="19">
                  <c:v>320.22234287878928</c:v>
                </c:pt>
                <c:pt idx="20">
                  <c:v>345.55980028025544</c:v>
                </c:pt>
                <c:pt idx="21">
                  <c:v>346.3637067985274</c:v>
                </c:pt>
                <c:pt idx="22">
                  <c:v>398.02058256644295</c:v>
                </c:pt>
                <c:pt idx="23">
                  <c:v>424.02240513067676</c:v>
                </c:pt>
                <c:pt idx="24">
                  <c:v>421.6724997398095</c:v>
                </c:pt>
                <c:pt idx="25">
                  <c:v>392.24464383621597</c:v>
                </c:pt>
                <c:pt idx="26">
                  <c:v>351.45040772991115</c:v>
                </c:pt>
                <c:pt idx="27">
                  <c:v>320.44718980691852</c:v>
                </c:pt>
                <c:pt idx="28">
                  <c:v>304.98447301827832</c:v>
                </c:pt>
                <c:pt idx="29">
                  <c:v>318.52365409443576</c:v>
                </c:pt>
                <c:pt idx="30">
                  <c:v>330.35561289633989</c:v>
                </c:pt>
                <c:pt idx="31">
                  <c:v>346.08181396259999</c:v>
                </c:pt>
                <c:pt idx="32">
                  <c:v>356.88724908120514</c:v>
                </c:pt>
                <c:pt idx="33">
                  <c:v>394.32368499948041</c:v>
                </c:pt>
                <c:pt idx="34">
                  <c:v>412.32797955016736</c:v>
                </c:pt>
                <c:pt idx="35">
                  <c:v>433.24627681071291</c:v>
                </c:pt>
              </c:numCache>
            </c:numRef>
          </c:val>
          <c:smooth val="0"/>
          <c:extLst>
            <c:ext xmlns:c16="http://schemas.microsoft.com/office/drawing/2014/chart" uri="{C3380CC4-5D6E-409C-BE32-E72D297353CC}">
              <c16:uniqueId val="{00000003-CEA6-4762-AC6D-5A40B6AC03C5}"/>
            </c:ext>
          </c:extLst>
        </c:ser>
        <c:dLbls>
          <c:showLegendKey val="0"/>
          <c:showVal val="0"/>
          <c:showCatName val="0"/>
          <c:showSerName val="0"/>
          <c:showPercent val="0"/>
          <c:showBubbleSize val="0"/>
        </c:dLbls>
        <c:smooth val="0"/>
        <c:axId val="343096328"/>
        <c:axId val="343134728"/>
      </c:lineChart>
      <c:dateAx>
        <c:axId val="3430963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34728"/>
        <c:crosses val="autoZero"/>
        <c:auto val="1"/>
        <c:lblOffset val="100"/>
        <c:baseTimeUnit val="months"/>
      </c:dateAx>
      <c:valAx>
        <c:axId val="34313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96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6.6774934383202103E-2"/>
                  <c:y val="-0.206385972586759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'FOR 17'!$A$90:$A$125</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'FOR 17'!$G$90:$G$125</c:f>
              <c:numCache>
                <c:formatCode>General</c:formatCode>
                <c:ptCount val="36"/>
                <c:pt idx="0">
                  <c:v>361.86439916965514</c:v>
                </c:pt>
                <c:pt idx="1">
                  <c:v>361.48725642951115</c:v>
                </c:pt>
                <c:pt idx="2">
                  <c:v>307.6880070184659</c:v>
                </c:pt>
                <c:pt idx="3">
                  <c:v>278.23803937457848</c:v>
                </c:pt>
                <c:pt idx="4">
                  <c:v>267.22755832500258</c:v>
                </c:pt>
                <c:pt idx="5">
                  <c:v>278.7168209966473</c:v>
                </c:pt>
                <c:pt idx="6">
                  <c:v>288.56374021576983</c:v>
                </c:pt>
                <c:pt idx="7">
                  <c:v>302.32551537221502</c:v>
                </c:pt>
                <c:pt idx="8">
                  <c:v>311.56535190219148</c:v>
                </c:pt>
                <c:pt idx="9">
                  <c:v>346.3637067985274</c:v>
                </c:pt>
                <c:pt idx="10">
                  <c:v>362.27754810888229</c:v>
                </c:pt>
                <c:pt idx="11">
                  <c:v>379.77775335718178</c:v>
                </c:pt>
                <c:pt idx="12">
                  <c:v>393.25562021054878</c:v>
                </c:pt>
                <c:pt idx="13">
                  <c:v>366.0928686859051</c:v>
                </c:pt>
                <c:pt idx="14">
                  <c:v>327.5791717190682</c:v>
                </c:pt>
                <c:pt idx="15">
                  <c:v>301.69358626523979</c:v>
                </c:pt>
                <c:pt idx="16">
                  <c:v>280.30306677250064</c:v>
                </c:pt>
                <c:pt idx="17">
                  <c:v>296.62644642504569</c:v>
                </c:pt>
                <c:pt idx="18">
                  <c:v>312.44845442934485</c:v>
                </c:pt>
                <c:pt idx="19">
                  <c:v>320.22234287878928</c:v>
                </c:pt>
                <c:pt idx="20">
                  <c:v>345.55980028025544</c:v>
                </c:pt>
                <c:pt idx="21">
                  <c:v>346.3637067985274</c:v>
                </c:pt>
                <c:pt idx="22">
                  <c:v>398.02058256644295</c:v>
                </c:pt>
                <c:pt idx="23">
                  <c:v>424.02240513067676</c:v>
                </c:pt>
                <c:pt idx="24">
                  <c:v>421.6724997398095</c:v>
                </c:pt>
                <c:pt idx="25">
                  <c:v>392.24464383621597</c:v>
                </c:pt>
                <c:pt idx="26">
                  <c:v>351.45040772991115</c:v>
                </c:pt>
                <c:pt idx="27">
                  <c:v>320.44718980691852</c:v>
                </c:pt>
                <c:pt idx="28">
                  <c:v>304.98447301827832</c:v>
                </c:pt>
                <c:pt idx="29">
                  <c:v>318.52365409443576</c:v>
                </c:pt>
                <c:pt idx="30">
                  <c:v>330.35561289633989</c:v>
                </c:pt>
                <c:pt idx="31">
                  <c:v>346.08181396259999</c:v>
                </c:pt>
                <c:pt idx="32">
                  <c:v>356.88724908120514</c:v>
                </c:pt>
                <c:pt idx="33">
                  <c:v>394.32368499948041</c:v>
                </c:pt>
                <c:pt idx="34">
                  <c:v>412.32797955016736</c:v>
                </c:pt>
                <c:pt idx="35">
                  <c:v>433.24627681071291</c:v>
                </c:pt>
              </c:numCache>
            </c:numRef>
          </c:yVal>
          <c:smooth val="0"/>
          <c:extLst>
            <c:ext xmlns:c16="http://schemas.microsoft.com/office/drawing/2014/chart" uri="{C3380CC4-5D6E-409C-BE32-E72D297353CC}">
              <c16:uniqueId val="{00000001-5552-4BB5-9347-8F43BE8CAD14}"/>
            </c:ext>
          </c:extLst>
        </c:ser>
        <c:dLbls>
          <c:showLegendKey val="0"/>
          <c:showVal val="0"/>
          <c:showCatName val="0"/>
          <c:showSerName val="0"/>
          <c:showPercent val="0"/>
          <c:showBubbleSize val="0"/>
        </c:dLbls>
        <c:axId val="38462472"/>
        <c:axId val="38464520"/>
      </c:scatterChart>
      <c:valAx>
        <c:axId val="38462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64520"/>
        <c:crosses val="autoZero"/>
        <c:crossBetween val="midCat"/>
      </c:valAx>
      <c:valAx>
        <c:axId val="3846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62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'FOR 17'!$A$90:$A$137</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val>
          <c:smooth val="0"/>
          <c:extLst>
            <c:ext xmlns:c16="http://schemas.microsoft.com/office/drawing/2014/chart" uri="{C3380CC4-5D6E-409C-BE32-E72D297353CC}">
              <c16:uniqueId val="{00000001-CACC-4A71-8C94-4DF919F82832}"/>
            </c:ext>
          </c:extLst>
        </c:ser>
        <c:ser>
          <c:idx val="1"/>
          <c:order val="1"/>
          <c:spPr>
            <a:ln w="28575" cap="rnd">
              <a:solidFill>
                <a:schemeClr val="accent2"/>
              </a:solidFill>
              <a:round/>
            </a:ln>
            <a:effectLst/>
          </c:spPr>
          <c:marker>
            <c:symbol val="none"/>
          </c:marker>
          <c:val>
            <c:numRef>
              <c:f>'FOR 17'!$E$90:$E$137</c:f>
              <c:numCache>
                <c:formatCode>0.00</c:formatCode>
                <c:ptCount val="48"/>
                <c:pt idx="0" formatCode="General">
                  <c:v>349.17</c:v>
                </c:pt>
                <c:pt idx="1">
                  <c:v>339.07</c:v>
                </c:pt>
                <c:pt idx="2" formatCode="General">
                  <c:v>334.74</c:v>
                </c:pt>
                <c:pt idx="3" formatCode="General">
                  <c:v>256.82</c:v>
                </c:pt>
                <c:pt idx="4" formatCode="General">
                  <c:v>265.48</c:v>
                </c:pt>
                <c:pt idx="5" formatCode="General">
                  <c:v>202</c:v>
                </c:pt>
                <c:pt idx="6" formatCode="General">
                  <c:v>339.37</c:v>
                </c:pt>
                <c:pt idx="7" formatCode="General">
                  <c:v>355.76</c:v>
                </c:pt>
                <c:pt idx="8" formatCode="General">
                  <c:v>257.45</c:v>
                </c:pt>
                <c:pt idx="9" formatCode="General">
                  <c:v>304.26</c:v>
                </c:pt>
                <c:pt idx="10" formatCode="General">
                  <c:v>355.76</c:v>
                </c:pt>
                <c:pt idx="11" formatCode="General">
                  <c:v>482.14</c:v>
                </c:pt>
                <c:pt idx="12" formatCode="General">
                  <c:v>379.46</c:v>
                </c:pt>
                <c:pt idx="13" formatCode="General">
                  <c:v>343.39</c:v>
                </c:pt>
                <c:pt idx="14" formatCode="General">
                  <c:v>356.38</c:v>
                </c:pt>
                <c:pt idx="15" formatCode="General">
                  <c:v>278.47000000000003</c:v>
                </c:pt>
                <c:pt idx="16" formatCode="General">
                  <c:v>278.47000000000003</c:v>
                </c:pt>
                <c:pt idx="17" formatCode="General">
                  <c:v>214.98</c:v>
                </c:pt>
                <c:pt idx="18" formatCode="General">
                  <c:v>367.46</c:v>
                </c:pt>
                <c:pt idx="19" formatCode="General">
                  <c:v>376.82</c:v>
                </c:pt>
                <c:pt idx="20" formatCode="General">
                  <c:v>285.54000000000002</c:v>
                </c:pt>
                <c:pt idx="21" formatCode="General">
                  <c:v>304.26</c:v>
                </c:pt>
                <c:pt idx="22" formatCode="General">
                  <c:v>390.86</c:v>
                </c:pt>
                <c:pt idx="23" formatCode="General">
                  <c:v>538.30999999999995</c:v>
                </c:pt>
                <c:pt idx="24" formatCode="General">
                  <c:v>406.88</c:v>
                </c:pt>
                <c:pt idx="25" formatCode="General">
                  <c:v>367.92</c:v>
                </c:pt>
                <c:pt idx="26" formatCode="General">
                  <c:v>382.35</c:v>
                </c:pt>
                <c:pt idx="27" formatCode="General">
                  <c:v>295.77999999999997</c:v>
                </c:pt>
                <c:pt idx="28" formatCode="General">
                  <c:v>302.99</c:v>
                </c:pt>
                <c:pt idx="29" formatCode="General">
                  <c:v>230.85</c:v>
                </c:pt>
                <c:pt idx="30" formatCode="General">
                  <c:v>388.52</c:v>
                </c:pt>
                <c:pt idx="31" formatCode="General">
                  <c:v>407.25</c:v>
                </c:pt>
                <c:pt idx="32" formatCode="General">
                  <c:v>294.89999999999998</c:v>
                </c:pt>
                <c:pt idx="33" formatCode="General">
                  <c:v>346.39</c:v>
                </c:pt>
                <c:pt idx="34" formatCode="General">
                  <c:v>404.91</c:v>
                </c:pt>
                <c:pt idx="35" formatCode="General">
                  <c:v>550.02</c:v>
                </c:pt>
              </c:numCache>
            </c:numRef>
          </c:val>
          <c:smooth val="0"/>
          <c:extLst>
            <c:ext xmlns:c16="http://schemas.microsoft.com/office/drawing/2014/chart" uri="{C3380CC4-5D6E-409C-BE32-E72D297353CC}">
              <c16:uniqueId val="{00000003-CACC-4A71-8C94-4DF919F82832}"/>
            </c:ext>
          </c:extLst>
        </c:ser>
        <c:ser>
          <c:idx val="2"/>
          <c:order val="2"/>
          <c:spPr>
            <a:ln w="28575" cap="rnd">
              <a:solidFill>
                <a:schemeClr val="accent3"/>
              </a:solidFill>
              <a:round/>
            </a:ln>
            <a:effectLst/>
          </c:spPr>
          <c:marker>
            <c:symbol val="none"/>
          </c:marker>
          <c:val>
            <c:numRef>
              <c:f>'FOR 17'!$H$90:$H$137</c:f>
              <c:numCache>
                <c:formatCode>General</c:formatCode>
                <c:ptCount val="48"/>
                <c:pt idx="0">
                  <c:v>307.50659999999999</c:v>
                </c:pt>
                <c:pt idx="1">
                  <c:v>309.52320000000003</c:v>
                </c:pt>
                <c:pt idx="2">
                  <c:v>311.53980000000001</c:v>
                </c:pt>
                <c:pt idx="3">
                  <c:v>313.5564</c:v>
                </c:pt>
                <c:pt idx="4">
                  <c:v>315.57300000000004</c:v>
                </c:pt>
                <c:pt idx="5">
                  <c:v>317.58960000000002</c:v>
                </c:pt>
                <c:pt idx="6">
                  <c:v>319.6062</c:v>
                </c:pt>
                <c:pt idx="7">
                  <c:v>321.62279999999998</c:v>
                </c:pt>
                <c:pt idx="8">
                  <c:v>323.63940000000002</c:v>
                </c:pt>
                <c:pt idx="9">
                  <c:v>325.65600000000001</c:v>
                </c:pt>
                <c:pt idx="10">
                  <c:v>327.67259999999999</c:v>
                </c:pt>
                <c:pt idx="11">
                  <c:v>329.68920000000003</c:v>
                </c:pt>
                <c:pt idx="12">
                  <c:v>331.70580000000001</c:v>
                </c:pt>
                <c:pt idx="13">
                  <c:v>333.72239999999999</c:v>
                </c:pt>
                <c:pt idx="14">
                  <c:v>335.73900000000003</c:v>
                </c:pt>
                <c:pt idx="15">
                  <c:v>337.75560000000002</c:v>
                </c:pt>
                <c:pt idx="16">
                  <c:v>339.7722</c:v>
                </c:pt>
                <c:pt idx="17">
                  <c:v>341.78880000000004</c:v>
                </c:pt>
                <c:pt idx="18">
                  <c:v>343.80540000000002</c:v>
                </c:pt>
                <c:pt idx="19">
                  <c:v>345.822</c:v>
                </c:pt>
                <c:pt idx="20">
                  <c:v>347.83859999999999</c:v>
                </c:pt>
                <c:pt idx="21">
                  <c:v>349.85520000000002</c:v>
                </c:pt>
                <c:pt idx="22">
                  <c:v>351.87180000000001</c:v>
                </c:pt>
                <c:pt idx="23">
                  <c:v>353.88839999999999</c:v>
                </c:pt>
                <c:pt idx="24">
                  <c:v>355.90500000000003</c:v>
                </c:pt>
                <c:pt idx="25">
                  <c:v>357.92160000000001</c:v>
                </c:pt>
                <c:pt idx="26">
                  <c:v>359.93819999999999</c:v>
                </c:pt>
                <c:pt idx="27">
                  <c:v>361.95479999999998</c:v>
                </c:pt>
                <c:pt idx="28">
                  <c:v>363.97140000000002</c:v>
                </c:pt>
                <c:pt idx="29">
                  <c:v>365.988</c:v>
                </c:pt>
                <c:pt idx="30">
                  <c:v>368.00459999999998</c:v>
                </c:pt>
                <c:pt idx="31">
                  <c:v>370.02120000000002</c:v>
                </c:pt>
                <c:pt idx="32">
                  <c:v>372.0378</c:v>
                </c:pt>
                <c:pt idx="33">
                  <c:v>374.05439999999999</c:v>
                </c:pt>
                <c:pt idx="34">
                  <c:v>376.07100000000003</c:v>
                </c:pt>
                <c:pt idx="35">
                  <c:v>378.08760000000001</c:v>
                </c:pt>
                <c:pt idx="36">
                  <c:v>380.10419999999999</c:v>
                </c:pt>
                <c:pt idx="37">
                  <c:v>382.12080000000003</c:v>
                </c:pt>
                <c:pt idx="38">
                  <c:v>384.13740000000001</c:v>
                </c:pt>
                <c:pt idx="39">
                  <c:v>386.154</c:v>
                </c:pt>
                <c:pt idx="40">
                  <c:v>388.17060000000004</c:v>
                </c:pt>
                <c:pt idx="41">
                  <c:v>390.18720000000002</c:v>
                </c:pt>
                <c:pt idx="42">
                  <c:v>392.2038</c:v>
                </c:pt>
                <c:pt idx="43">
                  <c:v>394.22040000000004</c:v>
                </c:pt>
                <c:pt idx="44">
                  <c:v>396.23700000000002</c:v>
                </c:pt>
                <c:pt idx="45">
                  <c:v>398.25360000000001</c:v>
                </c:pt>
                <c:pt idx="46">
                  <c:v>400.27019999999999</c:v>
                </c:pt>
                <c:pt idx="47">
                  <c:v>402.28679999999997</c:v>
                </c:pt>
              </c:numCache>
            </c:numRef>
          </c:val>
          <c:smooth val="0"/>
          <c:extLst>
            <c:ext xmlns:c16="http://schemas.microsoft.com/office/drawing/2014/chart" uri="{C3380CC4-5D6E-409C-BE32-E72D297353CC}">
              <c16:uniqueId val="{00000005-CACC-4A71-8C94-4DF919F82832}"/>
            </c:ext>
          </c:extLst>
        </c:ser>
        <c:dLbls>
          <c:showLegendKey val="0"/>
          <c:showVal val="0"/>
          <c:showCatName val="0"/>
          <c:showSerName val="0"/>
          <c:showPercent val="0"/>
          <c:showBubbleSize val="0"/>
        </c:dLbls>
        <c:smooth val="0"/>
        <c:axId val="130957320"/>
        <c:axId val="130959368"/>
      </c:lineChart>
      <c:catAx>
        <c:axId val="130957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9368"/>
        <c:crosses val="autoZero"/>
        <c:auto val="1"/>
        <c:lblAlgn val="ctr"/>
        <c:lblOffset val="100"/>
        <c:noMultiLvlLbl val="0"/>
      </c:catAx>
      <c:valAx>
        <c:axId val="130959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7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964266985144097E-2"/>
          <c:y val="5.8278145695364242E-2"/>
          <c:w val="0.86248363592517308"/>
          <c:h val="0.70898263544871465"/>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7.5108267716535435E-2"/>
                  <c:y val="-0.313444881889763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'FOR 17'!$A$248:$A$283</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'FOR 17'!$G$248:$G$283</c:f>
              <c:numCache>
                <c:formatCode>General</c:formatCode>
                <c:ptCount val="36"/>
                <c:pt idx="0">
                  <c:v>234.56072777654376</c:v>
                </c:pt>
                <c:pt idx="1">
                  <c:v>297.1801977576971</c:v>
                </c:pt>
                <c:pt idx="2">
                  <c:v>326.08042972482724</c:v>
                </c:pt>
                <c:pt idx="3">
                  <c:v>242.03750971075158</c:v>
                </c:pt>
                <c:pt idx="4">
                  <c:v>323.54537036806698</c:v>
                </c:pt>
                <c:pt idx="5">
                  <c:v>247.0151273027615</c:v>
                </c:pt>
                <c:pt idx="6">
                  <c:v>541.53373861270813</c:v>
                </c:pt>
                <c:pt idx="7">
                  <c:v>336.80047466176279</c:v>
                </c:pt>
                <c:pt idx="8">
                  <c:v>236.17835183239731</c:v>
                </c:pt>
                <c:pt idx="9">
                  <c:v>378.91589999714165</c:v>
                </c:pt>
                <c:pt idx="10">
                  <c:v>396.45768642523188</c:v>
                </c:pt>
                <c:pt idx="11">
                  <c:v>440.43883946972107</c:v>
                </c:pt>
                <c:pt idx="12">
                  <c:v>254.90853670729814</c:v>
                </c:pt>
                <c:pt idx="13">
                  <c:v>300.96649101370105</c:v>
                </c:pt>
                <c:pt idx="14">
                  <c:v>347.1606128497757</c:v>
                </c:pt>
                <c:pt idx="15">
                  <c:v>262.4413415199478</c:v>
                </c:pt>
                <c:pt idx="16">
                  <c:v>339.37652285066906</c:v>
                </c:pt>
                <c:pt idx="17">
                  <c:v>262.88768350271118</c:v>
                </c:pt>
                <c:pt idx="18">
                  <c:v>586.35703683479903</c:v>
                </c:pt>
                <c:pt idx="19">
                  <c:v>356.73812362841653</c:v>
                </c:pt>
                <c:pt idx="20">
                  <c:v>261.94743283054083</c:v>
                </c:pt>
                <c:pt idx="21">
                  <c:v>378.91589999714165</c:v>
                </c:pt>
                <c:pt idx="22">
                  <c:v>435.57300235036581</c:v>
                </c:pt>
                <c:pt idx="23">
                  <c:v>491.75059458859573</c:v>
                </c:pt>
                <c:pt idx="24">
                  <c:v>273.32837562711609</c:v>
                </c:pt>
                <c:pt idx="25">
                  <c:v>322.46597563633446</c:v>
                </c:pt>
                <c:pt idx="26">
                  <c:v>372.45878086063124</c:v>
                </c:pt>
                <c:pt idx="27">
                  <c:v>278.75498256462151</c:v>
                </c:pt>
                <c:pt idx="28">
                  <c:v>369.25949889942979</c:v>
                </c:pt>
                <c:pt idx="29">
                  <c:v>282.29426800912125</c:v>
                </c:pt>
                <c:pt idx="30">
                  <c:v>619.9625427286129</c:v>
                </c:pt>
                <c:pt idx="31">
                  <c:v>385.54641698336769</c:v>
                </c:pt>
                <c:pt idx="32">
                  <c:v>270.53406857787519</c:v>
                </c:pt>
                <c:pt idx="33">
                  <c:v>431.38328600542263</c:v>
                </c:pt>
                <c:pt idx="34">
                  <c:v>451.23027268507042</c:v>
                </c:pt>
                <c:pt idx="35">
                  <c:v>502.44777551154436</c:v>
                </c:pt>
              </c:numCache>
            </c:numRef>
          </c:yVal>
          <c:smooth val="0"/>
          <c:extLst>
            <c:ext xmlns:c16="http://schemas.microsoft.com/office/drawing/2014/chart" uri="{C3380CC4-5D6E-409C-BE32-E72D297353CC}">
              <c16:uniqueId val="{00000001-58B8-49E7-8CCD-8C41226B4A9A}"/>
            </c:ext>
          </c:extLst>
        </c:ser>
        <c:dLbls>
          <c:showLegendKey val="0"/>
          <c:showVal val="0"/>
          <c:showCatName val="0"/>
          <c:showSerName val="0"/>
          <c:showPercent val="0"/>
          <c:showBubbleSize val="0"/>
        </c:dLbls>
        <c:axId val="460743687"/>
        <c:axId val="460745735"/>
      </c:scatterChart>
      <c:valAx>
        <c:axId val="460743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45735"/>
        <c:crosses val="autoZero"/>
        <c:crossBetween val="midCat"/>
      </c:valAx>
      <c:valAx>
        <c:axId val="460745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436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'FOR 17'!$A$248:$A$295</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val>
          <c:smooth val="0"/>
          <c:extLst>
            <c:ext xmlns:c16="http://schemas.microsoft.com/office/drawing/2014/chart" uri="{C3380CC4-5D6E-409C-BE32-E72D297353CC}">
              <c16:uniqueId val="{00000001-E369-4A06-8C9A-68B35D09045A}"/>
            </c:ext>
          </c:extLst>
        </c:ser>
        <c:ser>
          <c:idx val="1"/>
          <c:order val="1"/>
          <c:spPr>
            <a:ln w="28575" cap="rnd">
              <a:solidFill>
                <a:schemeClr val="accent2"/>
              </a:solidFill>
              <a:round/>
            </a:ln>
            <a:effectLst/>
          </c:spPr>
          <c:marker>
            <c:symbol val="none"/>
          </c:marker>
          <c:val>
            <c:numRef>
              <c:f>'FOR 17'!$E$248:$E$295</c:f>
              <c:numCache>
                <c:formatCode>0.00</c:formatCode>
                <c:ptCount val="48"/>
                <c:pt idx="0" formatCode="General">
                  <c:v>349.17</c:v>
                </c:pt>
                <c:pt idx="1">
                  <c:v>339.07</c:v>
                </c:pt>
                <c:pt idx="2" formatCode="General">
                  <c:v>334.74</c:v>
                </c:pt>
                <c:pt idx="3" formatCode="General">
                  <c:v>256.82</c:v>
                </c:pt>
                <c:pt idx="4" formatCode="General">
                  <c:v>265.48</c:v>
                </c:pt>
                <c:pt idx="5" formatCode="General">
                  <c:v>202</c:v>
                </c:pt>
                <c:pt idx="6" formatCode="General">
                  <c:v>339.37</c:v>
                </c:pt>
                <c:pt idx="7" formatCode="General">
                  <c:v>355.76</c:v>
                </c:pt>
                <c:pt idx="8" formatCode="General">
                  <c:v>257.45</c:v>
                </c:pt>
                <c:pt idx="9" formatCode="General">
                  <c:v>304.26</c:v>
                </c:pt>
                <c:pt idx="10" formatCode="General">
                  <c:v>355.76</c:v>
                </c:pt>
                <c:pt idx="11" formatCode="General">
                  <c:v>482.14</c:v>
                </c:pt>
                <c:pt idx="12" formatCode="General">
                  <c:v>379.46</c:v>
                </c:pt>
                <c:pt idx="13" formatCode="General">
                  <c:v>343.39</c:v>
                </c:pt>
                <c:pt idx="14" formatCode="General">
                  <c:v>356.38</c:v>
                </c:pt>
                <c:pt idx="15" formatCode="General">
                  <c:v>278.47000000000003</c:v>
                </c:pt>
                <c:pt idx="16" formatCode="General">
                  <c:v>278.47000000000003</c:v>
                </c:pt>
                <c:pt idx="17" formatCode="General">
                  <c:v>214.98</c:v>
                </c:pt>
                <c:pt idx="18" formatCode="General">
                  <c:v>367.46</c:v>
                </c:pt>
                <c:pt idx="19" formatCode="General">
                  <c:v>376.82</c:v>
                </c:pt>
                <c:pt idx="20" formatCode="General">
                  <c:v>285.54000000000002</c:v>
                </c:pt>
                <c:pt idx="21" formatCode="General">
                  <c:v>304.26</c:v>
                </c:pt>
                <c:pt idx="22" formatCode="General">
                  <c:v>390.86</c:v>
                </c:pt>
                <c:pt idx="23" formatCode="General">
                  <c:v>538.30999999999995</c:v>
                </c:pt>
                <c:pt idx="24" formatCode="General">
                  <c:v>406.88</c:v>
                </c:pt>
                <c:pt idx="25" formatCode="General">
                  <c:v>367.92</c:v>
                </c:pt>
                <c:pt idx="26" formatCode="General">
                  <c:v>382.35</c:v>
                </c:pt>
                <c:pt idx="27" formatCode="General">
                  <c:v>295.77999999999997</c:v>
                </c:pt>
                <c:pt idx="28" formatCode="General">
                  <c:v>302.99</c:v>
                </c:pt>
                <c:pt idx="29" formatCode="General">
                  <c:v>230.85</c:v>
                </c:pt>
                <c:pt idx="30" formatCode="General">
                  <c:v>388.52</c:v>
                </c:pt>
                <c:pt idx="31" formatCode="General">
                  <c:v>407.25</c:v>
                </c:pt>
                <c:pt idx="32" formatCode="General">
                  <c:v>294.89999999999998</c:v>
                </c:pt>
                <c:pt idx="33" formatCode="General">
                  <c:v>346.39</c:v>
                </c:pt>
                <c:pt idx="34" formatCode="General">
                  <c:v>404.91</c:v>
                </c:pt>
                <c:pt idx="35" formatCode="General">
                  <c:v>550.02</c:v>
                </c:pt>
              </c:numCache>
            </c:numRef>
          </c:val>
          <c:smooth val="0"/>
          <c:extLst>
            <c:ext xmlns:c16="http://schemas.microsoft.com/office/drawing/2014/chart" uri="{C3380CC4-5D6E-409C-BE32-E72D297353CC}">
              <c16:uniqueId val="{00000003-E369-4A06-8C9A-68B35D09045A}"/>
            </c:ext>
          </c:extLst>
        </c:ser>
        <c:ser>
          <c:idx val="2"/>
          <c:order val="2"/>
          <c:spPr>
            <a:ln w="28575" cap="rnd">
              <a:solidFill>
                <a:schemeClr val="accent3"/>
              </a:solidFill>
              <a:round/>
            </a:ln>
            <a:effectLst/>
          </c:spPr>
          <c:marker>
            <c:symbol val="none"/>
          </c:marker>
          <c:val>
            <c:numRef>
              <c:f>'FOR 17'!$G$248:$G$295</c:f>
              <c:numCache>
                <c:formatCode>General</c:formatCode>
                <c:ptCount val="48"/>
                <c:pt idx="0">
                  <c:v>234.56072777654376</c:v>
                </c:pt>
                <c:pt idx="1">
                  <c:v>297.1801977576971</c:v>
                </c:pt>
                <c:pt idx="2">
                  <c:v>326.08042972482724</c:v>
                </c:pt>
                <c:pt idx="3">
                  <c:v>242.03750971075158</c:v>
                </c:pt>
                <c:pt idx="4">
                  <c:v>323.54537036806698</c:v>
                </c:pt>
                <c:pt idx="5">
                  <c:v>247.0151273027615</c:v>
                </c:pt>
                <c:pt idx="6">
                  <c:v>541.53373861270813</c:v>
                </c:pt>
                <c:pt idx="7">
                  <c:v>336.80047466176279</c:v>
                </c:pt>
                <c:pt idx="8">
                  <c:v>236.17835183239731</c:v>
                </c:pt>
                <c:pt idx="9">
                  <c:v>378.91589999714165</c:v>
                </c:pt>
                <c:pt idx="10">
                  <c:v>396.45768642523188</c:v>
                </c:pt>
                <c:pt idx="11">
                  <c:v>440.43883946972107</c:v>
                </c:pt>
                <c:pt idx="12">
                  <c:v>254.90853670729814</c:v>
                </c:pt>
                <c:pt idx="13">
                  <c:v>300.96649101370105</c:v>
                </c:pt>
                <c:pt idx="14">
                  <c:v>347.1606128497757</c:v>
                </c:pt>
                <c:pt idx="15">
                  <c:v>262.4413415199478</c:v>
                </c:pt>
                <c:pt idx="16">
                  <c:v>339.37652285066906</c:v>
                </c:pt>
                <c:pt idx="17">
                  <c:v>262.88768350271118</c:v>
                </c:pt>
                <c:pt idx="18">
                  <c:v>586.35703683479903</c:v>
                </c:pt>
                <c:pt idx="19">
                  <c:v>356.73812362841653</c:v>
                </c:pt>
                <c:pt idx="20">
                  <c:v>261.94743283054083</c:v>
                </c:pt>
                <c:pt idx="21">
                  <c:v>378.91589999714165</c:v>
                </c:pt>
                <c:pt idx="22">
                  <c:v>435.57300235036581</c:v>
                </c:pt>
                <c:pt idx="23">
                  <c:v>491.75059458859573</c:v>
                </c:pt>
                <c:pt idx="24">
                  <c:v>273.32837562711609</c:v>
                </c:pt>
                <c:pt idx="25">
                  <c:v>322.46597563633446</c:v>
                </c:pt>
                <c:pt idx="26">
                  <c:v>372.45878086063124</c:v>
                </c:pt>
                <c:pt idx="27">
                  <c:v>278.75498256462151</c:v>
                </c:pt>
                <c:pt idx="28">
                  <c:v>369.25949889942979</c:v>
                </c:pt>
                <c:pt idx="29">
                  <c:v>282.29426800912125</c:v>
                </c:pt>
                <c:pt idx="30">
                  <c:v>619.9625427286129</c:v>
                </c:pt>
                <c:pt idx="31">
                  <c:v>385.54641698336769</c:v>
                </c:pt>
                <c:pt idx="32">
                  <c:v>270.53406857787519</c:v>
                </c:pt>
                <c:pt idx="33">
                  <c:v>431.38328600542263</c:v>
                </c:pt>
                <c:pt idx="34">
                  <c:v>451.23027268507042</c:v>
                </c:pt>
                <c:pt idx="35">
                  <c:v>502.44777551154436</c:v>
                </c:pt>
              </c:numCache>
            </c:numRef>
          </c:val>
          <c:smooth val="0"/>
          <c:extLst>
            <c:ext xmlns:c16="http://schemas.microsoft.com/office/drawing/2014/chart" uri="{C3380CC4-5D6E-409C-BE32-E72D297353CC}">
              <c16:uniqueId val="{00000005-E369-4A06-8C9A-68B35D09045A}"/>
            </c:ext>
          </c:extLst>
        </c:ser>
        <c:ser>
          <c:idx val="3"/>
          <c:order val="3"/>
          <c:spPr>
            <a:ln w="28575" cap="rnd">
              <a:solidFill>
                <a:schemeClr val="accent4"/>
              </a:solidFill>
              <a:round/>
            </a:ln>
            <a:effectLst/>
          </c:spPr>
          <c:marker>
            <c:symbol val="none"/>
          </c:marker>
          <c:val>
            <c:numRef>
              <c:f>'FOR 17'!$H$248:$H$295</c:f>
              <c:numCache>
                <c:formatCode>General</c:formatCode>
                <c:ptCount val="48"/>
                <c:pt idx="0">
                  <c:v>297.87860000000001</c:v>
                </c:pt>
                <c:pt idx="1">
                  <c:v>301.23719999999997</c:v>
                </c:pt>
                <c:pt idx="2">
                  <c:v>304.5958</c:v>
                </c:pt>
                <c:pt idx="3">
                  <c:v>307.95439999999996</c:v>
                </c:pt>
                <c:pt idx="4">
                  <c:v>311.31299999999999</c:v>
                </c:pt>
                <c:pt idx="5">
                  <c:v>314.67160000000001</c:v>
                </c:pt>
                <c:pt idx="6">
                  <c:v>318.03019999999998</c:v>
                </c:pt>
                <c:pt idx="7">
                  <c:v>321.3888</c:v>
                </c:pt>
                <c:pt idx="8">
                  <c:v>324.74739999999997</c:v>
                </c:pt>
                <c:pt idx="9">
                  <c:v>328.10599999999999</c:v>
                </c:pt>
                <c:pt idx="10">
                  <c:v>331.46459999999996</c:v>
                </c:pt>
                <c:pt idx="11">
                  <c:v>334.82319999999999</c:v>
                </c:pt>
                <c:pt idx="12">
                  <c:v>338.18179999999995</c:v>
                </c:pt>
                <c:pt idx="13">
                  <c:v>341.54039999999998</c:v>
                </c:pt>
                <c:pt idx="14">
                  <c:v>344.899</c:v>
                </c:pt>
                <c:pt idx="15">
                  <c:v>348.25759999999997</c:v>
                </c:pt>
                <c:pt idx="16">
                  <c:v>351.61619999999999</c:v>
                </c:pt>
                <c:pt idx="17">
                  <c:v>354.97479999999996</c:v>
                </c:pt>
                <c:pt idx="18">
                  <c:v>358.33339999999998</c:v>
                </c:pt>
                <c:pt idx="19">
                  <c:v>361.69200000000001</c:v>
                </c:pt>
                <c:pt idx="20">
                  <c:v>365.05059999999997</c:v>
                </c:pt>
                <c:pt idx="21">
                  <c:v>368.4092</c:v>
                </c:pt>
                <c:pt idx="22">
                  <c:v>371.76779999999997</c:v>
                </c:pt>
                <c:pt idx="23">
                  <c:v>375.12639999999999</c:v>
                </c:pt>
                <c:pt idx="24">
                  <c:v>378.48500000000001</c:v>
                </c:pt>
                <c:pt idx="25">
                  <c:v>381.84359999999998</c:v>
                </c:pt>
                <c:pt idx="26">
                  <c:v>385.20219999999995</c:v>
                </c:pt>
                <c:pt idx="27">
                  <c:v>388.56079999999997</c:v>
                </c:pt>
                <c:pt idx="28">
                  <c:v>391.9194</c:v>
                </c:pt>
                <c:pt idx="29">
                  <c:v>395.27799999999996</c:v>
                </c:pt>
                <c:pt idx="30">
                  <c:v>398.63659999999999</c:v>
                </c:pt>
                <c:pt idx="31">
                  <c:v>401.99519999999995</c:v>
                </c:pt>
                <c:pt idx="32">
                  <c:v>405.35379999999998</c:v>
                </c:pt>
                <c:pt idx="33">
                  <c:v>408.7124</c:v>
                </c:pt>
                <c:pt idx="34">
                  <c:v>412.07099999999997</c:v>
                </c:pt>
                <c:pt idx="35">
                  <c:v>415.42959999999999</c:v>
                </c:pt>
                <c:pt idx="36">
                  <c:v>418.78819999999996</c:v>
                </c:pt>
                <c:pt idx="37">
                  <c:v>422.14679999999998</c:v>
                </c:pt>
                <c:pt idx="38">
                  <c:v>425.50540000000001</c:v>
                </c:pt>
                <c:pt idx="39">
                  <c:v>428.86399999999998</c:v>
                </c:pt>
                <c:pt idx="40">
                  <c:v>432.22259999999994</c:v>
                </c:pt>
                <c:pt idx="41">
                  <c:v>435.58119999999997</c:v>
                </c:pt>
                <c:pt idx="42">
                  <c:v>438.93979999999999</c:v>
                </c:pt>
                <c:pt idx="43">
                  <c:v>442.29840000000002</c:v>
                </c:pt>
                <c:pt idx="44">
                  <c:v>445.65699999999998</c:v>
                </c:pt>
                <c:pt idx="45">
                  <c:v>449.01559999999995</c:v>
                </c:pt>
                <c:pt idx="46">
                  <c:v>452.37419999999997</c:v>
                </c:pt>
                <c:pt idx="47">
                  <c:v>455.7328</c:v>
                </c:pt>
              </c:numCache>
            </c:numRef>
          </c:val>
          <c:smooth val="0"/>
          <c:extLst>
            <c:ext xmlns:c16="http://schemas.microsoft.com/office/drawing/2014/chart" uri="{C3380CC4-5D6E-409C-BE32-E72D297353CC}">
              <c16:uniqueId val="{00000007-E369-4A06-8C9A-68B35D09045A}"/>
            </c:ext>
          </c:extLst>
        </c:ser>
        <c:dLbls>
          <c:showLegendKey val="0"/>
          <c:showVal val="0"/>
          <c:showCatName val="0"/>
          <c:showSerName val="0"/>
          <c:showPercent val="0"/>
          <c:showBubbleSize val="0"/>
        </c:dLbls>
        <c:smooth val="0"/>
        <c:axId val="32001544"/>
        <c:axId val="301487624"/>
      </c:lineChart>
      <c:catAx>
        <c:axId val="320015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87624"/>
        <c:crosses val="autoZero"/>
        <c:auto val="1"/>
        <c:lblAlgn val="ctr"/>
        <c:lblOffset val="100"/>
        <c:noMultiLvlLbl val="0"/>
      </c:catAx>
      <c:valAx>
        <c:axId val="301487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 18'!$E$221</c:f>
              <c:strCache>
                <c:ptCount val="1"/>
                <c:pt idx="0">
                  <c:v>Ventas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 18'!$E$222:$E$269</c:f>
              <c:numCache>
                <c:formatCode>General</c:formatCode>
                <c:ptCount val="48"/>
                <c:pt idx="0">
                  <c:v>242.65</c:v>
                </c:pt>
                <c:pt idx="1">
                  <c:v>178.63</c:v>
                </c:pt>
                <c:pt idx="2">
                  <c:v>152.82</c:v>
                </c:pt>
                <c:pt idx="3">
                  <c:v>130.1</c:v>
                </c:pt>
                <c:pt idx="4">
                  <c:v>179.67</c:v>
                </c:pt>
                <c:pt idx="5">
                  <c:v>171.41</c:v>
                </c:pt>
                <c:pt idx="6">
                  <c:v>177.58</c:v>
                </c:pt>
                <c:pt idx="7">
                  <c:v>209.77</c:v>
                </c:pt>
                <c:pt idx="8">
                  <c:v>204.77</c:v>
                </c:pt>
                <c:pt idx="9">
                  <c:v>264.7</c:v>
                </c:pt>
                <c:pt idx="10">
                  <c:v>254.72</c:v>
                </c:pt>
                <c:pt idx="11">
                  <c:v>281.69</c:v>
                </c:pt>
                <c:pt idx="12">
                  <c:v>237.49</c:v>
                </c:pt>
                <c:pt idx="13">
                  <c:v>172.44</c:v>
                </c:pt>
                <c:pt idx="14">
                  <c:v>134.22999999999999</c:v>
                </c:pt>
                <c:pt idx="15">
                  <c:v>125.97</c:v>
                </c:pt>
                <c:pt idx="16">
                  <c:v>166.24</c:v>
                </c:pt>
                <c:pt idx="17">
                  <c:v>162.11000000000001</c:v>
                </c:pt>
                <c:pt idx="18">
                  <c:v>148.83000000000001</c:v>
                </c:pt>
                <c:pt idx="19">
                  <c:v>192.78</c:v>
                </c:pt>
                <c:pt idx="20">
                  <c:v>192.78</c:v>
                </c:pt>
                <c:pt idx="21">
                  <c:v>246.72</c:v>
                </c:pt>
                <c:pt idx="22">
                  <c:v>237.73</c:v>
                </c:pt>
                <c:pt idx="23">
                  <c:v>262.70999999999998</c:v>
                </c:pt>
                <c:pt idx="24">
                  <c:v>212.71</c:v>
                </c:pt>
                <c:pt idx="25">
                  <c:v>156.94999999999999</c:v>
                </c:pt>
                <c:pt idx="26">
                  <c:v>134.22999999999999</c:v>
                </c:pt>
                <c:pt idx="27">
                  <c:v>2514</c:v>
                </c:pt>
                <c:pt idx="28">
                  <c:v>156.94999999999999</c:v>
                </c:pt>
                <c:pt idx="29">
                  <c:v>149.72</c:v>
                </c:pt>
                <c:pt idx="30">
                  <c:v>139.84</c:v>
                </c:pt>
                <c:pt idx="31">
                  <c:v>183.79</c:v>
                </c:pt>
                <c:pt idx="32">
                  <c:v>177.8</c:v>
                </c:pt>
                <c:pt idx="33">
                  <c:v>231.74</c:v>
                </c:pt>
                <c:pt idx="34">
                  <c:v>234.74</c:v>
                </c:pt>
                <c:pt idx="35">
                  <c:v>241.73</c:v>
                </c:pt>
              </c:numCache>
            </c:numRef>
          </c:val>
          <c:smooth val="0"/>
          <c:extLst>
            <c:ext xmlns:c16="http://schemas.microsoft.com/office/drawing/2014/chart" uri="{C3380CC4-5D6E-409C-BE32-E72D297353CC}">
              <c16:uniqueId val="{00000001-0B8F-4B86-B0FD-7BB36E7BE117}"/>
            </c:ext>
          </c:extLst>
        </c:ser>
        <c:ser>
          <c:idx val="1"/>
          <c:order val="1"/>
          <c:tx>
            <c:strRef>
              <c:f>'FOR 18'!$F$221</c:f>
              <c:strCache>
                <c:ptCount val="1"/>
                <c:pt idx="0">
                  <c:v>Ventas desestacionalizadas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'FOR 18'!$F$222:$F$269</c:f>
              <c:numCache>
                <c:formatCode>General</c:formatCode>
                <c:ptCount val="48"/>
                <c:pt idx="0">
                  <c:v>212.73996571508548</c:v>
                </c:pt>
                <c:pt idx="1">
                  <c:v>115.1240953030261</c:v>
                </c:pt>
                <c:pt idx="2">
                  <c:v>79.467279758180936</c:v>
                </c:pt>
                <c:pt idx="3">
                  <c:v>472.11718967122459</c:v>
                </c:pt>
                <c:pt idx="4">
                  <c:v>114.79528378798105</c:v>
                </c:pt>
                <c:pt idx="5">
                  <c:v>106.70187698929323</c:v>
                </c:pt>
                <c:pt idx="6">
                  <c:v>147.28593757284699</c:v>
                </c:pt>
                <c:pt idx="7">
                  <c:v>154.84246371883907</c:v>
                </c:pt>
                <c:pt idx="8">
                  <c:v>209.37320618401091</c:v>
                </c:pt>
                <c:pt idx="9">
                  <c:v>288.08250759597331</c:v>
                </c:pt>
                <c:pt idx="10">
                  <c:v>240.27409225927147</c:v>
                </c:pt>
                <c:pt idx="11">
                  <c:v>294.94231177780483</c:v>
                </c:pt>
                <c:pt idx="12">
                  <c:v>208.21600848001503</c:v>
                </c:pt>
                <c:pt idx="13">
                  <c:v>111.13474217126921</c:v>
                </c:pt>
                <c:pt idx="14">
                  <c:v>69.800372738781746</c:v>
                </c:pt>
                <c:pt idx="15">
                  <c:v>457.12991839265305</c:v>
                </c:pt>
                <c:pt idx="16">
                  <c:v>106.21454876670548</c:v>
                </c:pt>
                <c:pt idx="17">
                  <c:v>100.91267299885845</c:v>
                </c:pt>
                <c:pt idx="18">
                  <c:v>123.44051181983792</c:v>
                </c:pt>
                <c:pt idx="19">
                  <c:v>142.30123542793439</c:v>
                </c:pt>
                <c:pt idx="20">
                  <c:v>197.113672355099</c:v>
                </c:pt>
                <c:pt idx="21">
                  <c:v>268.51422846270697</c:v>
                </c:pt>
                <c:pt idx="22">
                  <c:v>224.24764428704697</c:v>
                </c:pt>
                <c:pt idx="23">
                  <c:v>275.06938381606415</c:v>
                </c:pt>
                <c:pt idx="24">
                  <c:v>186.49049292089771</c:v>
                </c:pt>
                <c:pt idx="25">
                  <c:v>101.15169208873058</c:v>
                </c:pt>
                <c:pt idx="26">
                  <c:v>69.800372738781746</c:v>
                </c:pt>
                <c:pt idx="27">
                  <c:v>9123.0024199343479</c:v>
                </c:pt>
                <c:pt idx="28">
                  <c:v>100.27895469763247</c:v>
                </c:pt>
                <c:pt idx="29">
                  <c:v>93.199959295472738</c:v>
                </c:pt>
                <c:pt idx="30">
                  <c:v>115.98415086263613</c:v>
                </c:pt>
                <c:pt idx="31">
                  <c:v>135.66523529048686</c:v>
                </c:pt>
                <c:pt idx="32">
                  <c:v>181.7969236681015</c:v>
                </c:pt>
                <c:pt idx="33">
                  <c:v>252.21095697125372</c:v>
                </c:pt>
                <c:pt idx="34">
                  <c:v>221.42721583284148</c:v>
                </c:pt>
                <c:pt idx="35">
                  <c:v>253.10236439365531</c:v>
                </c:pt>
              </c:numCache>
            </c:numRef>
          </c:val>
          <c:smooth val="0"/>
          <c:extLst>
            <c:ext xmlns:c16="http://schemas.microsoft.com/office/drawing/2014/chart" uri="{C3380CC4-5D6E-409C-BE32-E72D297353CC}">
              <c16:uniqueId val="{00000003-0B8F-4B86-B0FD-7BB36E7BE117}"/>
            </c:ext>
          </c:extLst>
        </c:ser>
        <c:ser>
          <c:idx val="2"/>
          <c:order val="2"/>
          <c:tx>
            <c:strRef>
              <c:f>'FOR 18'!$G$221</c:f>
              <c:strCache>
                <c:ptCount val="1"/>
                <c:pt idx="0">
                  <c:v>Proy tendencia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'FOR 18'!$G$222:$G$269</c:f>
              <c:numCache>
                <c:formatCode>General</c:formatCode>
                <c:ptCount val="48"/>
                <c:pt idx="0">
                  <c:v>156.91954954954952</c:v>
                </c:pt>
                <c:pt idx="1">
                  <c:v>162.65548005148</c:v>
                </c:pt>
                <c:pt idx="2">
                  <c:v>168.39141055341051</c:v>
                </c:pt>
                <c:pt idx="3">
                  <c:v>174.12734105534102</c:v>
                </c:pt>
                <c:pt idx="4">
                  <c:v>179.8632715572715</c:v>
                </c:pt>
                <c:pt idx="5">
                  <c:v>185.59920205920201</c:v>
                </c:pt>
                <c:pt idx="6">
                  <c:v>191.33513256113253</c:v>
                </c:pt>
                <c:pt idx="7">
                  <c:v>197.07106306306304</c:v>
                </c:pt>
                <c:pt idx="8">
                  <c:v>202.80699356499352</c:v>
                </c:pt>
                <c:pt idx="9">
                  <c:v>208.54292406692403</c:v>
                </c:pt>
                <c:pt idx="10">
                  <c:v>214.27885456885451</c:v>
                </c:pt>
                <c:pt idx="11">
                  <c:v>220.01478507078502</c:v>
                </c:pt>
                <c:pt idx="12">
                  <c:v>225.75071557271554</c:v>
                </c:pt>
                <c:pt idx="13">
                  <c:v>231.48664607464605</c:v>
                </c:pt>
                <c:pt idx="14">
                  <c:v>237.22257657657656</c:v>
                </c:pt>
                <c:pt idx="15">
                  <c:v>242.95850707850704</c:v>
                </c:pt>
                <c:pt idx="16">
                  <c:v>248.69443758043752</c:v>
                </c:pt>
                <c:pt idx="17">
                  <c:v>254.43036808236803</c:v>
                </c:pt>
                <c:pt idx="18">
                  <c:v>260.16629858429854</c:v>
                </c:pt>
                <c:pt idx="19">
                  <c:v>265.90222908622906</c:v>
                </c:pt>
                <c:pt idx="20">
                  <c:v>271.63815958815957</c:v>
                </c:pt>
                <c:pt idx="21">
                  <c:v>277.37409009009002</c:v>
                </c:pt>
                <c:pt idx="22">
                  <c:v>283.11002059202053</c:v>
                </c:pt>
                <c:pt idx="23">
                  <c:v>288.84595109395104</c:v>
                </c:pt>
                <c:pt idx="24">
                  <c:v>294.58188159588155</c:v>
                </c:pt>
                <c:pt idx="25">
                  <c:v>300.31781209781207</c:v>
                </c:pt>
                <c:pt idx="26">
                  <c:v>306.05374259974258</c:v>
                </c:pt>
                <c:pt idx="27">
                  <c:v>311.78967310167309</c:v>
                </c:pt>
                <c:pt idx="28">
                  <c:v>317.5256036036036</c:v>
                </c:pt>
                <c:pt idx="29">
                  <c:v>323.26153410553411</c:v>
                </c:pt>
                <c:pt idx="30">
                  <c:v>328.99746460746456</c:v>
                </c:pt>
                <c:pt idx="31">
                  <c:v>334.73339510939508</c:v>
                </c:pt>
                <c:pt idx="32">
                  <c:v>340.46932561132559</c:v>
                </c:pt>
                <c:pt idx="33">
                  <c:v>346.20525611325604</c:v>
                </c:pt>
                <c:pt idx="34">
                  <c:v>351.94118661518655</c:v>
                </c:pt>
                <c:pt idx="35">
                  <c:v>357.67711711711706</c:v>
                </c:pt>
                <c:pt idx="36">
                  <c:v>363.41304761904757</c:v>
                </c:pt>
                <c:pt idx="37">
                  <c:v>369.14897812097809</c:v>
                </c:pt>
                <c:pt idx="38">
                  <c:v>374.8849086229086</c:v>
                </c:pt>
                <c:pt idx="39">
                  <c:v>380.62083912483911</c:v>
                </c:pt>
                <c:pt idx="40">
                  <c:v>386.35676962676962</c:v>
                </c:pt>
                <c:pt idx="41">
                  <c:v>392.09270012870013</c:v>
                </c:pt>
                <c:pt idx="42">
                  <c:v>397.82863063063064</c:v>
                </c:pt>
                <c:pt idx="43">
                  <c:v>403.5645611325611</c:v>
                </c:pt>
                <c:pt idx="44">
                  <c:v>409.30049163449161</c:v>
                </c:pt>
                <c:pt idx="45">
                  <c:v>415.03642213642212</c:v>
                </c:pt>
                <c:pt idx="46">
                  <c:v>420.77235263835263</c:v>
                </c:pt>
                <c:pt idx="47">
                  <c:v>426.50828314028308</c:v>
                </c:pt>
              </c:numCache>
            </c:numRef>
          </c:val>
          <c:smooth val="0"/>
          <c:extLst>
            <c:ext xmlns:c16="http://schemas.microsoft.com/office/drawing/2014/chart" uri="{C3380CC4-5D6E-409C-BE32-E72D297353CC}">
              <c16:uniqueId val="{00000005-0B8F-4B86-B0FD-7BB36E7BE117}"/>
            </c:ext>
          </c:extLst>
        </c:ser>
        <c:ser>
          <c:idx val="3"/>
          <c:order val="3"/>
          <c:tx>
            <c:strRef>
              <c:f>'FOR 18'!$H$221</c:f>
              <c:strCache>
                <c:ptCount val="1"/>
                <c:pt idx="0">
                  <c:v>Proy tendencia c/estacionalidad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'FOR 18'!$H$222:$H$269</c:f>
              <c:numCache>
                <c:formatCode>General</c:formatCode>
                <c:ptCount val="48"/>
                <c:pt idx="0">
                  <c:v>137.57700223036397</c:v>
                </c:pt>
                <c:pt idx="1">
                  <c:v>104.82878008736519</c:v>
                </c:pt>
                <c:pt idx="2">
                  <c:v>87.564502887858751</c:v>
                </c:pt>
                <c:pt idx="3">
                  <c:v>631.88709380453849</c:v>
                </c:pt>
                <c:pt idx="4">
                  <c:v>114.9187694186658</c:v>
                </c:pt>
                <c:pt idx="5">
                  <c:v>115.53458507340267</c:v>
                </c:pt>
                <c:pt idx="6">
                  <c:v>158.69452860621337</c:v>
                </c:pt>
                <c:pt idx="7">
                  <c:v>145.4686987289669</c:v>
                </c:pt>
                <c:pt idx="8">
                  <c:v>207.36607158882043</c:v>
                </c:pt>
                <c:pt idx="9">
                  <c:v>226.96474690818332</c:v>
                </c:pt>
                <c:pt idx="10">
                  <c:v>202.12648112393202</c:v>
                </c:pt>
                <c:pt idx="11">
                  <c:v>230.36554131873405</c:v>
                </c:pt>
                <c:pt idx="12">
                  <c:v>197.92375640261903</c:v>
                </c:pt>
                <c:pt idx="13">
                  <c:v>149.18933384132242</c:v>
                </c:pt>
                <c:pt idx="14">
                  <c:v>123.3571054689655</c:v>
                </c:pt>
                <c:pt idx="15">
                  <c:v>881.66708354051559</c:v>
                </c:pt>
                <c:pt idx="16">
                  <c:v>158.89658005531624</c:v>
                </c:pt>
                <c:pt idx="17">
                  <c:v>158.38164539679968</c:v>
                </c:pt>
                <c:pt idx="18">
                  <c:v>215.78351848094192</c:v>
                </c:pt>
                <c:pt idx="19">
                  <c:v>196.27666615837754</c:v>
                </c:pt>
                <c:pt idx="20">
                  <c:v>277.74455435316207</c:v>
                </c:pt>
                <c:pt idx="21">
                  <c:v>301.87617459503036</c:v>
                </c:pt>
                <c:pt idx="22">
                  <c:v>267.05403269178464</c:v>
                </c:pt>
                <c:pt idx="23">
                  <c:v>302.4349198172057</c:v>
                </c:pt>
                <c:pt idx="24">
                  <c:v>258.27051057487409</c:v>
                </c:pt>
                <c:pt idx="25">
                  <c:v>193.54988759527961</c:v>
                </c:pt>
                <c:pt idx="26">
                  <c:v>159.14970805007223</c:v>
                </c:pt>
                <c:pt idx="27">
                  <c:v>1131.4470732764928</c:v>
                </c:pt>
                <c:pt idx="28">
                  <c:v>202.87439069196671</c:v>
                </c:pt>
                <c:pt idx="29">
                  <c:v>201.2287057201967</c:v>
                </c:pt>
                <c:pt idx="30">
                  <c:v>272.87250835567045</c:v>
                </c:pt>
                <c:pt idx="31">
                  <c:v>247.0846335877882</c:v>
                </c:pt>
                <c:pt idx="32">
                  <c:v>348.12303711750366</c:v>
                </c:pt>
                <c:pt idx="33">
                  <c:v>376.78760228187747</c:v>
                </c:pt>
                <c:pt idx="34">
                  <c:v>331.98158425963726</c:v>
                </c:pt>
                <c:pt idx="35">
                  <c:v>374.50429831567737</c:v>
                </c:pt>
                <c:pt idx="36">
                  <c:v>318.61726474712918</c:v>
                </c:pt>
                <c:pt idx="37">
                  <c:v>237.91044134923683</c:v>
                </c:pt>
                <c:pt idx="38">
                  <c:v>194.942310631179</c:v>
                </c:pt>
                <c:pt idx="39">
                  <c:v>1381.2270630124699</c:v>
                </c:pt>
                <c:pt idx="40">
                  <c:v>246.85220132861713</c:v>
                </c:pt>
                <c:pt idx="41">
                  <c:v>244.07576604359372</c:v>
                </c:pt>
                <c:pt idx="42">
                  <c:v>329.96149823039906</c:v>
                </c:pt>
                <c:pt idx="43">
                  <c:v>297.89260101719884</c:v>
                </c:pt>
                <c:pt idx="44">
                  <c:v>418.50151988184524</c:v>
                </c:pt>
                <c:pt idx="45">
                  <c:v>451.69902996872463</c:v>
                </c:pt>
                <c:pt idx="46">
                  <c:v>396.90913582748999</c:v>
                </c:pt>
                <c:pt idx="47">
                  <c:v>446.573676814149</c:v>
                </c:pt>
              </c:numCache>
            </c:numRef>
          </c:val>
          <c:smooth val="0"/>
          <c:extLst>
            <c:ext xmlns:c16="http://schemas.microsoft.com/office/drawing/2014/chart" uri="{C3380CC4-5D6E-409C-BE32-E72D297353CC}">
              <c16:uniqueId val="{00000007-0B8F-4B86-B0FD-7BB36E7BE117}"/>
            </c:ext>
          </c:extLst>
        </c:ser>
        <c:dLbls>
          <c:showLegendKey val="0"/>
          <c:showVal val="0"/>
          <c:showCatName val="0"/>
          <c:showSerName val="0"/>
          <c:showPercent val="0"/>
          <c:showBubbleSize val="0"/>
        </c:dLbls>
        <c:marker val="1"/>
        <c:smooth val="0"/>
        <c:axId val="1831507463"/>
        <c:axId val="1831522311"/>
      </c:lineChart>
      <c:catAx>
        <c:axId val="18315074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22311"/>
        <c:crosses val="autoZero"/>
        <c:auto val="1"/>
        <c:lblAlgn val="ctr"/>
        <c:lblOffset val="100"/>
        <c:noMultiLvlLbl val="0"/>
      </c:catAx>
      <c:valAx>
        <c:axId val="1831522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07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Espacio vs Ventas mensuales millones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 19'!$C$33</c:f>
              <c:strCache>
                <c:ptCount val="1"/>
                <c:pt idx="0">
                  <c:v>Ventas mensuales millones (Y)</c:v>
                </c:pt>
              </c:strCache>
            </c:strRef>
          </c:tx>
          <c:spPr>
            <a:ln w="25400" cap="rnd">
              <a:noFill/>
              <a:round/>
            </a:ln>
            <a:effectLst/>
          </c:spPr>
          <c:marker>
            <c:symbol val="circle"/>
            <c:size val="5"/>
            <c:spPr>
              <a:solidFill>
                <a:schemeClr val="accent1"/>
              </a:solidFill>
              <a:ln w="9525">
                <a:solidFill>
                  <a:schemeClr val="accent1"/>
                </a:solidFill>
              </a:ln>
              <a:effectLst/>
            </c:spPr>
          </c:marker>
          <c:xVal>
            <c:numRef>
              <c:f>'FOR 19'!$B$34:$B$45</c:f>
              <c:numCache>
                <c:formatCode>General</c:formatCode>
                <c:ptCount val="12"/>
                <c:pt idx="0">
                  <c:v>4.5</c:v>
                </c:pt>
                <c:pt idx="1">
                  <c:v>4.5</c:v>
                </c:pt>
                <c:pt idx="2">
                  <c:v>4.5</c:v>
                </c:pt>
                <c:pt idx="3">
                  <c:v>9</c:v>
                </c:pt>
                <c:pt idx="4">
                  <c:v>9</c:v>
                </c:pt>
                <c:pt idx="5">
                  <c:v>9</c:v>
                </c:pt>
                <c:pt idx="6">
                  <c:v>13.5</c:v>
                </c:pt>
                <c:pt idx="7">
                  <c:v>13.5</c:v>
                </c:pt>
                <c:pt idx="8">
                  <c:v>13.5</c:v>
                </c:pt>
                <c:pt idx="9">
                  <c:v>18</c:v>
                </c:pt>
                <c:pt idx="10">
                  <c:v>18</c:v>
                </c:pt>
                <c:pt idx="11">
                  <c:v>18</c:v>
                </c:pt>
              </c:numCache>
            </c:numRef>
          </c:xVal>
          <c:yVal>
            <c:numRef>
              <c:f>'FOR 19'!$C$34:$C$45</c:f>
              <c:numCache>
                <c:formatCode>General</c:formatCode>
                <c:ptCount val="12"/>
                <c:pt idx="0">
                  <c:v>2.2879999999999998</c:v>
                </c:pt>
                <c:pt idx="1">
                  <c:v>3.1459999999999999</c:v>
                </c:pt>
                <c:pt idx="2">
                  <c:v>2.0019999999999998</c:v>
                </c:pt>
                <c:pt idx="3">
                  <c:v>2.7170000000000001</c:v>
                </c:pt>
                <c:pt idx="4">
                  <c:v>3.4319999999999999</c:v>
                </c:pt>
                <c:pt idx="5">
                  <c:v>3.718</c:v>
                </c:pt>
                <c:pt idx="6">
                  <c:v>3.2890000000000001</c:v>
                </c:pt>
                <c:pt idx="7">
                  <c:v>3.8610000000000002</c:v>
                </c:pt>
                <c:pt idx="8">
                  <c:v>4.0039999999999996</c:v>
                </c:pt>
                <c:pt idx="9">
                  <c:v>3.718</c:v>
                </c:pt>
                <c:pt idx="10">
                  <c:v>4.1470000000000002</c:v>
                </c:pt>
                <c:pt idx="11">
                  <c:v>4.4329999999999998</c:v>
                </c:pt>
              </c:numCache>
            </c:numRef>
          </c:yVal>
          <c:smooth val="0"/>
          <c:extLst>
            <c:ext xmlns:c16="http://schemas.microsoft.com/office/drawing/2014/chart" uri="{C3380CC4-5D6E-409C-BE32-E72D297353CC}">
              <c16:uniqueId val="{00000007-4135-4314-9539-162CBD90B3AB}"/>
            </c:ext>
          </c:extLst>
        </c:ser>
        <c:ser>
          <c:idx val="1"/>
          <c:order val="1"/>
          <c:tx>
            <c:strRef>
              <c:f>'FOR 19'!$D$33</c:f>
              <c:strCache>
                <c:ptCount val="1"/>
                <c:pt idx="0">
                  <c:v>RECTA</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'FOR 19'!$B$34:$B$45</c:f>
              <c:numCache>
                <c:formatCode>General</c:formatCode>
                <c:ptCount val="12"/>
                <c:pt idx="0">
                  <c:v>4.5</c:v>
                </c:pt>
                <c:pt idx="1">
                  <c:v>4.5</c:v>
                </c:pt>
                <c:pt idx="2">
                  <c:v>4.5</c:v>
                </c:pt>
                <c:pt idx="3">
                  <c:v>9</c:v>
                </c:pt>
                <c:pt idx="4">
                  <c:v>9</c:v>
                </c:pt>
                <c:pt idx="5">
                  <c:v>9</c:v>
                </c:pt>
                <c:pt idx="6">
                  <c:v>13.5</c:v>
                </c:pt>
                <c:pt idx="7">
                  <c:v>13.5</c:v>
                </c:pt>
                <c:pt idx="8">
                  <c:v>13.5</c:v>
                </c:pt>
                <c:pt idx="9">
                  <c:v>18</c:v>
                </c:pt>
                <c:pt idx="10">
                  <c:v>18</c:v>
                </c:pt>
                <c:pt idx="11">
                  <c:v>18</c:v>
                </c:pt>
              </c:numCache>
            </c:numRef>
          </c:xVal>
          <c:yVal>
            <c:numRef>
              <c:f>'FOR 19'!$D$34:$D$45</c:f>
              <c:numCache>
                <c:formatCode>General</c:formatCode>
                <c:ptCount val="12"/>
                <c:pt idx="0">
                  <c:v>2.6025999999999994</c:v>
                </c:pt>
                <c:pt idx="1">
                  <c:v>2.6025999999999994</c:v>
                </c:pt>
                <c:pt idx="2">
                  <c:v>2.6025999999999994</c:v>
                </c:pt>
                <c:pt idx="3">
                  <c:v>3.1316999999999995</c:v>
                </c:pt>
                <c:pt idx="4">
                  <c:v>3.1316999999999995</c:v>
                </c:pt>
                <c:pt idx="5">
                  <c:v>3.1316999999999995</c:v>
                </c:pt>
                <c:pt idx="6">
                  <c:v>3.6608000000000001</c:v>
                </c:pt>
                <c:pt idx="7">
                  <c:v>3.6608000000000001</c:v>
                </c:pt>
                <c:pt idx="8">
                  <c:v>3.6608000000000001</c:v>
                </c:pt>
                <c:pt idx="9">
                  <c:v>4.1898999999999997</c:v>
                </c:pt>
                <c:pt idx="10">
                  <c:v>4.1898999999999997</c:v>
                </c:pt>
                <c:pt idx="11">
                  <c:v>4.1898999999999997</c:v>
                </c:pt>
              </c:numCache>
            </c:numRef>
          </c:yVal>
          <c:smooth val="0"/>
          <c:extLst>
            <c:ext xmlns:c16="http://schemas.microsoft.com/office/drawing/2014/chart" uri="{C3380CC4-5D6E-409C-BE32-E72D297353CC}">
              <c16:uniqueId val="{00000009-4135-4314-9539-162CBD90B3AB}"/>
            </c:ext>
          </c:extLst>
        </c:ser>
        <c:dLbls>
          <c:showLegendKey val="0"/>
          <c:showVal val="0"/>
          <c:showCatName val="0"/>
          <c:showSerName val="0"/>
          <c:showPercent val="0"/>
          <c:showBubbleSize val="0"/>
        </c:dLbls>
        <c:axId val="1001402375"/>
        <c:axId val="1001404423"/>
      </c:scatterChart>
      <c:valAx>
        <c:axId val="1001402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04423"/>
        <c:crosses val="autoZero"/>
        <c:crossBetween val="midCat"/>
      </c:valAx>
      <c:valAx>
        <c:axId val="1001404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023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Población infantil vs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 20'!$C$25</c:f>
              <c:strCache>
                <c:ptCount val="1"/>
                <c:pt idx="0">
                  <c:v>Ventas (Y) Millones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628390201224852E-2"/>
                  <c:y val="0.39305555555555555"/>
                </c:manualLayout>
              </c:layout>
              <c:numFmt formatCode="General" sourceLinked="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rendlineLbl>
          </c:trendline>
          <c:xVal>
            <c:numRef>
              <c:f>'FOR 20'!$B$26:$B$37</c:f>
              <c:numCache>
                <c:formatCode>General</c:formatCode>
                <c:ptCount val="12"/>
                <c:pt idx="0">
                  <c:v>14.68</c:v>
                </c:pt>
                <c:pt idx="1">
                  <c:v>22.93</c:v>
                </c:pt>
                <c:pt idx="2">
                  <c:v>16.649999999999999</c:v>
                </c:pt>
                <c:pt idx="3">
                  <c:v>35.99</c:v>
                </c:pt>
                <c:pt idx="4">
                  <c:v>32.479999999999997</c:v>
                </c:pt>
                <c:pt idx="5">
                  <c:v>38.770000000000003</c:v>
                </c:pt>
                <c:pt idx="6">
                  <c:v>10.029999999999999</c:v>
                </c:pt>
                <c:pt idx="7">
                  <c:v>24.26</c:v>
                </c:pt>
                <c:pt idx="8">
                  <c:v>52.46</c:v>
                </c:pt>
                <c:pt idx="9">
                  <c:v>36.799999999999997</c:v>
                </c:pt>
                <c:pt idx="10">
                  <c:v>17.34</c:v>
                </c:pt>
                <c:pt idx="11">
                  <c:v>43.668999999999997</c:v>
                </c:pt>
              </c:numCache>
            </c:numRef>
          </c:xVal>
          <c:yVal>
            <c:numRef>
              <c:f>'FOR 20'!$C$26:$C$37</c:f>
              <c:numCache>
                <c:formatCode>General</c:formatCode>
                <c:ptCount val="12"/>
                <c:pt idx="0">
                  <c:v>3.8450000000000002</c:v>
                </c:pt>
                <c:pt idx="1">
                  <c:v>5.54</c:v>
                </c:pt>
                <c:pt idx="2">
                  <c:v>5.0990000000000002</c:v>
                </c:pt>
                <c:pt idx="3">
                  <c:v>8.89</c:v>
                </c:pt>
                <c:pt idx="4">
                  <c:v>6.681</c:v>
                </c:pt>
                <c:pt idx="5">
                  <c:v>9.6780000000000008</c:v>
                </c:pt>
                <c:pt idx="6">
                  <c:v>4.5419999999999998</c:v>
                </c:pt>
                <c:pt idx="7">
                  <c:v>4.5570000000000004</c:v>
                </c:pt>
                <c:pt idx="8">
                  <c:v>13.289</c:v>
                </c:pt>
                <c:pt idx="9">
                  <c:v>10.506</c:v>
                </c:pt>
                <c:pt idx="10">
                  <c:v>5.1340000000000003</c:v>
                </c:pt>
                <c:pt idx="11">
                  <c:v>9.0660000000000007</c:v>
                </c:pt>
              </c:numCache>
            </c:numRef>
          </c:yVal>
          <c:smooth val="0"/>
          <c:extLst>
            <c:ext xmlns:c16="http://schemas.microsoft.com/office/drawing/2014/chart" uri="{C3380CC4-5D6E-409C-BE32-E72D297353CC}">
              <c16:uniqueId val="{00000001-4DED-4B00-AA24-505B6CDB021E}"/>
            </c:ext>
          </c:extLst>
        </c:ser>
        <c:dLbls>
          <c:showLegendKey val="0"/>
          <c:showVal val="0"/>
          <c:showCatName val="0"/>
          <c:showSerName val="0"/>
          <c:showPercent val="0"/>
          <c:showBubbleSize val="0"/>
        </c:dLbls>
        <c:axId val="1817636872"/>
        <c:axId val="455847944"/>
      </c:scatterChart>
      <c:valAx>
        <c:axId val="1817636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47944"/>
        <c:crosses val="autoZero"/>
        <c:crossBetween val="midCat"/>
      </c:valAx>
      <c:valAx>
        <c:axId val="45584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36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7.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16.xml"/><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117928</xdr:rowOff>
    </xdr:from>
    <xdr:ext cx="6181725" cy="18097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1514928"/>
          <a:ext cx="6181725" cy="1809750"/>
        </a:xfrm>
        <a:prstGeom prst="rect">
          <a:avLst/>
        </a:prstGeom>
        <a:noFill/>
      </xdr:spPr>
    </xdr:pic>
    <xdr:clientData fLocksWithSheet="0"/>
  </xdr:oneCellAnchor>
  <xdr:twoCellAnchor>
    <xdr:from>
      <xdr:col>0</xdr:col>
      <xdr:colOff>45357</xdr:colOff>
      <xdr:row>41</xdr:row>
      <xdr:rowOff>13155</xdr:rowOff>
    </xdr:from>
    <xdr:to>
      <xdr:col>4</xdr:col>
      <xdr:colOff>571500</xdr:colOff>
      <xdr:row>52</xdr:row>
      <xdr:rowOff>172357</xdr:rowOff>
    </xdr:to>
    <xdr:graphicFrame macro="">
      <xdr:nvGraphicFramePr>
        <xdr:cNvPr id="5" name="Gráfico 4">
          <a:extLst>
            <a:ext uri="{FF2B5EF4-FFF2-40B4-BE49-F238E27FC236}">
              <a16:creationId xmlns:a16="http://schemas.microsoft.com/office/drawing/2014/main" id="{FF93F1C1-9AAC-6903-36F1-C46B93FA3095}"/>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45360</xdr:colOff>
      <xdr:row>45</xdr:row>
      <xdr:rowOff>82095</xdr:rowOff>
    </xdr:from>
    <xdr:to>
      <xdr:col>8</xdr:col>
      <xdr:colOff>453572</xdr:colOff>
      <xdr:row>48</xdr:row>
      <xdr:rowOff>81643</xdr:rowOff>
    </xdr:to>
    <xdr:sp macro="" textlink="">
      <xdr:nvSpPr>
        <xdr:cNvPr id="13" name="CuadroTexto 2">
          <a:extLst>
            <a:ext uri="{FF2B5EF4-FFF2-40B4-BE49-F238E27FC236}">
              <a16:creationId xmlns:a16="http://schemas.microsoft.com/office/drawing/2014/main" id="{A7235CE2-DFE2-82EE-8EF6-9681C539992C}"/>
            </a:ext>
            <a:ext uri="{147F2762-F138-4A5C-976F-8EAC2B608ADB}">
              <a16:predDERef xmlns:a16="http://schemas.microsoft.com/office/drawing/2014/main" pred="{FF93F1C1-9AAC-6903-36F1-C46B93FA3095}"/>
            </a:ext>
          </a:extLst>
        </xdr:cNvPr>
        <xdr:cNvSpPr txBox="1"/>
      </xdr:nvSpPr>
      <xdr:spPr>
        <a:xfrm>
          <a:off x="4136574" y="9144452"/>
          <a:ext cx="2639784" cy="598262"/>
        </a:xfrm>
        <a:prstGeom prst="rect">
          <a:avLst/>
        </a:prstGeom>
        <a:solidFill>
          <a:schemeClr val="accent5">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c) La mejor opción será la de n=3 ya que tiene menor error.</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8</xdr:row>
      <xdr:rowOff>38100</xdr:rowOff>
    </xdr:from>
    <xdr:ext cx="5010150" cy="3467100"/>
    <xdr:pic>
      <xdr:nvPicPr>
        <xdr:cNvPr id="5" name="image7.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1838325"/>
          <a:ext cx="5010150" cy="3467100"/>
        </a:xfrm>
        <a:prstGeom prst="rect">
          <a:avLst/>
        </a:prstGeom>
        <a:noFill/>
      </xdr:spPr>
    </xdr:pic>
    <xdr:clientData fLocksWithSheet="0"/>
  </xdr:oneCellAnchor>
  <xdr:twoCellAnchor>
    <xdr:from>
      <xdr:col>5</xdr:col>
      <xdr:colOff>325665</xdr:colOff>
      <xdr:row>10</xdr:row>
      <xdr:rowOff>9978</xdr:rowOff>
    </xdr:from>
    <xdr:to>
      <xdr:col>10</xdr:col>
      <xdr:colOff>535213</xdr:colOff>
      <xdr:row>24</xdr:row>
      <xdr:rowOff>123824</xdr:rowOff>
    </xdr:to>
    <xdr:graphicFrame macro="">
      <xdr:nvGraphicFramePr>
        <xdr:cNvPr id="6" name="Gráfico 2">
          <a:extLst>
            <a:ext uri="{FF2B5EF4-FFF2-40B4-BE49-F238E27FC236}">
              <a16:creationId xmlns:a16="http://schemas.microsoft.com/office/drawing/2014/main" id="{84211D36-A2D2-04A6-4596-9B2F4487BA57}"/>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9071</xdr:colOff>
      <xdr:row>56</xdr:row>
      <xdr:rowOff>90714</xdr:rowOff>
    </xdr:from>
    <xdr:to>
      <xdr:col>5</xdr:col>
      <xdr:colOff>199571</xdr:colOff>
      <xdr:row>58</xdr:row>
      <xdr:rowOff>108856</xdr:rowOff>
    </xdr:to>
    <xdr:sp macro="" textlink="">
      <xdr:nvSpPr>
        <xdr:cNvPr id="4" name="CuadroTexto 2">
          <a:extLst>
            <a:ext uri="{FF2B5EF4-FFF2-40B4-BE49-F238E27FC236}">
              <a16:creationId xmlns:a16="http://schemas.microsoft.com/office/drawing/2014/main" id="{6A9CFC51-8AE2-4650-84DF-4D56B1A28567}"/>
            </a:ext>
            <a:ext uri="{147F2762-F138-4A5C-976F-8EAC2B608ADB}">
              <a16:predDERef xmlns:a16="http://schemas.microsoft.com/office/drawing/2014/main" pred="{FF93F1C1-9AAC-6903-36F1-C46B93FA3095}"/>
            </a:ext>
          </a:extLst>
        </xdr:cNvPr>
        <xdr:cNvSpPr txBox="1"/>
      </xdr:nvSpPr>
      <xdr:spPr>
        <a:xfrm>
          <a:off x="9071" y="10468428"/>
          <a:ext cx="5007429" cy="417285"/>
        </a:xfrm>
        <a:prstGeom prst="rect">
          <a:avLst/>
        </a:prstGeom>
        <a:solidFill>
          <a:schemeClr val="accent5">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c) Dado</a:t>
          </a:r>
          <a:r>
            <a:rPr lang="en-US" sz="1100" b="0" i="0" u="none" strike="noStrike" baseline="0">
              <a:solidFill>
                <a:srgbClr val="000000"/>
              </a:solidFill>
              <a:latin typeface="Arial" panose="020B0604020202020204" pitchFamily="34" charset="0"/>
              <a:cs typeface="Arial" panose="020B0604020202020204" pitchFamily="34" charset="0"/>
            </a:rPr>
            <a:t> que no se tiene mucha información, se rlige la opicón con n=5 ya que su error es menor en comparación al de n=</a:t>
          </a:r>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7</xdr:row>
      <xdr:rowOff>55563</xdr:rowOff>
    </xdr:from>
    <xdr:ext cx="4722813" cy="2286000"/>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1643063"/>
          <a:ext cx="4722813" cy="2286000"/>
        </a:xfrm>
        <a:prstGeom prst="rect">
          <a:avLst/>
        </a:prstGeom>
        <a:noFill/>
      </xdr:spPr>
    </xdr:pic>
    <xdr:clientData fLocksWithSheet="0"/>
  </xdr:oneCellAnchor>
  <xdr:twoCellAnchor>
    <xdr:from>
      <xdr:col>2</xdr:col>
      <xdr:colOff>809625</xdr:colOff>
      <xdr:row>24</xdr:row>
      <xdr:rowOff>96839</xdr:rowOff>
    </xdr:from>
    <xdr:to>
      <xdr:col>6</xdr:col>
      <xdr:colOff>603250</xdr:colOff>
      <xdr:row>35</xdr:row>
      <xdr:rowOff>15875</xdr:rowOff>
    </xdr:to>
    <xdr:graphicFrame macro="">
      <xdr:nvGraphicFramePr>
        <xdr:cNvPr id="6" name="Gráfico 5">
          <a:extLst>
            <a:ext uri="{FF2B5EF4-FFF2-40B4-BE49-F238E27FC236}">
              <a16:creationId xmlns:a16="http://schemas.microsoft.com/office/drawing/2014/main" id="{9DA0EAD2-5490-A6C6-2E77-A16DFC223BD2}"/>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7</xdr:row>
      <xdr:rowOff>38100</xdr:rowOff>
    </xdr:from>
    <xdr:ext cx="5800725" cy="2486025"/>
    <xdr:pic>
      <xdr:nvPicPr>
        <xdr:cNvPr id="2" name="image9.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0" y="1460500"/>
          <a:ext cx="5800725" cy="2486025"/>
        </a:xfrm>
        <a:prstGeom prst="rect">
          <a:avLst/>
        </a:prstGeom>
        <a:noFill/>
      </xdr:spPr>
    </xdr:pic>
    <xdr:clientData fLocksWithSheet="0"/>
  </xdr:oneCellAnchor>
  <xdr:twoCellAnchor>
    <xdr:from>
      <xdr:col>0</xdr:col>
      <xdr:colOff>352425</xdr:colOff>
      <xdr:row>31</xdr:row>
      <xdr:rowOff>190500</xdr:rowOff>
    </xdr:from>
    <xdr:to>
      <xdr:col>5</xdr:col>
      <xdr:colOff>733425</xdr:colOff>
      <xdr:row>45</xdr:row>
      <xdr:rowOff>133350</xdr:rowOff>
    </xdr:to>
    <xdr:graphicFrame macro="">
      <xdr:nvGraphicFramePr>
        <xdr:cNvPr id="7" name="Gráfico 4" descr="Tipo de gráfico: Dispersión. &quot;Ventas&quot;&#10;&#10;Descripción generada automáticamente">
          <a:extLst>
            <a:ext uri="{FF2B5EF4-FFF2-40B4-BE49-F238E27FC236}">
              <a16:creationId xmlns:a16="http://schemas.microsoft.com/office/drawing/2014/main" id="{F87693C4-5D30-1818-5C8D-84EEBF3A17B6}"/>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7</xdr:row>
      <xdr:rowOff>104775</xdr:rowOff>
    </xdr:from>
    <xdr:ext cx="5800725" cy="3009900"/>
    <xdr:pic>
      <xdr:nvPicPr>
        <xdr:cNvPr id="2" name="image2.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0" y="1905000"/>
          <a:ext cx="5800725" cy="3009900"/>
        </a:xfrm>
        <a:prstGeom prst="rect">
          <a:avLst/>
        </a:prstGeom>
        <a:noFill/>
      </xdr:spPr>
    </xdr:pic>
    <xdr:clientData fLocksWithSheet="0"/>
  </xdr:oneCellAnchor>
  <xdr:twoCellAnchor>
    <xdr:from>
      <xdr:col>0</xdr:col>
      <xdr:colOff>562427</xdr:colOff>
      <xdr:row>133</xdr:row>
      <xdr:rowOff>81644</xdr:rowOff>
    </xdr:from>
    <xdr:to>
      <xdr:col>5</xdr:col>
      <xdr:colOff>45357</xdr:colOff>
      <xdr:row>148</xdr:row>
      <xdr:rowOff>81643</xdr:rowOff>
    </xdr:to>
    <xdr:graphicFrame macro="">
      <xdr:nvGraphicFramePr>
        <xdr:cNvPr id="10" name="Gráfico 9">
          <a:extLst>
            <a:ext uri="{FF2B5EF4-FFF2-40B4-BE49-F238E27FC236}">
              <a16:creationId xmlns:a16="http://schemas.microsoft.com/office/drawing/2014/main" id="{6ADD73F7-4C70-4030-C1DC-763EEC8A1DBF}"/>
            </a:ext>
            <a:ext uri="{147F2762-F138-4A5C-976F-8EAC2B608ADB}">
              <a16:predDERef xmlns:a16="http://schemas.microsoft.com/office/drawing/2014/main" pre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317500</xdr:colOff>
      <xdr:row>27</xdr:row>
      <xdr:rowOff>183244</xdr:rowOff>
    </xdr:from>
    <xdr:to>
      <xdr:col>6</xdr:col>
      <xdr:colOff>879929</xdr:colOff>
      <xdr:row>40</xdr:row>
      <xdr:rowOff>163286</xdr:rowOff>
    </xdr:to>
    <xdr:graphicFrame macro="">
      <xdr:nvGraphicFramePr>
        <xdr:cNvPr id="3" name="Gráfico 10">
          <a:extLst>
            <a:ext uri="{FF2B5EF4-FFF2-40B4-BE49-F238E27FC236}">
              <a16:creationId xmlns:a16="http://schemas.microsoft.com/office/drawing/2014/main" id="{36CBA796-16EA-964F-CA6A-DCA50117FCD2}"/>
            </a:ext>
            <a:ext uri="{147F2762-F138-4A5C-976F-8EAC2B608ADB}">
              <a16:predDERef xmlns:a16="http://schemas.microsoft.com/office/drawing/2014/main" pred="{6ADD73F7-4C70-4030-C1DC-763EEC8A1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63500</xdr:colOff>
      <xdr:row>7</xdr:row>
      <xdr:rowOff>158750</xdr:rowOff>
    </xdr:from>
    <xdr:ext cx="6008688" cy="2916237"/>
    <xdr:pic>
      <xdr:nvPicPr>
        <xdr:cNvPr id="2" name="image4.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63500" y="1746250"/>
          <a:ext cx="6008688" cy="2916237"/>
        </a:xfrm>
        <a:prstGeom prst="rect">
          <a:avLst/>
        </a:prstGeom>
        <a:noFill/>
      </xdr:spPr>
    </xdr:pic>
    <xdr:clientData fLocksWithSheet="0"/>
  </xdr:oneCellAnchor>
  <xdr:twoCellAnchor>
    <xdr:from>
      <xdr:col>0</xdr:col>
      <xdr:colOff>104775</xdr:colOff>
      <xdr:row>84</xdr:row>
      <xdr:rowOff>103187</xdr:rowOff>
    </xdr:from>
    <xdr:to>
      <xdr:col>5</xdr:col>
      <xdr:colOff>520700</xdr:colOff>
      <xdr:row>98</xdr:row>
      <xdr:rowOff>46037</xdr:rowOff>
    </xdr:to>
    <xdr:graphicFrame macro="">
      <xdr:nvGraphicFramePr>
        <xdr:cNvPr id="5" name="Gráfico 4">
          <a:extLst>
            <a:ext uri="{FF2B5EF4-FFF2-40B4-BE49-F238E27FC236}">
              <a16:creationId xmlns:a16="http://schemas.microsoft.com/office/drawing/2014/main" id="{E9992F98-4CC4-4598-06F0-BD36EDDAC167}"/>
            </a:ext>
            <a:ext uri="{147F2762-F138-4A5C-976F-8EAC2B608ADB}">
              <a16:predDERef xmlns:a16="http://schemas.microsoft.com/office/drawing/2014/main" pre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842962</xdr:colOff>
      <xdr:row>35</xdr:row>
      <xdr:rowOff>130174</xdr:rowOff>
    </xdr:from>
    <xdr:to>
      <xdr:col>7</xdr:col>
      <xdr:colOff>328612</xdr:colOff>
      <xdr:row>38</xdr:row>
      <xdr:rowOff>55563</xdr:rowOff>
    </xdr:to>
    <xdr:sp macro="" textlink="">
      <xdr:nvSpPr>
        <xdr:cNvPr id="6" name="CuadroTexto 5">
          <a:extLst>
            <a:ext uri="{FF2B5EF4-FFF2-40B4-BE49-F238E27FC236}">
              <a16:creationId xmlns:a16="http://schemas.microsoft.com/office/drawing/2014/main" id="{C45581A9-2E76-0460-96C7-C3BB4DE58586}"/>
            </a:ext>
            <a:ext uri="{147F2762-F138-4A5C-976F-8EAC2B608ADB}">
              <a16:predDERef xmlns:a16="http://schemas.microsoft.com/office/drawing/2014/main" pred="{E9992F98-4CC4-4598-06F0-BD36EDDAC167}"/>
            </a:ext>
          </a:extLst>
        </xdr:cNvPr>
        <xdr:cNvSpPr txBox="1"/>
      </xdr:nvSpPr>
      <xdr:spPr>
        <a:xfrm>
          <a:off x="842962" y="7392987"/>
          <a:ext cx="3700463" cy="520701"/>
        </a:xfrm>
        <a:prstGeom prst="rect">
          <a:avLst/>
        </a:prstGeom>
        <a:solidFill>
          <a:schemeClr val="accent5">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b) El efecto estacional mas notorio es el de el cuarto trimestre ya que es una caida del valor del 36,72%.</a:t>
          </a:r>
        </a:p>
      </xdr:txBody>
    </xdr:sp>
    <xdr:clientData/>
  </xdr:twoCellAnchor>
  <xdr:twoCellAnchor>
    <xdr:from>
      <xdr:col>5</xdr:col>
      <xdr:colOff>792162</xdr:colOff>
      <xdr:row>84</xdr:row>
      <xdr:rowOff>96837</xdr:rowOff>
    </xdr:from>
    <xdr:to>
      <xdr:col>10</xdr:col>
      <xdr:colOff>757237</xdr:colOff>
      <xdr:row>98</xdr:row>
      <xdr:rowOff>68262</xdr:rowOff>
    </xdr:to>
    <xdr:graphicFrame macro="">
      <xdr:nvGraphicFramePr>
        <xdr:cNvPr id="7" name="Gráfico 6">
          <a:extLst>
            <a:ext uri="{FF2B5EF4-FFF2-40B4-BE49-F238E27FC236}">
              <a16:creationId xmlns:a16="http://schemas.microsoft.com/office/drawing/2014/main" id="{C058F256-EF27-3A64-7DF8-72D0F862FA26}"/>
            </a:ext>
            <a:ext uri="{147F2762-F138-4A5C-976F-8EAC2B608ADB}">
              <a16:predDERef xmlns:a16="http://schemas.microsoft.com/office/drawing/2014/main" pred="{C45581A9-2E76-0460-96C7-C3BB4DE58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7</xdr:row>
      <xdr:rowOff>174625</xdr:rowOff>
    </xdr:from>
    <xdr:ext cx="4829175" cy="3086100"/>
    <xdr:pic>
      <xdr:nvPicPr>
        <xdr:cNvPr id="2" name="image5.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0" y="1762125"/>
          <a:ext cx="4829175" cy="3086100"/>
        </a:xfrm>
        <a:prstGeom prst="rect">
          <a:avLst/>
        </a:prstGeom>
        <a:noFill/>
      </xdr:spPr>
    </xdr:pic>
    <xdr:clientData fLocksWithSheet="0"/>
  </xdr:oneCellAnchor>
  <xdr:twoCellAnchor>
    <xdr:from>
      <xdr:col>0</xdr:col>
      <xdr:colOff>1</xdr:colOff>
      <xdr:row>24</xdr:row>
      <xdr:rowOff>19051</xdr:rowOff>
    </xdr:from>
    <xdr:to>
      <xdr:col>4</xdr:col>
      <xdr:colOff>785813</xdr:colOff>
      <xdr:row>38</xdr:row>
      <xdr:rowOff>103188</xdr:rowOff>
    </xdr:to>
    <xdr:graphicFrame macro="">
      <xdr:nvGraphicFramePr>
        <xdr:cNvPr id="21" name="Gráfico 4">
          <a:extLst>
            <a:ext uri="{FF2B5EF4-FFF2-40B4-BE49-F238E27FC236}">
              <a16:creationId xmlns:a16="http://schemas.microsoft.com/office/drawing/2014/main" id="{84A59C61-0A86-2F1C-3D01-288060DAA5C4}"/>
            </a:ext>
            <a:ext uri="{147F2762-F138-4A5C-976F-8EAC2B608ADB}">
              <a16:predDERef xmlns:a16="http://schemas.microsoft.com/office/drawing/2014/main" pre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153989</xdr:colOff>
      <xdr:row>137</xdr:row>
      <xdr:rowOff>39687</xdr:rowOff>
    </xdr:from>
    <xdr:to>
      <xdr:col>5</xdr:col>
      <xdr:colOff>182564</xdr:colOff>
      <xdr:row>150</xdr:row>
      <xdr:rowOff>23812</xdr:rowOff>
    </xdr:to>
    <xdr:graphicFrame macro="">
      <xdr:nvGraphicFramePr>
        <xdr:cNvPr id="8" name="Gráfico 3">
          <a:extLst>
            <a:ext uri="{FF2B5EF4-FFF2-40B4-BE49-F238E27FC236}">
              <a16:creationId xmlns:a16="http://schemas.microsoft.com/office/drawing/2014/main" id="{31810F39-3C9C-6A6D-6ABD-4C7DE9F1F59C}"/>
            </a:ext>
            <a:ext uri="{147F2762-F138-4A5C-976F-8EAC2B608ADB}">
              <a16:predDERef xmlns:a16="http://schemas.microsoft.com/office/drawing/2014/main" pred="{84A59C61-0A86-2F1C-3D01-288060DAA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309562</xdr:colOff>
      <xdr:row>137</xdr:row>
      <xdr:rowOff>44451</xdr:rowOff>
    </xdr:from>
    <xdr:to>
      <xdr:col>11</xdr:col>
      <xdr:colOff>369889</xdr:colOff>
      <xdr:row>150</xdr:row>
      <xdr:rowOff>31751</xdr:rowOff>
    </xdr:to>
    <xdr:graphicFrame macro="">
      <xdr:nvGraphicFramePr>
        <xdr:cNvPr id="5" name="Gráfico 6">
          <a:extLst>
            <a:ext uri="{FF2B5EF4-FFF2-40B4-BE49-F238E27FC236}">
              <a16:creationId xmlns:a16="http://schemas.microsoft.com/office/drawing/2014/main" id="{0D8735BB-8EAD-0511-66AF-459370AB58F7}"/>
            </a:ext>
            <a:ext uri="{147F2762-F138-4A5C-976F-8EAC2B608ADB}">
              <a16:predDERef xmlns:a16="http://schemas.microsoft.com/office/drawing/2014/main" pred="{31810F39-3C9C-6A6D-6ABD-4C7DE9F1F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650874</xdr:colOff>
      <xdr:row>150</xdr:row>
      <xdr:rowOff>187324</xdr:rowOff>
    </xdr:from>
    <xdr:to>
      <xdr:col>7</xdr:col>
      <xdr:colOff>404812</xdr:colOff>
      <xdr:row>163</xdr:row>
      <xdr:rowOff>15875</xdr:rowOff>
    </xdr:to>
    <xdr:graphicFrame macro="">
      <xdr:nvGraphicFramePr>
        <xdr:cNvPr id="6" name="Gráfico 8">
          <a:extLst>
            <a:ext uri="{FF2B5EF4-FFF2-40B4-BE49-F238E27FC236}">
              <a16:creationId xmlns:a16="http://schemas.microsoft.com/office/drawing/2014/main" id="{EDDE4C40-A0A3-98DA-B4C9-4EF8764E71E9}"/>
            </a:ext>
            <a:ext uri="{147F2762-F138-4A5C-976F-8EAC2B608ADB}">
              <a16:predDERef xmlns:a16="http://schemas.microsoft.com/office/drawing/2014/main" pred="{0D8735BB-8EAD-0511-66AF-459370AB5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50801</xdr:colOff>
      <xdr:row>295</xdr:row>
      <xdr:rowOff>142875</xdr:rowOff>
    </xdr:from>
    <xdr:to>
      <xdr:col>4</xdr:col>
      <xdr:colOff>825501</xdr:colOff>
      <xdr:row>307</xdr:row>
      <xdr:rowOff>158750</xdr:rowOff>
    </xdr:to>
    <xdr:graphicFrame macro="">
      <xdr:nvGraphicFramePr>
        <xdr:cNvPr id="20" name="Gráfico 9">
          <a:extLst>
            <a:ext uri="{FF2B5EF4-FFF2-40B4-BE49-F238E27FC236}">
              <a16:creationId xmlns:a16="http://schemas.microsoft.com/office/drawing/2014/main" id="{4467CFE3-EDED-66A7-02F8-EBA3284D60C7}"/>
            </a:ext>
            <a:ext uri="{147F2762-F138-4A5C-976F-8EAC2B608ADB}">
              <a16:predDERef xmlns:a16="http://schemas.microsoft.com/office/drawing/2014/main" pred="{EDDE4C40-A0A3-98DA-B4C9-4EF8764E7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403224</xdr:colOff>
      <xdr:row>295</xdr:row>
      <xdr:rowOff>74612</xdr:rowOff>
    </xdr:from>
    <xdr:to>
      <xdr:col>10</xdr:col>
      <xdr:colOff>577850</xdr:colOff>
      <xdr:row>309</xdr:row>
      <xdr:rowOff>17462</xdr:rowOff>
    </xdr:to>
    <xdr:graphicFrame macro="">
      <xdr:nvGraphicFramePr>
        <xdr:cNvPr id="9" name="Gráfico 10">
          <a:extLst>
            <a:ext uri="{FF2B5EF4-FFF2-40B4-BE49-F238E27FC236}">
              <a16:creationId xmlns:a16="http://schemas.microsoft.com/office/drawing/2014/main" id="{9BA6B8FD-C67E-0802-02D7-B3576AAE915E}"/>
            </a:ext>
            <a:ext uri="{147F2762-F138-4A5C-976F-8EAC2B608ADB}">
              <a16:predDERef xmlns:a16="http://schemas.microsoft.com/office/drawing/2014/main" pred="{4467CFE3-EDED-66A7-02F8-EBA3284D6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809625</xdr:colOff>
      <xdr:row>83</xdr:row>
      <xdr:rowOff>0</xdr:rowOff>
    </xdr:from>
    <xdr:to>
      <xdr:col>6</xdr:col>
      <xdr:colOff>293687</xdr:colOff>
      <xdr:row>85</xdr:row>
      <xdr:rowOff>182562</xdr:rowOff>
    </xdr:to>
    <xdr:sp macro="" textlink="">
      <xdr:nvSpPr>
        <xdr:cNvPr id="10" name="CuadroTexto 9">
          <a:extLst>
            <a:ext uri="{FF2B5EF4-FFF2-40B4-BE49-F238E27FC236}">
              <a16:creationId xmlns:a16="http://schemas.microsoft.com/office/drawing/2014/main" id="{55D87028-34A8-4FE1-BCA3-CEE8E5E3E043}"/>
            </a:ext>
            <a:ext uri="{147F2762-F138-4A5C-976F-8EAC2B608ADB}">
              <a16:predDERef xmlns:a16="http://schemas.microsoft.com/office/drawing/2014/main" pred="{E9992F98-4CC4-4598-06F0-BD36EDDAC167}"/>
            </a:ext>
          </a:extLst>
        </xdr:cNvPr>
        <xdr:cNvSpPr txBox="1"/>
      </xdr:nvSpPr>
      <xdr:spPr>
        <a:xfrm>
          <a:off x="809625" y="16668750"/>
          <a:ext cx="4635500" cy="579437"/>
        </a:xfrm>
        <a:prstGeom prst="rect">
          <a:avLst/>
        </a:prstGeom>
        <a:solidFill>
          <a:schemeClr val="accent5">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b) Observamos que al utilizar</a:t>
          </a:r>
          <a:r>
            <a:rPr lang="en-US" sz="1100" baseline="0">
              <a:latin typeface="+mn-lt"/>
              <a:ea typeface="+mn-lt"/>
              <a:cs typeface="+mn-lt"/>
            </a:rPr>
            <a:t> n=4, la gráfica permite ver picos y valles, mientras que se adapta mejor a las fluctuaciones. Con n=12 solo podemos ver la tendencia.</a:t>
          </a:r>
          <a:endParaRPr lang="en-US" sz="1100">
            <a:latin typeface="+mn-lt"/>
            <a:ea typeface="+mn-lt"/>
            <a:cs typeface="+mn-lt"/>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3</xdr:col>
      <xdr:colOff>447675</xdr:colOff>
      <xdr:row>0</xdr:row>
      <xdr:rowOff>0</xdr:rowOff>
    </xdr:from>
    <xdr:ext cx="6816725" cy="6045200"/>
    <xdr:pic>
      <xdr:nvPicPr>
        <xdr:cNvPr id="22" name="image6.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2378075" y="0"/>
          <a:ext cx="6816725" cy="6045200"/>
        </a:xfrm>
        <a:prstGeom prst="rect">
          <a:avLst/>
        </a:prstGeom>
        <a:noFill/>
      </xdr:spPr>
    </xdr:pic>
    <xdr:clientData fLocksWithSheet="0"/>
  </xdr:oneCellAnchor>
  <xdr:twoCellAnchor>
    <xdr:from>
      <xdr:col>0</xdr:col>
      <xdr:colOff>400052</xdr:colOff>
      <xdr:row>196</xdr:row>
      <xdr:rowOff>50801</xdr:rowOff>
    </xdr:from>
    <xdr:to>
      <xdr:col>9</xdr:col>
      <xdr:colOff>1026583</xdr:colOff>
      <xdr:row>214</xdr:row>
      <xdr:rowOff>127000</xdr:rowOff>
    </xdr:to>
    <xdr:graphicFrame macro="">
      <xdr:nvGraphicFramePr>
        <xdr:cNvPr id="23" name="Gráfico 2">
          <a:extLst>
            <a:ext uri="{FF2B5EF4-FFF2-40B4-BE49-F238E27FC236}">
              <a16:creationId xmlns:a16="http://schemas.microsoft.com/office/drawing/2014/main" id="{33E9AA1A-B5DD-6166-6CEB-9D8394C0704A}"/>
            </a:ext>
            <a:ext uri="{147F2762-F138-4A5C-976F-8EAC2B608ADB}">
              <a16:predDERef xmlns:a16="http://schemas.microsoft.com/office/drawing/2014/main" pred="{AEAE0FD0-10A3-75AB-F263-C9D2D7E12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136071</xdr:colOff>
      <xdr:row>7</xdr:row>
      <xdr:rowOff>145143</xdr:rowOff>
    </xdr:from>
    <xdr:ext cx="5715000" cy="3601357"/>
    <xdr:pic>
      <xdr:nvPicPr>
        <xdr:cNvPr id="11" name="image10.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136071" y="1741714"/>
          <a:ext cx="5715000" cy="3601357"/>
        </a:xfrm>
        <a:prstGeom prst="rect">
          <a:avLst/>
        </a:prstGeom>
        <a:noFill/>
      </xdr:spPr>
    </xdr:pic>
    <xdr:clientData fLocksWithSheet="0"/>
  </xdr:oneCellAnchor>
  <xdr:twoCellAnchor>
    <xdr:from>
      <xdr:col>0</xdr:col>
      <xdr:colOff>0</xdr:colOff>
      <xdr:row>49</xdr:row>
      <xdr:rowOff>152400</xdr:rowOff>
    </xdr:from>
    <xdr:to>
      <xdr:col>4</xdr:col>
      <xdr:colOff>685800</xdr:colOff>
      <xdr:row>67</xdr:row>
      <xdr:rowOff>28575</xdr:rowOff>
    </xdr:to>
    <xdr:graphicFrame macro="">
      <xdr:nvGraphicFramePr>
        <xdr:cNvPr id="6" name="Gráfico 5">
          <a:extLst>
            <a:ext uri="{FF2B5EF4-FFF2-40B4-BE49-F238E27FC236}">
              <a16:creationId xmlns:a16="http://schemas.microsoft.com/office/drawing/2014/main" id="{46B07B4A-DBF7-FDBA-98FF-15D936E70987}"/>
            </a:ext>
            <a:ext uri="{147F2762-F138-4A5C-976F-8EAC2B608ADB}">
              <a16:predDERef xmlns:a16="http://schemas.microsoft.com/office/drawing/2014/main" pre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104775</xdr:colOff>
      <xdr:row>29</xdr:row>
      <xdr:rowOff>114300</xdr:rowOff>
    </xdr:from>
    <xdr:to>
      <xdr:col>7</xdr:col>
      <xdr:colOff>457200</xdr:colOff>
      <xdr:row>39</xdr:row>
      <xdr:rowOff>133349</xdr:rowOff>
    </xdr:to>
    <xdr:pic>
      <xdr:nvPicPr>
        <xdr:cNvPr id="15" name="Imagen 4">
          <a:extLst>
            <a:ext uri="{FF2B5EF4-FFF2-40B4-BE49-F238E27FC236}">
              <a16:creationId xmlns:a16="http://schemas.microsoft.com/office/drawing/2014/main" id="{90B5F875-CFA2-71AA-391C-B15F032709DC}"/>
            </a:ext>
            <a:ext uri="{147F2762-F138-4A5C-976F-8EAC2B608ADB}">
              <a16:predDERef xmlns:a16="http://schemas.microsoft.com/office/drawing/2014/main" pred="{46B07B4A-DBF7-FDBA-98FF-15D936E70987}"/>
            </a:ext>
          </a:extLst>
        </xdr:cNvPr>
        <xdr:cNvPicPr>
          <a:picLocks noChangeAspect="1"/>
        </xdr:cNvPicPr>
      </xdr:nvPicPr>
      <xdr:blipFill>
        <a:blip xmlns:r="http://schemas.openxmlformats.org/officeDocument/2006/relationships" r:embed="rId3"/>
        <a:stretch>
          <a:fillRect/>
        </a:stretch>
      </xdr:blipFill>
      <xdr:spPr>
        <a:xfrm>
          <a:off x="5391150" y="6115050"/>
          <a:ext cx="2867025" cy="2019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7</xdr:row>
      <xdr:rowOff>161925</xdr:rowOff>
    </xdr:from>
    <xdr:ext cx="5019675" cy="3114675"/>
    <xdr:pic>
      <xdr:nvPicPr>
        <xdr:cNvPr id="2" name="image8.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0" y="1962150"/>
          <a:ext cx="5019675" cy="3114675"/>
        </a:xfrm>
        <a:prstGeom prst="rect">
          <a:avLst/>
        </a:prstGeom>
        <a:noFill/>
      </xdr:spPr>
    </xdr:pic>
    <xdr:clientData fLocksWithSheet="0"/>
  </xdr:oneCellAnchor>
  <xdr:twoCellAnchor>
    <xdr:from>
      <xdr:col>0</xdr:col>
      <xdr:colOff>0</xdr:colOff>
      <xdr:row>37</xdr:row>
      <xdr:rowOff>180975</xdr:rowOff>
    </xdr:from>
    <xdr:to>
      <xdr:col>1</xdr:col>
      <xdr:colOff>1562100</xdr:colOff>
      <xdr:row>51</xdr:row>
      <xdr:rowOff>123825</xdr:rowOff>
    </xdr:to>
    <xdr:graphicFrame macro="">
      <xdr:nvGraphicFramePr>
        <xdr:cNvPr id="7" name="Gráfico 2">
          <a:extLst>
            <a:ext uri="{FF2B5EF4-FFF2-40B4-BE49-F238E27FC236}">
              <a16:creationId xmlns:a16="http://schemas.microsoft.com/office/drawing/2014/main" id="{79C8BAB7-4AB8-077A-2347-CCE38DD995AC}"/>
            </a:ext>
            <a:ext uri="{147F2762-F138-4A5C-976F-8EAC2B608ADB}">
              <a16:predDERef xmlns:a16="http://schemas.microsoft.com/office/drawing/2014/main" pre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F010-E4DF-400E-9BE3-1BC5F0B1A371}">
  <dimension ref="A1:C7"/>
  <sheetViews>
    <sheetView showGridLines="0" workbookViewId="0">
      <selection activeCell="B19" sqref="B19"/>
    </sheetView>
  </sheetViews>
  <sheetFormatPr baseColWidth="10" defaultColWidth="8.7265625" defaultRowHeight="12.5" x14ac:dyDescent="0.25"/>
  <cols>
    <col min="1" max="1" width="14.26953125" customWidth="1"/>
    <col min="2" max="2" width="31.453125" customWidth="1"/>
    <col min="3" max="3" width="9.453125" customWidth="1"/>
  </cols>
  <sheetData>
    <row r="1" spans="1:3" ht="26.25" customHeight="1" x14ac:dyDescent="0.3">
      <c r="A1" s="79" t="s">
        <v>0</v>
      </c>
      <c r="B1" s="68" t="s">
        <v>1</v>
      </c>
      <c r="C1" s="68"/>
    </row>
    <row r="2" spans="1:3" ht="21" customHeight="1" x14ac:dyDescent="0.3">
      <c r="A2" s="79" t="s">
        <v>2</v>
      </c>
      <c r="B2" s="68" t="s">
        <v>3</v>
      </c>
      <c r="C2" s="68"/>
    </row>
    <row r="3" spans="1:3" ht="23.25" customHeight="1" x14ac:dyDescent="0.3">
      <c r="A3" s="79" t="s">
        <v>4</v>
      </c>
      <c r="B3" s="129" t="s">
        <v>179</v>
      </c>
      <c r="C3" s="68"/>
    </row>
    <row r="4" spans="1:3" ht="15" customHeight="1" x14ac:dyDescent="0.3">
      <c r="A4" s="68"/>
      <c r="B4" s="79" t="s">
        <v>6</v>
      </c>
      <c r="C4" s="79" t="s">
        <v>5</v>
      </c>
    </row>
    <row r="5" spans="1:3" ht="15" customHeight="1" x14ac:dyDescent="0.25">
      <c r="A5" s="68"/>
      <c r="B5" s="129" t="s">
        <v>180</v>
      </c>
      <c r="C5" s="129">
        <v>1724083</v>
      </c>
    </row>
    <row r="6" spans="1:3" ht="15" customHeight="1" x14ac:dyDescent="0.25">
      <c r="A6" s="68"/>
      <c r="B6" s="129" t="s">
        <v>181</v>
      </c>
      <c r="C6" s="68">
        <v>1726924</v>
      </c>
    </row>
    <row r="7" spans="1:3" ht="15" customHeight="1" x14ac:dyDescent="0.25">
      <c r="A7" s="68"/>
      <c r="B7" s="129" t="s">
        <v>182</v>
      </c>
      <c r="C7" s="129">
        <v>1730680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0"/>
  <sheetViews>
    <sheetView tabSelected="1" topLeftCell="A19" zoomScale="70" zoomScaleNormal="70" workbookViewId="0">
      <selection activeCell="D23" sqref="D23"/>
    </sheetView>
  </sheetViews>
  <sheetFormatPr baseColWidth="10" defaultColWidth="12.54296875" defaultRowHeight="15.75" customHeight="1" x14ac:dyDescent="0.25"/>
  <cols>
    <col min="1" max="1" width="10.6328125" customWidth="1"/>
    <col min="2" max="2" width="16.36328125" customWidth="1"/>
    <col min="3" max="3" width="11.36328125" customWidth="1"/>
    <col min="4" max="4" width="10" customWidth="1"/>
    <col min="5" max="5" width="10.1796875" customWidth="1"/>
    <col min="6" max="6" width="9.26953125" customWidth="1"/>
    <col min="7" max="7" width="10.1796875" customWidth="1"/>
    <col min="9" max="9" width="8.453125" customWidth="1"/>
    <col min="10" max="10" width="9.54296875" customWidth="1"/>
    <col min="11" max="11" width="8.81640625" customWidth="1"/>
    <col min="12" max="12" width="9.7265625" customWidth="1"/>
    <col min="13" max="13" width="10.54296875" customWidth="1"/>
    <col min="14" max="14" width="10" customWidth="1"/>
    <col min="15" max="15" width="9.7265625" customWidth="1"/>
  </cols>
  <sheetData>
    <row r="1" spans="1:3" ht="15.75" customHeight="1" x14ac:dyDescent="0.3">
      <c r="A1" s="79" t="s">
        <v>0</v>
      </c>
      <c r="B1" s="68" t="s">
        <v>1</v>
      </c>
      <c r="C1" s="68"/>
    </row>
    <row r="2" spans="1:3" ht="15.75" customHeight="1" x14ac:dyDescent="0.3">
      <c r="A2" s="79" t="s">
        <v>2</v>
      </c>
      <c r="B2" s="68" t="s">
        <v>3</v>
      </c>
      <c r="C2" s="68"/>
    </row>
    <row r="3" spans="1:3" ht="15.75" customHeight="1" x14ac:dyDescent="0.3">
      <c r="A3" s="79" t="s">
        <v>4</v>
      </c>
      <c r="B3" s="129" t="s">
        <v>179</v>
      </c>
      <c r="C3" s="68"/>
    </row>
    <row r="4" spans="1:3" ht="15.75" customHeight="1" x14ac:dyDescent="0.3">
      <c r="A4" s="68"/>
      <c r="B4" s="79" t="s">
        <v>6</v>
      </c>
      <c r="C4" s="79" t="s">
        <v>5</v>
      </c>
    </row>
    <row r="5" spans="1:3" ht="15.75" customHeight="1" x14ac:dyDescent="0.25">
      <c r="A5" s="68"/>
      <c r="B5" s="129" t="s">
        <v>180</v>
      </c>
      <c r="C5" s="129">
        <v>1724083</v>
      </c>
    </row>
    <row r="6" spans="1:3" ht="15.75" customHeight="1" x14ac:dyDescent="0.25">
      <c r="A6" s="68"/>
      <c r="B6" s="129" t="s">
        <v>181</v>
      </c>
      <c r="C6" s="68">
        <v>1726924</v>
      </c>
    </row>
    <row r="7" spans="1:3" ht="15.75" customHeight="1" x14ac:dyDescent="0.25">
      <c r="A7" s="68"/>
      <c r="B7" s="129" t="s">
        <v>182</v>
      </c>
      <c r="C7" s="129">
        <v>1730680</v>
      </c>
    </row>
    <row r="18" spans="1:7" s="46" customFormat="1" ht="15.75" customHeight="1" x14ac:dyDescent="0.3">
      <c r="A18" s="143" t="s">
        <v>7</v>
      </c>
      <c r="B18" s="143"/>
      <c r="C18" s="143"/>
      <c r="D18" s="143"/>
      <c r="E18" s="143"/>
      <c r="F18" s="143"/>
      <c r="G18" s="143"/>
    </row>
    <row r="19" spans="1:7" s="45" customFormat="1" ht="39.75" customHeight="1" x14ac:dyDescent="0.3">
      <c r="A19" s="44" t="s">
        <v>9</v>
      </c>
      <c r="B19" s="44" t="s">
        <v>10</v>
      </c>
      <c r="C19" s="44" t="s">
        <v>11</v>
      </c>
      <c r="D19" s="44" t="s">
        <v>12</v>
      </c>
      <c r="E19" s="44" t="s">
        <v>13</v>
      </c>
      <c r="F19" s="44" t="s">
        <v>14</v>
      </c>
      <c r="G19" s="44" t="s">
        <v>15</v>
      </c>
    </row>
    <row r="20" spans="1:7" ht="12.5" x14ac:dyDescent="0.25">
      <c r="A20" s="1">
        <v>1</v>
      </c>
      <c r="B20" s="1">
        <v>10</v>
      </c>
      <c r="C20" s="1"/>
      <c r="D20" s="1"/>
      <c r="E20" s="1"/>
      <c r="F20" s="1"/>
      <c r="G20" s="1"/>
    </row>
    <row r="21" spans="1:7" ht="12.5" x14ac:dyDescent="0.25">
      <c r="A21" s="1">
        <v>2</v>
      </c>
      <c r="B21" s="1">
        <v>12</v>
      </c>
      <c r="C21" s="1"/>
      <c r="D21" s="1"/>
      <c r="E21" s="1"/>
      <c r="F21" s="1"/>
      <c r="G21" s="1"/>
    </row>
    <row r="22" spans="1:7" ht="12.5" x14ac:dyDescent="0.25">
      <c r="A22" s="1">
        <v>3</v>
      </c>
      <c r="B22" s="1">
        <v>3</v>
      </c>
      <c r="C22" s="1"/>
      <c r="D22" s="1"/>
      <c r="E22" s="1"/>
      <c r="F22" s="1"/>
      <c r="G22" s="1"/>
    </row>
    <row r="23" spans="1:7" ht="12.5" x14ac:dyDescent="0.25">
      <c r="A23" s="1">
        <v>4</v>
      </c>
      <c r="B23" s="1">
        <v>5</v>
      </c>
      <c r="C23" s="23">
        <f>AVERAGE(B20:B22)</f>
        <v>8.3333333333333339</v>
      </c>
      <c r="D23" s="23">
        <f>B23-C23</f>
        <v>-3.3333333333333339</v>
      </c>
      <c r="E23" s="23">
        <f>ABS(D23)</f>
        <v>3.3333333333333339</v>
      </c>
      <c r="F23" s="23">
        <f>POWER(D23,2)</f>
        <v>11.111111111111114</v>
      </c>
      <c r="G23" s="24">
        <f>E23/B23</f>
        <v>0.66666666666666674</v>
      </c>
    </row>
    <row r="24" spans="1:7" ht="12.5" x14ac:dyDescent="0.25">
      <c r="A24" s="1">
        <v>5</v>
      </c>
      <c r="B24" s="1">
        <v>7</v>
      </c>
      <c r="C24" s="23">
        <f>AVERAGE(B21:B23)</f>
        <v>6.666666666666667</v>
      </c>
      <c r="D24" s="23">
        <f t="shared" ref="D24:D25" si="0">B24-C24</f>
        <v>0.33333333333333304</v>
      </c>
      <c r="E24" s="23">
        <f t="shared" ref="E24:E25" si="1">ABS(D24)</f>
        <v>0.33333333333333304</v>
      </c>
      <c r="F24" s="23">
        <f t="shared" ref="F24:F25" si="2">POWER(D24,2)</f>
        <v>0.11111111111111091</v>
      </c>
      <c r="G24" s="24">
        <f t="shared" ref="G24:G25" si="3">E24/B24</f>
        <v>4.7619047619047575E-2</v>
      </c>
    </row>
    <row r="25" spans="1:7" ht="12.5" x14ac:dyDescent="0.25">
      <c r="A25" s="1">
        <v>6</v>
      </c>
      <c r="B25" s="1">
        <v>14</v>
      </c>
      <c r="C25" s="23">
        <f t="shared" ref="C25" si="4">AVERAGE(B22:B24)</f>
        <v>5</v>
      </c>
      <c r="D25" s="23">
        <f t="shared" si="0"/>
        <v>9</v>
      </c>
      <c r="E25" s="23">
        <f t="shared" si="1"/>
        <v>9</v>
      </c>
      <c r="F25" s="23">
        <f t="shared" si="2"/>
        <v>81</v>
      </c>
      <c r="G25" s="24">
        <f t="shared" si="3"/>
        <v>0.6428571428571429</v>
      </c>
    </row>
    <row r="27" spans="1:7" ht="15.75" customHeight="1" x14ac:dyDescent="0.3">
      <c r="A27" s="1">
        <v>7</v>
      </c>
      <c r="B27" s="27"/>
      <c r="C27" s="28">
        <f>AVERAGE(B23:B25)</f>
        <v>8.6666666666666661</v>
      </c>
      <c r="D27" s="25"/>
      <c r="E27" s="25"/>
      <c r="F27" s="25"/>
      <c r="G27" s="26"/>
    </row>
    <row r="28" spans="1:7" ht="15.75" customHeight="1" x14ac:dyDescent="0.3">
      <c r="D28" s="29" t="s">
        <v>16</v>
      </c>
      <c r="E28" s="29" t="s">
        <v>17</v>
      </c>
      <c r="F28" s="29" t="s">
        <v>18</v>
      </c>
    </row>
    <row r="29" spans="1:7" ht="15.75" customHeight="1" x14ac:dyDescent="0.3">
      <c r="D29" s="30">
        <f>AVERAGE(D23:D25)</f>
        <v>1.9999999999999998</v>
      </c>
      <c r="E29" s="30">
        <f t="shared" ref="E29:F29" si="5">AVERAGE(E23:E25)</f>
        <v>4.2222222222222223</v>
      </c>
      <c r="F29" s="30">
        <f t="shared" si="5"/>
        <v>30.740740740740744</v>
      </c>
    </row>
    <row r="31" spans="1:7" ht="15.75" customHeight="1" x14ac:dyDescent="0.3">
      <c r="A31" s="143" t="s">
        <v>8</v>
      </c>
      <c r="B31" s="143"/>
      <c r="C31" s="143"/>
      <c r="D31" s="143"/>
      <c r="E31" s="143"/>
      <c r="F31" s="143"/>
      <c r="G31" s="143"/>
    </row>
    <row r="32" spans="1:7" ht="15.75" customHeight="1" x14ac:dyDescent="0.3">
      <c r="A32" s="44" t="s">
        <v>9</v>
      </c>
      <c r="B32" s="44" t="s">
        <v>10</v>
      </c>
      <c r="C32" s="44" t="s">
        <v>11</v>
      </c>
      <c r="D32" s="44" t="s">
        <v>12</v>
      </c>
      <c r="E32" s="44" t="s">
        <v>13</v>
      </c>
      <c r="F32" s="44" t="s">
        <v>14</v>
      </c>
      <c r="G32" s="44" t="s">
        <v>15</v>
      </c>
    </row>
    <row r="33" spans="1:7" ht="15.75" customHeight="1" x14ac:dyDescent="0.25">
      <c r="A33" s="1">
        <v>1</v>
      </c>
      <c r="B33" s="1">
        <v>10</v>
      </c>
      <c r="C33" s="1"/>
      <c r="D33" s="1"/>
      <c r="E33" s="1"/>
      <c r="F33" s="1"/>
      <c r="G33" s="1"/>
    </row>
    <row r="34" spans="1:7" ht="15.75" customHeight="1" x14ac:dyDescent="0.25">
      <c r="A34" s="1">
        <v>2</v>
      </c>
      <c r="B34" s="1">
        <v>12</v>
      </c>
      <c r="C34" s="1"/>
      <c r="D34" s="1"/>
      <c r="E34" s="1"/>
      <c r="F34" s="1"/>
      <c r="G34" s="1"/>
    </row>
    <row r="35" spans="1:7" ht="15.75" customHeight="1" x14ac:dyDescent="0.25">
      <c r="A35" s="1">
        <v>3</v>
      </c>
      <c r="B35" s="1">
        <v>3</v>
      </c>
      <c r="C35" s="1">
        <f>AVERAGE(B33:B34)</f>
        <v>11</v>
      </c>
      <c r="D35" s="1">
        <f>B35-C35</f>
        <v>-8</v>
      </c>
      <c r="E35" s="23">
        <f>ABS(D35)</f>
        <v>8</v>
      </c>
      <c r="F35" s="23">
        <f>POWER(D35,2)</f>
        <v>64</v>
      </c>
      <c r="G35" s="24">
        <f>E35/B35</f>
        <v>2.6666666666666665</v>
      </c>
    </row>
    <row r="36" spans="1:7" ht="15.75" customHeight="1" x14ac:dyDescent="0.25">
      <c r="A36" s="1">
        <v>4</v>
      </c>
      <c r="B36" s="1">
        <v>5</v>
      </c>
      <c r="C36" s="1">
        <f t="shared" ref="C36:C38" si="6">AVERAGE(B34:B35)</f>
        <v>7.5</v>
      </c>
      <c r="D36" s="23">
        <f>B36-C36</f>
        <v>-2.5</v>
      </c>
      <c r="E36" s="23">
        <f>ABS(D36)</f>
        <v>2.5</v>
      </c>
      <c r="F36" s="23">
        <f>POWER(D36,2)</f>
        <v>6.25</v>
      </c>
      <c r="G36" s="24">
        <f>E36/B36</f>
        <v>0.5</v>
      </c>
    </row>
    <row r="37" spans="1:7" ht="15.75" customHeight="1" x14ac:dyDescent="0.25">
      <c r="A37" s="1">
        <v>5</v>
      </c>
      <c r="B37" s="1">
        <v>7</v>
      </c>
      <c r="C37" s="1">
        <f t="shared" si="6"/>
        <v>4</v>
      </c>
      <c r="D37" s="23">
        <f t="shared" ref="D37:D38" si="7">B37-C37</f>
        <v>3</v>
      </c>
      <c r="E37" s="23">
        <f t="shared" ref="E37:E38" si="8">ABS(D37)</f>
        <v>3</v>
      </c>
      <c r="F37" s="23">
        <f t="shared" ref="F37:F38" si="9">POWER(D37,2)</f>
        <v>9</v>
      </c>
      <c r="G37" s="24">
        <f t="shared" ref="G37:G38" si="10">E37/B37</f>
        <v>0.42857142857142855</v>
      </c>
    </row>
    <row r="38" spans="1:7" ht="15.75" customHeight="1" x14ac:dyDescent="0.25">
      <c r="A38" s="1">
        <v>6</v>
      </c>
      <c r="B38" s="1">
        <v>14</v>
      </c>
      <c r="C38" s="1">
        <f t="shared" si="6"/>
        <v>6</v>
      </c>
      <c r="D38" s="23">
        <f t="shared" si="7"/>
        <v>8</v>
      </c>
      <c r="E38" s="23">
        <f t="shared" si="8"/>
        <v>8</v>
      </c>
      <c r="F38" s="23">
        <f t="shared" si="9"/>
        <v>64</v>
      </c>
      <c r="G38" s="24">
        <f t="shared" si="10"/>
        <v>0.5714285714285714</v>
      </c>
    </row>
    <row r="39" spans="1:7" ht="15.75" customHeight="1" x14ac:dyDescent="0.3">
      <c r="D39" s="29" t="s">
        <v>16</v>
      </c>
      <c r="E39" s="29" t="s">
        <v>17</v>
      </c>
      <c r="F39" s="29" t="s">
        <v>18</v>
      </c>
    </row>
    <row r="40" spans="1:7" ht="15.75" customHeight="1" x14ac:dyDescent="0.3">
      <c r="D40" s="30">
        <f>AVERAGE(D35:D38)</f>
        <v>0.125</v>
      </c>
      <c r="E40" s="30">
        <f t="shared" ref="E40:F40" si="11">AVERAGE(E35:E38)</f>
        <v>5.375</v>
      </c>
      <c r="F40" s="30">
        <f t="shared" si="11"/>
        <v>35.8125</v>
      </c>
    </row>
  </sheetData>
  <mergeCells count="2">
    <mergeCell ref="A18:G18"/>
    <mergeCell ref="A31:G31"/>
  </mergeCells>
  <pageMargins left="0" right="0" top="0" bottom="0"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89"/>
  <sheetViews>
    <sheetView topLeftCell="A64" zoomScale="60" zoomScaleNormal="60" workbookViewId="0">
      <selection activeCell="E4" sqref="E4"/>
    </sheetView>
  </sheetViews>
  <sheetFormatPr baseColWidth="10" defaultColWidth="12.54296875" defaultRowHeight="15.75" customHeight="1" x14ac:dyDescent="0.25"/>
  <cols>
    <col min="2" max="2" width="17.54296875" customWidth="1"/>
    <col min="3" max="3" width="18.54296875" customWidth="1"/>
    <col min="8" max="12" width="12.54296875" bestFit="1" customWidth="1"/>
  </cols>
  <sheetData>
    <row r="1" spans="1:3" ht="30.5" customHeight="1" x14ac:dyDescent="0.3">
      <c r="A1" s="130" t="s">
        <v>0</v>
      </c>
      <c r="B1" s="131"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34" spans="1:7" ht="15.75" customHeight="1" x14ac:dyDescent="0.3">
      <c r="A34" s="54" t="s">
        <v>173</v>
      </c>
    </row>
    <row r="35" spans="1:7" s="46" customFormat="1" ht="15.75" customHeight="1" x14ac:dyDescent="0.3">
      <c r="A35" s="51" t="s">
        <v>9</v>
      </c>
      <c r="B35" s="51" t="s">
        <v>19</v>
      </c>
      <c r="C35" s="51" t="s">
        <v>171</v>
      </c>
      <c r="D35" s="51" t="s">
        <v>12</v>
      </c>
      <c r="E35" s="51" t="s">
        <v>13</v>
      </c>
      <c r="F35" s="51" t="s">
        <v>14</v>
      </c>
      <c r="G35" s="51" t="s">
        <v>15</v>
      </c>
    </row>
    <row r="36" spans="1:7" ht="15.75" customHeight="1" x14ac:dyDescent="0.25">
      <c r="A36" s="3">
        <v>1</v>
      </c>
      <c r="B36" s="3">
        <v>14</v>
      </c>
      <c r="C36" s="12"/>
      <c r="D36" s="12"/>
      <c r="E36" s="12"/>
      <c r="F36" s="12"/>
      <c r="G36" s="12"/>
    </row>
    <row r="37" spans="1:7" ht="15.75" customHeight="1" x14ac:dyDescent="0.25">
      <c r="A37" s="3">
        <v>2</v>
      </c>
      <c r="B37" s="3">
        <v>17</v>
      </c>
      <c r="C37" s="12"/>
      <c r="D37" s="12"/>
      <c r="E37" s="12"/>
      <c r="F37" s="12"/>
      <c r="G37" s="12"/>
    </row>
    <row r="38" spans="1:7" ht="15.75" customHeight="1" x14ac:dyDescent="0.25">
      <c r="A38" s="3">
        <v>3</v>
      </c>
      <c r="B38" s="3">
        <v>15</v>
      </c>
      <c r="C38" s="12"/>
      <c r="D38" s="12"/>
      <c r="E38" s="12"/>
      <c r="F38" s="12"/>
      <c r="G38" s="12"/>
    </row>
    <row r="39" spans="1:7" ht="15.75" customHeight="1" x14ac:dyDescent="0.25">
      <c r="A39" s="3">
        <v>4</v>
      </c>
      <c r="B39" s="3">
        <v>19</v>
      </c>
      <c r="C39" s="12"/>
      <c r="D39" s="12"/>
      <c r="E39" s="12"/>
      <c r="F39" s="12"/>
      <c r="G39" s="12"/>
    </row>
    <row r="40" spans="1:7" ht="15.75" customHeight="1" x14ac:dyDescent="0.25">
      <c r="A40" s="3">
        <v>5</v>
      </c>
      <c r="B40" s="3">
        <v>14</v>
      </c>
      <c r="C40" s="12">
        <f>+AVERAGE(B36:B39)</f>
        <v>16.25</v>
      </c>
      <c r="D40" s="12">
        <f t="shared" ref="D40:D47" si="0">+B40-C39</f>
        <v>14</v>
      </c>
      <c r="E40" s="12">
        <f>+ABS(D40)</f>
        <v>14</v>
      </c>
      <c r="F40" s="12">
        <f>+POWER(E40,2)</f>
        <v>196</v>
      </c>
      <c r="G40" s="17">
        <f t="shared" ref="G40:G47" si="1">+E40/B40</f>
        <v>1</v>
      </c>
    </row>
    <row r="41" spans="1:7" ht="15.75" customHeight="1" x14ac:dyDescent="0.25">
      <c r="A41" s="3">
        <v>6</v>
      </c>
      <c r="B41" s="3">
        <v>12</v>
      </c>
      <c r="C41" s="12">
        <f t="shared" ref="C41:C45" si="2">+AVERAGE(B37:B40)</f>
        <v>16.25</v>
      </c>
      <c r="D41" s="12">
        <f t="shared" si="0"/>
        <v>-4.25</v>
      </c>
      <c r="E41" s="12">
        <f t="shared" ref="E41:E47" si="3">+ABS(D41)</f>
        <v>4.25</v>
      </c>
      <c r="F41" s="12">
        <f t="shared" ref="F41:F47" si="4">+POWER(E41,2)</f>
        <v>18.0625</v>
      </c>
      <c r="G41" s="17">
        <f t="shared" si="1"/>
        <v>0.35416666666666669</v>
      </c>
    </row>
    <row r="42" spans="1:7" ht="15.75" customHeight="1" x14ac:dyDescent="0.25">
      <c r="A42" s="3">
        <v>7</v>
      </c>
      <c r="B42" s="3">
        <v>18</v>
      </c>
      <c r="C42" s="12">
        <f t="shared" si="2"/>
        <v>15</v>
      </c>
      <c r="D42" s="12">
        <f t="shared" si="0"/>
        <v>1.75</v>
      </c>
      <c r="E42" s="12">
        <f t="shared" si="3"/>
        <v>1.75</v>
      </c>
      <c r="F42" s="12">
        <f t="shared" si="4"/>
        <v>3.0625</v>
      </c>
      <c r="G42" s="17">
        <f t="shared" si="1"/>
        <v>9.7222222222222224E-2</v>
      </c>
    </row>
    <row r="43" spans="1:7" ht="15.75" customHeight="1" x14ac:dyDescent="0.25">
      <c r="A43" s="3">
        <v>8</v>
      </c>
      <c r="B43" s="3">
        <v>14</v>
      </c>
      <c r="C43" s="12">
        <f t="shared" si="2"/>
        <v>15.75</v>
      </c>
      <c r="D43" s="12">
        <f t="shared" si="0"/>
        <v>-1</v>
      </c>
      <c r="E43" s="12">
        <f t="shared" si="3"/>
        <v>1</v>
      </c>
      <c r="F43" s="12">
        <f t="shared" si="4"/>
        <v>1</v>
      </c>
      <c r="G43" s="17">
        <f t="shared" si="1"/>
        <v>7.1428571428571425E-2</v>
      </c>
    </row>
    <row r="44" spans="1:7" ht="15.75" customHeight="1" x14ac:dyDescent="0.25">
      <c r="A44" s="3">
        <v>9</v>
      </c>
      <c r="B44" s="3">
        <v>19</v>
      </c>
      <c r="C44" s="12">
        <f t="shared" si="2"/>
        <v>14.5</v>
      </c>
      <c r="D44" s="12">
        <f t="shared" si="0"/>
        <v>3.25</v>
      </c>
      <c r="E44" s="12">
        <f t="shared" si="3"/>
        <v>3.25</v>
      </c>
      <c r="F44" s="12">
        <f t="shared" si="4"/>
        <v>10.5625</v>
      </c>
      <c r="G44" s="17">
        <f t="shared" si="1"/>
        <v>0.17105263157894737</v>
      </c>
    </row>
    <row r="45" spans="1:7" ht="15.75" customHeight="1" x14ac:dyDescent="0.25">
      <c r="A45" s="3">
        <v>10</v>
      </c>
      <c r="B45" s="3">
        <v>11</v>
      </c>
      <c r="C45" s="12">
        <f t="shared" si="2"/>
        <v>15.75</v>
      </c>
      <c r="D45" s="12">
        <f t="shared" si="0"/>
        <v>-3.5</v>
      </c>
      <c r="E45" s="12">
        <f t="shared" si="3"/>
        <v>3.5</v>
      </c>
      <c r="F45" s="12">
        <f t="shared" si="4"/>
        <v>12.25</v>
      </c>
      <c r="G45" s="17">
        <f t="shared" si="1"/>
        <v>0.31818181818181818</v>
      </c>
    </row>
    <row r="46" spans="1:7" ht="15.75" customHeight="1" x14ac:dyDescent="0.25">
      <c r="A46" s="3">
        <v>11</v>
      </c>
      <c r="B46" s="3">
        <v>15</v>
      </c>
      <c r="C46" s="12">
        <f>+AVERAGE(B42:B45)</f>
        <v>15.5</v>
      </c>
      <c r="D46" s="12">
        <f t="shared" si="0"/>
        <v>-0.75</v>
      </c>
      <c r="E46" s="12">
        <f t="shared" si="3"/>
        <v>0.75</v>
      </c>
      <c r="F46" s="12">
        <f t="shared" si="4"/>
        <v>0.5625</v>
      </c>
      <c r="G46" s="17">
        <f t="shared" si="1"/>
        <v>0.05</v>
      </c>
    </row>
    <row r="47" spans="1:7" ht="15.75" customHeight="1" x14ac:dyDescent="0.25">
      <c r="A47" s="3">
        <v>12</v>
      </c>
      <c r="B47" s="3">
        <v>21</v>
      </c>
      <c r="C47" s="12">
        <f>+AVERAGE(B43:B46)</f>
        <v>14.75</v>
      </c>
      <c r="D47" s="12">
        <f t="shared" si="0"/>
        <v>5.5</v>
      </c>
      <c r="E47" s="19">
        <f t="shared" si="3"/>
        <v>5.5</v>
      </c>
      <c r="F47" s="19">
        <f t="shared" si="4"/>
        <v>30.25</v>
      </c>
      <c r="G47" s="34">
        <f t="shared" si="1"/>
        <v>0.26190476190476192</v>
      </c>
    </row>
    <row r="48" spans="1:7" ht="15.75" customHeight="1" x14ac:dyDescent="0.3">
      <c r="C48" s="31">
        <f>+AVERAGE(B44:B47)</f>
        <v>16.5</v>
      </c>
      <c r="E48" s="50" t="s">
        <v>16</v>
      </c>
      <c r="F48" s="50" t="s">
        <v>17</v>
      </c>
      <c r="G48" s="50" t="s">
        <v>18</v>
      </c>
    </row>
    <row r="49" spans="1:7" ht="15.75" customHeight="1" x14ac:dyDescent="0.25">
      <c r="E49" s="4">
        <f>+AVERAGE(E40:E47)</f>
        <v>4.25</v>
      </c>
      <c r="F49" s="10">
        <f>+AVERAGE(F40:F47)</f>
        <v>33.96875</v>
      </c>
      <c r="G49" s="6">
        <f>+AVERAGE(G40:G47)</f>
        <v>0.29049458399787348</v>
      </c>
    </row>
    <row r="52" spans="1:7" ht="15.75" customHeight="1" x14ac:dyDescent="0.3">
      <c r="A52" s="50" t="s">
        <v>20</v>
      </c>
      <c r="B52" s="48">
        <f>+C47</f>
        <v>14.75</v>
      </c>
    </row>
    <row r="54" spans="1:7" ht="15.75" customHeight="1" x14ac:dyDescent="0.3">
      <c r="A54" s="50" t="s">
        <v>21</v>
      </c>
      <c r="B54" s="50" t="str">
        <f t="shared" ref="B54:D55" si="5">+E48</f>
        <v>MAD</v>
      </c>
      <c r="C54" s="50" t="str">
        <f t="shared" si="5"/>
        <v>MSE</v>
      </c>
      <c r="D54" s="50" t="str">
        <f t="shared" si="5"/>
        <v>MAPE</v>
      </c>
    </row>
    <row r="55" spans="1:7" ht="15.75" customHeight="1" thickBot="1" x14ac:dyDescent="0.3">
      <c r="B55" s="4">
        <f t="shared" si="5"/>
        <v>4.25</v>
      </c>
      <c r="C55" s="5">
        <f t="shared" si="5"/>
        <v>33.96875</v>
      </c>
      <c r="D55" s="6">
        <f t="shared" si="5"/>
        <v>0.29049458399787348</v>
      </c>
    </row>
    <row r="58" spans="1:7" ht="15.75" customHeight="1" x14ac:dyDescent="0.3">
      <c r="A58" s="50" t="s">
        <v>22</v>
      </c>
      <c r="B58" s="49"/>
    </row>
    <row r="68" spans="1:7" ht="15.75" customHeight="1" thickBot="1" x14ac:dyDescent="0.35">
      <c r="A68" s="54" t="s">
        <v>174</v>
      </c>
    </row>
    <row r="69" spans="1:7" s="46" customFormat="1" ht="15.75" customHeight="1" x14ac:dyDescent="0.3">
      <c r="A69" s="52" t="s">
        <v>9</v>
      </c>
      <c r="B69" s="53" t="s">
        <v>19</v>
      </c>
      <c r="C69" s="51" t="s">
        <v>172</v>
      </c>
      <c r="D69" s="51" t="s">
        <v>12</v>
      </c>
      <c r="E69" s="51" t="s">
        <v>13</v>
      </c>
      <c r="F69" s="51" t="s">
        <v>14</v>
      </c>
      <c r="G69" s="51" t="s">
        <v>15</v>
      </c>
    </row>
    <row r="70" spans="1:7" ht="15.75" customHeight="1" x14ac:dyDescent="0.25">
      <c r="A70" s="2">
        <v>1</v>
      </c>
      <c r="B70" s="32">
        <v>14</v>
      </c>
      <c r="C70" s="12"/>
      <c r="D70" s="12"/>
      <c r="E70" s="12"/>
      <c r="F70" s="12"/>
      <c r="G70" s="12"/>
    </row>
    <row r="71" spans="1:7" ht="15.75" customHeight="1" x14ac:dyDescent="0.25">
      <c r="A71" s="3">
        <v>2</v>
      </c>
      <c r="B71" s="7">
        <v>17</v>
      </c>
      <c r="C71" s="12"/>
      <c r="D71" s="12"/>
      <c r="E71" s="12"/>
      <c r="F71" s="12"/>
      <c r="G71" s="12"/>
    </row>
    <row r="72" spans="1:7" ht="15.75" customHeight="1" x14ac:dyDescent="0.25">
      <c r="A72" s="3">
        <v>3</v>
      </c>
      <c r="B72" s="7">
        <v>15</v>
      </c>
      <c r="C72" s="12"/>
      <c r="D72" s="12"/>
      <c r="E72" s="12"/>
      <c r="F72" s="12"/>
      <c r="G72" s="12"/>
    </row>
    <row r="73" spans="1:7" ht="15.75" customHeight="1" x14ac:dyDescent="0.25">
      <c r="A73" s="3">
        <v>4</v>
      </c>
      <c r="B73" s="7">
        <v>19</v>
      </c>
      <c r="C73" s="12"/>
      <c r="D73" s="12"/>
      <c r="E73" s="12"/>
      <c r="F73" s="12"/>
      <c r="G73" s="17"/>
    </row>
    <row r="74" spans="1:7" ht="15.75" customHeight="1" x14ac:dyDescent="0.25">
      <c r="A74" s="3">
        <v>5</v>
      </c>
      <c r="B74" s="7">
        <v>14</v>
      </c>
      <c r="C74" s="12"/>
      <c r="D74" s="12"/>
      <c r="E74" s="12"/>
      <c r="F74" s="12"/>
      <c r="G74" s="12"/>
    </row>
    <row r="75" spans="1:7" ht="15.75" customHeight="1" x14ac:dyDescent="0.25">
      <c r="A75" s="3">
        <v>6</v>
      </c>
      <c r="B75" s="7">
        <v>12</v>
      </c>
      <c r="C75" s="12">
        <f t="shared" ref="C75:C82" si="6">+AVERAGE(B70:B74)</f>
        <v>15.8</v>
      </c>
      <c r="D75" s="12">
        <f t="shared" ref="D75:D81" si="7">+B75-C75</f>
        <v>-3.8000000000000007</v>
      </c>
      <c r="E75" s="12">
        <f t="shared" ref="E75:E81" si="8">+ABS(D75)</f>
        <v>3.8000000000000007</v>
      </c>
      <c r="F75" s="12">
        <f t="shared" ref="F75:F81" si="9">+POWER(E75,2)</f>
        <v>14.440000000000005</v>
      </c>
      <c r="G75" s="17">
        <f t="shared" ref="G75:G81" si="10">+E75/B75</f>
        <v>0.31666666666666671</v>
      </c>
    </row>
    <row r="76" spans="1:7" ht="15.75" customHeight="1" x14ac:dyDescent="0.25">
      <c r="A76" s="3">
        <v>7</v>
      </c>
      <c r="B76" s="7">
        <v>18</v>
      </c>
      <c r="C76" s="12">
        <f t="shared" si="6"/>
        <v>15.4</v>
      </c>
      <c r="D76" s="12">
        <f t="shared" si="7"/>
        <v>2.5999999999999996</v>
      </c>
      <c r="E76" s="12">
        <f t="shared" si="8"/>
        <v>2.5999999999999996</v>
      </c>
      <c r="F76" s="12">
        <f t="shared" si="9"/>
        <v>6.759999999999998</v>
      </c>
      <c r="G76" s="17">
        <f t="shared" si="10"/>
        <v>0.14444444444444443</v>
      </c>
    </row>
    <row r="77" spans="1:7" ht="15.75" customHeight="1" x14ac:dyDescent="0.25">
      <c r="A77" s="3">
        <v>8</v>
      </c>
      <c r="B77" s="7">
        <v>14</v>
      </c>
      <c r="C77" s="12">
        <f t="shared" si="6"/>
        <v>15.6</v>
      </c>
      <c r="D77" s="12">
        <f t="shared" si="7"/>
        <v>-1.5999999999999996</v>
      </c>
      <c r="E77" s="12">
        <f t="shared" si="8"/>
        <v>1.5999999999999996</v>
      </c>
      <c r="F77" s="12">
        <f t="shared" si="9"/>
        <v>2.5599999999999987</v>
      </c>
      <c r="G77" s="17">
        <f t="shared" si="10"/>
        <v>0.11428571428571425</v>
      </c>
    </row>
    <row r="78" spans="1:7" ht="15.75" customHeight="1" x14ac:dyDescent="0.25">
      <c r="A78" s="3">
        <v>9</v>
      </c>
      <c r="B78" s="7">
        <v>19</v>
      </c>
      <c r="C78" s="12">
        <f t="shared" si="6"/>
        <v>15.4</v>
      </c>
      <c r="D78" s="12">
        <f t="shared" si="7"/>
        <v>3.5999999999999996</v>
      </c>
      <c r="E78" s="12">
        <f t="shared" si="8"/>
        <v>3.5999999999999996</v>
      </c>
      <c r="F78" s="12">
        <f t="shared" si="9"/>
        <v>12.959999999999997</v>
      </c>
      <c r="G78" s="17">
        <f t="shared" si="10"/>
        <v>0.18947368421052629</v>
      </c>
    </row>
    <row r="79" spans="1:7" ht="15.75" customHeight="1" x14ac:dyDescent="0.25">
      <c r="A79" s="3">
        <v>10</v>
      </c>
      <c r="B79" s="7">
        <v>11</v>
      </c>
      <c r="C79" s="12">
        <f t="shared" si="6"/>
        <v>15.4</v>
      </c>
      <c r="D79" s="12">
        <f t="shared" si="7"/>
        <v>-4.4000000000000004</v>
      </c>
      <c r="E79" s="12">
        <f t="shared" si="8"/>
        <v>4.4000000000000004</v>
      </c>
      <c r="F79" s="12">
        <f t="shared" si="9"/>
        <v>19.360000000000003</v>
      </c>
      <c r="G79" s="17">
        <f t="shared" si="10"/>
        <v>0.4</v>
      </c>
    </row>
    <row r="80" spans="1:7" ht="15.75" customHeight="1" x14ac:dyDescent="0.25">
      <c r="A80" s="3">
        <v>11</v>
      </c>
      <c r="B80" s="7">
        <v>15</v>
      </c>
      <c r="C80" s="12">
        <f t="shared" si="6"/>
        <v>14.8</v>
      </c>
      <c r="D80" s="12">
        <f t="shared" si="7"/>
        <v>0.19999999999999929</v>
      </c>
      <c r="E80" s="12">
        <f t="shared" si="8"/>
        <v>0.19999999999999929</v>
      </c>
      <c r="F80" s="12">
        <f t="shared" si="9"/>
        <v>3.9999999999999716E-2</v>
      </c>
      <c r="G80" s="17">
        <f t="shared" si="10"/>
        <v>1.3333333333333286E-2</v>
      </c>
    </row>
    <row r="81" spans="1:7" ht="15.75" customHeight="1" x14ac:dyDescent="0.25">
      <c r="A81" s="3">
        <v>12</v>
      </c>
      <c r="B81" s="7">
        <v>21</v>
      </c>
      <c r="C81" s="12">
        <f t="shared" si="6"/>
        <v>15.4</v>
      </c>
      <c r="D81" s="12">
        <f t="shared" si="7"/>
        <v>5.6</v>
      </c>
      <c r="E81" s="12">
        <f t="shared" si="8"/>
        <v>5.6</v>
      </c>
      <c r="F81" s="12">
        <f t="shared" si="9"/>
        <v>31.359999999999996</v>
      </c>
      <c r="G81" s="17">
        <f t="shared" si="10"/>
        <v>0.26666666666666666</v>
      </c>
    </row>
    <row r="82" spans="1:7" ht="15.75" customHeight="1" x14ac:dyDescent="0.25">
      <c r="C82" s="31">
        <f t="shared" si="6"/>
        <v>16</v>
      </c>
      <c r="E82" s="21" t="s">
        <v>16</v>
      </c>
      <c r="F82" t="s">
        <v>17</v>
      </c>
      <c r="G82" s="18" t="s">
        <v>18</v>
      </c>
    </row>
    <row r="83" spans="1:7" ht="15.75" customHeight="1" x14ac:dyDescent="0.25">
      <c r="E83" s="4">
        <f>+AVERAGE(E75:E81)</f>
        <v>3.1142857142857139</v>
      </c>
      <c r="F83" s="9">
        <f>+AVERAGE(F75:F81)</f>
        <v>12.497142857142856</v>
      </c>
      <c r="G83" s="8">
        <f>+AVERAGE(G75:G81)</f>
        <v>0.2064100728010502</v>
      </c>
    </row>
    <row r="86" spans="1:7" ht="15.75" customHeight="1" x14ac:dyDescent="0.3">
      <c r="B86" s="50" t="s">
        <v>20</v>
      </c>
      <c r="C86" s="48">
        <f>+C82</f>
        <v>16</v>
      </c>
    </row>
    <row r="88" spans="1:7" ht="15.75" customHeight="1" x14ac:dyDescent="0.3">
      <c r="B88" s="50" t="s">
        <v>21</v>
      </c>
      <c r="C88" s="50" t="str">
        <f>+E82</f>
        <v>MAD</v>
      </c>
      <c r="D88" s="50" t="str">
        <f t="shared" ref="D88:E88" si="11">+F82</f>
        <v>MSE</v>
      </c>
      <c r="E88" s="50" t="str">
        <f t="shared" si="11"/>
        <v>MAPE</v>
      </c>
    </row>
    <row r="89" spans="1:7" ht="15.75" customHeight="1" thickBot="1" x14ac:dyDescent="0.3">
      <c r="C89" s="4">
        <f>+E83</f>
        <v>3.1142857142857139</v>
      </c>
      <c r="D89" s="5">
        <f t="shared" ref="D89:E89" si="12">+F83</f>
        <v>12.497142857142856</v>
      </c>
      <c r="E89" s="6">
        <f t="shared" si="12"/>
        <v>0.2064100728010502</v>
      </c>
    </row>
  </sheetData>
  <pageMargins left="0.7" right="0.7" top="0.75" bottom="0.75" header="0.3" footer="0.3"/>
  <pageSetup paperSize="9" scale="9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2"/>
  <sheetViews>
    <sheetView zoomScale="80" zoomScaleNormal="80" workbookViewId="0">
      <selection activeCell="F39" sqref="F39"/>
    </sheetView>
  </sheetViews>
  <sheetFormatPr baseColWidth="10" defaultColWidth="12.54296875" defaultRowHeight="15.75" customHeight="1" x14ac:dyDescent="0.25"/>
  <cols>
    <col min="1" max="1" width="9.81640625" bestFit="1" customWidth="1"/>
    <col min="2" max="2" width="21.453125" bestFit="1" customWidth="1"/>
    <col min="3" max="3" width="14.81640625" customWidth="1"/>
    <col min="5" max="5" width="20.26953125" customWidth="1"/>
  </cols>
  <sheetData>
    <row r="1" spans="1:3" ht="15.75" customHeight="1" x14ac:dyDescent="0.3">
      <c r="A1" s="79" t="s">
        <v>0</v>
      </c>
      <c r="B1" s="131"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21" spans="1:5" ht="29.25" customHeight="1" x14ac:dyDescent="0.3">
      <c r="A21" s="55" t="s">
        <v>23</v>
      </c>
      <c r="B21" s="56" t="s">
        <v>24</v>
      </c>
      <c r="D21" s="55" t="s">
        <v>25</v>
      </c>
      <c r="E21" s="55" t="s">
        <v>26</v>
      </c>
    </row>
    <row r="22" spans="1:5" ht="15.75" customHeight="1" x14ac:dyDescent="0.25">
      <c r="A22" s="57">
        <v>1</v>
      </c>
      <c r="B22" s="58">
        <v>66.900000000000006</v>
      </c>
      <c r="D22" s="3">
        <f>INTERCEPT(B22:B30,A22:A30)</f>
        <v>65.024999999999991</v>
      </c>
      <c r="E22" s="3">
        <f>SLOPE(B22:B30,A22:A30)</f>
        <v>4.7350000000000003</v>
      </c>
    </row>
    <row r="23" spans="1:5" ht="15.75" customHeight="1" x14ac:dyDescent="0.25">
      <c r="A23" s="57">
        <v>2</v>
      </c>
      <c r="B23" s="58">
        <v>74.8</v>
      </c>
    </row>
    <row r="24" spans="1:5" ht="15.75" customHeight="1" x14ac:dyDescent="0.25">
      <c r="A24" s="57">
        <v>3</v>
      </c>
      <c r="B24" s="58">
        <v>81.2</v>
      </c>
      <c r="D24" t="s">
        <v>27</v>
      </c>
    </row>
    <row r="25" spans="1:5" ht="15.75" customHeight="1" x14ac:dyDescent="0.25">
      <c r="A25" s="57">
        <v>4</v>
      </c>
      <c r="B25" s="58">
        <v>85</v>
      </c>
    </row>
    <row r="26" spans="1:5" ht="15.75" customHeight="1" x14ac:dyDescent="0.25">
      <c r="A26" s="57">
        <v>5</v>
      </c>
      <c r="B26" s="58">
        <v>89.2</v>
      </c>
    </row>
    <row r="27" spans="1:5" ht="15.75" customHeight="1" x14ac:dyDescent="0.25">
      <c r="A27" s="57">
        <v>6</v>
      </c>
      <c r="B27" s="58">
        <v>94.6</v>
      </c>
    </row>
    <row r="28" spans="1:5" ht="15.75" customHeight="1" x14ac:dyDescent="0.25">
      <c r="A28" s="57">
        <v>7</v>
      </c>
      <c r="B28" s="3">
        <v>97.8</v>
      </c>
    </row>
    <row r="29" spans="1:5" ht="15.75" customHeight="1" x14ac:dyDescent="0.25">
      <c r="A29" s="57">
        <v>8</v>
      </c>
      <c r="B29" s="3">
        <v>101.9</v>
      </c>
    </row>
    <row r="30" spans="1:5" ht="15.75" customHeight="1" x14ac:dyDescent="0.25">
      <c r="A30" s="59">
        <v>9</v>
      </c>
      <c r="B30" s="60">
        <v>106.9</v>
      </c>
    </row>
    <row r="31" spans="1:5" ht="15.75" customHeight="1" x14ac:dyDescent="0.3">
      <c r="A31" s="29">
        <v>10</v>
      </c>
      <c r="B31" s="29">
        <f>E22*A31+D22</f>
        <v>112.375</v>
      </c>
    </row>
    <row r="32" spans="1:5" ht="15.75" customHeight="1" x14ac:dyDescent="0.3">
      <c r="A32" s="29">
        <v>11</v>
      </c>
      <c r="B32" s="29">
        <f>E22*A32+D22</f>
        <v>117.10999999999999</v>
      </c>
    </row>
  </sheetData>
  <pageMargins left="0" right="0" top="0" bottom="0"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9"/>
  <sheetViews>
    <sheetView topLeftCell="A31" zoomScale="50" zoomScaleNormal="50" workbookViewId="0">
      <selection sqref="A1:C8"/>
    </sheetView>
  </sheetViews>
  <sheetFormatPr baseColWidth="10" defaultColWidth="12.54296875" defaultRowHeight="15.75" customHeight="1" x14ac:dyDescent="0.25"/>
  <cols>
    <col min="2" max="2" width="19.453125" customWidth="1"/>
  </cols>
  <sheetData>
    <row r="1" spans="1:3" ht="15.75" customHeight="1" x14ac:dyDescent="0.3">
      <c r="A1" s="79" t="s">
        <v>0</v>
      </c>
      <c r="B1" s="131"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5" customHeight="1" x14ac:dyDescent="0.25">
      <c r="A7" s="131"/>
      <c r="B7" s="132" t="s">
        <v>182</v>
      </c>
      <c r="C7" s="132">
        <v>1730680</v>
      </c>
    </row>
    <row r="22" spans="1:2" ht="15.75" customHeight="1" x14ac:dyDescent="0.3">
      <c r="A22" s="61" t="s">
        <v>23</v>
      </c>
      <c r="B22" s="61" t="s">
        <v>19</v>
      </c>
    </row>
    <row r="23" spans="1:2" ht="15.75" customHeight="1" x14ac:dyDescent="0.25">
      <c r="A23" s="3">
        <v>1</v>
      </c>
      <c r="B23" s="3">
        <v>33</v>
      </c>
    </row>
    <row r="24" spans="1:2" ht="15.75" customHeight="1" x14ac:dyDescent="0.25">
      <c r="A24" s="3">
        <v>2</v>
      </c>
      <c r="B24" s="3">
        <v>58</v>
      </c>
    </row>
    <row r="25" spans="1:2" ht="15.75" customHeight="1" x14ac:dyDescent="0.25">
      <c r="A25" s="3">
        <v>3</v>
      </c>
      <c r="B25" s="3">
        <v>83</v>
      </c>
    </row>
    <row r="26" spans="1:2" ht="15.75" customHeight="1" x14ac:dyDescent="0.25">
      <c r="A26" s="3">
        <v>4</v>
      </c>
      <c r="B26" s="3">
        <v>85</v>
      </c>
    </row>
    <row r="27" spans="1:2" ht="15.75" customHeight="1" x14ac:dyDescent="0.25">
      <c r="A27" s="3">
        <v>5</v>
      </c>
      <c r="B27" s="3">
        <v>104</v>
      </c>
    </row>
    <row r="28" spans="1:2" ht="15.75" customHeight="1" x14ac:dyDescent="0.25">
      <c r="A28" s="3">
        <v>6</v>
      </c>
      <c r="B28" s="3">
        <v>105</v>
      </c>
    </row>
    <row r="29" spans="1:2" ht="15.75" customHeight="1" x14ac:dyDescent="0.25">
      <c r="A29" s="3">
        <v>7</v>
      </c>
      <c r="B29" s="3">
        <v>128</v>
      </c>
    </row>
    <row r="31" spans="1:2" ht="15.75" customHeight="1" x14ac:dyDescent="0.25">
      <c r="B31" t="s">
        <v>20</v>
      </c>
    </row>
    <row r="48" spans="2:3" ht="15.75" customHeight="1" x14ac:dyDescent="0.25">
      <c r="B48" s="48" t="s">
        <v>21</v>
      </c>
      <c r="C48" s="48" t="s">
        <v>28</v>
      </c>
    </row>
    <row r="49" spans="2:3" ht="15.75" customHeight="1" x14ac:dyDescent="0.25">
      <c r="B49" s="48" t="s">
        <v>22</v>
      </c>
      <c r="C49" s="48">
        <f>14.286*8+28</f>
        <v>142.28800000000001</v>
      </c>
    </row>
  </sheetData>
  <pageMargins left="0" right="0" top="0" bottom="0" header="0" footer="0"/>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33"/>
  <sheetViews>
    <sheetView zoomScale="70" zoomScaleNormal="70" workbookViewId="0">
      <selection activeCell="H143" sqref="H143"/>
    </sheetView>
  </sheetViews>
  <sheetFormatPr baseColWidth="10" defaultColWidth="12.54296875" defaultRowHeight="15.75" customHeight="1" x14ac:dyDescent="0.25"/>
  <cols>
    <col min="1" max="1" width="9.36328125" customWidth="1"/>
    <col min="2" max="2" width="17.54296875" customWidth="1"/>
    <col min="3" max="3" width="13.26953125" customWidth="1"/>
    <col min="4" max="4" width="13.1796875" customWidth="1"/>
    <col min="5" max="5" width="14" customWidth="1"/>
    <col min="6" max="6" width="14.453125" customWidth="1"/>
    <col min="7" max="7" width="14.08984375" customWidth="1"/>
    <col min="8" max="8" width="9.1796875" customWidth="1"/>
    <col min="9" max="9" width="15.1796875" customWidth="1"/>
  </cols>
  <sheetData>
    <row r="1" spans="1:3" ht="15.75" customHeight="1" x14ac:dyDescent="0.3">
      <c r="A1" s="79" t="s">
        <v>0</v>
      </c>
      <c r="B1" s="68"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24" spans="1:3" s="14" customFormat="1" ht="31" customHeight="1" x14ac:dyDescent="0.3">
      <c r="A24" s="133" t="s">
        <v>29</v>
      </c>
      <c r="B24" s="61" t="s">
        <v>30</v>
      </c>
      <c r="C24" s="133" t="s">
        <v>31</v>
      </c>
    </row>
    <row r="25" spans="1:3" s="14" customFormat="1" ht="15.75" customHeight="1" x14ac:dyDescent="0.25">
      <c r="A25" s="3">
        <v>1</v>
      </c>
      <c r="B25" s="3">
        <v>12</v>
      </c>
      <c r="C25" s="3"/>
    </row>
    <row r="26" spans="1:3" s="14" customFormat="1" ht="15.75" customHeight="1" x14ac:dyDescent="0.25">
      <c r="A26" s="3">
        <v>2</v>
      </c>
      <c r="B26" s="3">
        <v>30</v>
      </c>
      <c r="C26" s="3"/>
    </row>
    <row r="27" spans="1:3" s="14" customFormat="1" ht="15.75" customHeight="1" x14ac:dyDescent="0.25">
      <c r="A27" s="3">
        <v>3</v>
      </c>
      <c r="B27" s="3">
        <v>20</v>
      </c>
      <c r="C27" s="3"/>
    </row>
    <row r="28" spans="1:3" s="14" customFormat="1" ht="15.75" customHeight="1" x14ac:dyDescent="0.25">
      <c r="A28" s="3">
        <v>4</v>
      </c>
      <c r="B28" s="3">
        <v>8</v>
      </c>
      <c r="C28" s="3"/>
    </row>
    <row r="29" spans="1:3" s="14" customFormat="1" ht="15.75" customHeight="1" x14ac:dyDescent="0.25">
      <c r="A29" s="3">
        <v>5</v>
      </c>
      <c r="B29" s="3">
        <v>20</v>
      </c>
      <c r="C29" s="3">
        <f>AVERAGE(B25:B28)</f>
        <v>17.5</v>
      </c>
    </row>
    <row r="30" spans="1:3" s="14" customFormat="1" ht="15.75" customHeight="1" x14ac:dyDescent="0.25">
      <c r="A30" s="3">
        <v>6</v>
      </c>
      <c r="B30" s="3">
        <v>36</v>
      </c>
      <c r="C30" s="3">
        <f t="shared" ref="C30:C50" si="0">AVERAGE(B26:B29)</f>
        <v>19.5</v>
      </c>
    </row>
    <row r="31" spans="1:3" s="14" customFormat="1" ht="15.75" customHeight="1" x14ac:dyDescent="0.25">
      <c r="A31" s="3">
        <v>7</v>
      </c>
      <c r="B31" s="3">
        <v>30</v>
      </c>
      <c r="C31" s="3">
        <f t="shared" si="0"/>
        <v>21</v>
      </c>
    </row>
    <row r="32" spans="1:3" s="14" customFormat="1" ht="15.75" customHeight="1" x14ac:dyDescent="0.25">
      <c r="A32" s="3">
        <v>8</v>
      </c>
      <c r="B32" s="3">
        <v>14</v>
      </c>
      <c r="C32" s="3">
        <f t="shared" si="0"/>
        <v>23.5</v>
      </c>
    </row>
    <row r="33" spans="1:3" s="14" customFormat="1" ht="15.75" customHeight="1" x14ac:dyDescent="0.25">
      <c r="A33" s="3">
        <v>9</v>
      </c>
      <c r="B33" s="3">
        <v>28</v>
      </c>
      <c r="C33" s="3">
        <f t="shared" si="0"/>
        <v>25</v>
      </c>
    </row>
    <row r="34" spans="1:3" s="14" customFormat="1" ht="15.75" customHeight="1" x14ac:dyDescent="0.25">
      <c r="A34" s="3">
        <v>10</v>
      </c>
      <c r="B34" s="3">
        <v>45</v>
      </c>
      <c r="C34" s="3">
        <f t="shared" si="0"/>
        <v>27</v>
      </c>
    </row>
    <row r="35" spans="1:3" s="14" customFormat="1" ht="15.75" customHeight="1" x14ac:dyDescent="0.25">
      <c r="A35" s="3">
        <v>11</v>
      </c>
      <c r="B35" s="3">
        <v>46</v>
      </c>
      <c r="C35" s="3">
        <f t="shared" si="0"/>
        <v>29.25</v>
      </c>
    </row>
    <row r="36" spans="1:3" s="14" customFormat="1" ht="15.75" customHeight="1" x14ac:dyDescent="0.25">
      <c r="A36" s="3">
        <v>12</v>
      </c>
      <c r="B36" s="3">
        <v>24</v>
      </c>
      <c r="C36" s="3">
        <f t="shared" si="0"/>
        <v>33.25</v>
      </c>
    </row>
    <row r="37" spans="1:3" s="14" customFormat="1" ht="15.75" customHeight="1" x14ac:dyDescent="0.25">
      <c r="A37" s="3">
        <v>13</v>
      </c>
      <c r="B37" s="3">
        <v>38</v>
      </c>
      <c r="C37" s="3">
        <f t="shared" si="0"/>
        <v>35.75</v>
      </c>
    </row>
    <row r="38" spans="1:3" s="14" customFormat="1" ht="15.75" customHeight="1" x14ac:dyDescent="0.25">
      <c r="A38" s="3">
        <v>14</v>
      </c>
      <c r="B38" s="3">
        <v>56</v>
      </c>
      <c r="C38" s="3">
        <f t="shared" si="0"/>
        <v>38.25</v>
      </c>
    </row>
    <row r="39" spans="1:3" s="14" customFormat="1" ht="15.75" customHeight="1" x14ac:dyDescent="0.25">
      <c r="A39" s="3">
        <v>15</v>
      </c>
      <c r="B39" s="3">
        <v>50</v>
      </c>
      <c r="C39" s="3">
        <f t="shared" si="0"/>
        <v>41</v>
      </c>
    </row>
    <row r="40" spans="1:3" s="14" customFormat="1" ht="15.75" customHeight="1" x14ac:dyDescent="0.25">
      <c r="A40" s="3">
        <v>16</v>
      </c>
      <c r="B40" s="3">
        <v>36</v>
      </c>
      <c r="C40" s="3">
        <f t="shared" si="0"/>
        <v>42</v>
      </c>
    </row>
    <row r="41" spans="1:3" s="14" customFormat="1" ht="15.75" customHeight="1" x14ac:dyDescent="0.25">
      <c r="A41" s="3">
        <v>17</v>
      </c>
      <c r="B41" s="3">
        <v>44</v>
      </c>
      <c r="C41" s="3">
        <f t="shared" si="0"/>
        <v>45</v>
      </c>
    </row>
    <row r="42" spans="1:3" s="14" customFormat="1" ht="15.75" customHeight="1" x14ac:dyDescent="0.25">
      <c r="A42" s="3">
        <v>18</v>
      </c>
      <c r="B42" s="3">
        <v>68</v>
      </c>
      <c r="C42" s="3">
        <f>AVERAGE(B38:B41)</f>
        <v>46.5</v>
      </c>
    </row>
    <row r="43" spans="1:3" s="14" customFormat="1" ht="15.75" customHeight="1" x14ac:dyDescent="0.25">
      <c r="A43" s="3">
        <v>19</v>
      </c>
      <c r="B43" s="3">
        <v>62</v>
      </c>
      <c r="C43" s="3">
        <f t="shared" si="0"/>
        <v>49.5</v>
      </c>
    </row>
    <row r="44" spans="1:3" s="14" customFormat="1" ht="15.75" customHeight="1" x14ac:dyDescent="0.25">
      <c r="A44" s="3">
        <v>20</v>
      </c>
      <c r="B44" s="3">
        <v>42</v>
      </c>
      <c r="C44" s="3">
        <f t="shared" si="0"/>
        <v>52.5</v>
      </c>
    </row>
    <row r="45" spans="1:3" s="14" customFormat="1" ht="15.75" customHeight="1" x14ac:dyDescent="0.25">
      <c r="A45" s="3">
        <v>21</v>
      </c>
      <c r="B45" s="3">
        <v>48</v>
      </c>
      <c r="C45" s="3">
        <f t="shared" si="0"/>
        <v>54</v>
      </c>
    </row>
    <row r="46" spans="1:3" s="14" customFormat="1" ht="15.75" customHeight="1" x14ac:dyDescent="0.25">
      <c r="A46" s="3">
        <v>22</v>
      </c>
      <c r="B46" s="3">
        <v>72</v>
      </c>
      <c r="C46" s="3">
        <f t="shared" si="0"/>
        <v>55</v>
      </c>
    </row>
    <row r="47" spans="1:3" s="14" customFormat="1" ht="15.75" customHeight="1" x14ac:dyDescent="0.25">
      <c r="A47" s="3">
        <v>23</v>
      </c>
      <c r="B47" s="3">
        <v>60</v>
      </c>
      <c r="C47" s="3">
        <f t="shared" si="0"/>
        <v>56</v>
      </c>
    </row>
    <row r="48" spans="1:3" s="14" customFormat="1" ht="15.75" customHeight="1" x14ac:dyDescent="0.25">
      <c r="A48" s="3">
        <v>24</v>
      </c>
      <c r="B48" s="3">
        <v>74</v>
      </c>
      <c r="C48" s="3">
        <f t="shared" si="0"/>
        <v>55.5</v>
      </c>
    </row>
    <row r="49" spans="1:8" s="14" customFormat="1" ht="15.75" customHeight="1" x14ac:dyDescent="0.25">
      <c r="A49" s="3">
        <v>25</v>
      </c>
      <c r="B49" s="3">
        <v>56</v>
      </c>
      <c r="C49" s="3">
        <f t="shared" si="0"/>
        <v>63.5</v>
      </c>
    </row>
    <row r="50" spans="1:8" s="14" customFormat="1" ht="15.75" customHeight="1" x14ac:dyDescent="0.25">
      <c r="A50" s="3">
        <v>26</v>
      </c>
      <c r="B50" s="3">
        <v>80</v>
      </c>
      <c r="C50" s="3">
        <f t="shared" si="0"/>
        <v>65.5</v>
      </c>
    </row>
    <row r="51" spans="1:8" s="14" customFormat="1" ht="15.75" customHeight="1" x14ac:dyDescent="0.25">
      <c r="A51" s="60">
        <v>27</v>
      </c>
      <c r="B51" s="60">
        <v>70</v>
      </c>
      <c r="C51" s="60">
        <f>AVERAGE(B47:B50)</f>
        <v>67.5</v>
      </c>
    </row>
    <row r="52" spans="1:8" s="14" customFormat="1" ht="15.75" customHeight="1" x14ac:dyDescent="0.25">
      <c r="A52" s="68">
        <v>28</v>
      </c>
      <c r="B52" s="68">
        <v>54</v>
      </c>
      <c r="C52" s="68">
        <f>AVERAGE(B48:B51)</f>
        <v>70</v>
      </c>
    </row>
    <row r="54" spans="1:8" s="45" customFormat="1" ht="38" customHeight="1" x14ac:dyDescent="0.3">
      <c r="A54" s="133" t="s">
        <v>32</v>
      </c>
      <c r="B54" s="133" t="s">
        <v>33</v>
      </c>
      <c r="C54" s="133" t="s">
        <v>30</v>
      </c>
      <c r="D54" s="133" t="s">
        <v>31</v>
      </c>
      <c r="E54" s="133" t="s">
        <v>34</v>
      </c>
      <c r="F54" s="134" t="s">
        <v>35</v>
      </c>
      <c r="G54" s="134" t="s">
        <v>36</v>
      </c>
      <c r="H54" s="133" t="s">
        <v>37</v>
      </c>
    </row>
    <row r="55" spans="1:8" ht="15.75" customHeight="1" x14ac:dyDescent="0.25">
      <c r="A55" s="3">
        <v>1</v>
      </c>
      <c r="B55" s="3">
        <v>1</v>
      </c>
      <c r="C55" s="3">
        <v>12</v>
      </c>
      <c r="D55" s="3"/>
      <c r="E55" s="3"/>
      <c r="F55" s="7"/>
      <c r="G55" s="7"/>
      <c r="H55" s="3"/>
    </row>
    <row r="56" spans="1:8" ht="15.75" customHeight="1" x14ac:dyDescent="0.25">
      <c r="A56" s="3">
        <v>2</v>
      </c>
      <c r="B56" s="3">
        <v>2</v>
      </c>
      <c r="C56" s="3">
        <v>30</v>
      </c>
      <c r="D56" s="3"/>
      <c r="E56" s="3"/>
      <c r="F56" s="7"/>
      <c r="G56" s="7"/>
      <c r="H56" s="3"/>
    </row>
    <row r="57" spans="1:8" ht="15.75" customHeight="1" x14ac:dyDescent="0.25">
      <c r="A57" s="3">
        <v>3</v>
      </c>
      <c r="B57" s="3">
        <v>3</v>
      </c>
      <c r="C57" s="3">
        <v>20</v>
      </c>
      <c r="D57" s="3">
        <f t="shared" ref="D57:D81" si="1">AVERAGE(C55:C58)</f>
        <v>17.5</v>
      </c>
      <c r="E57" s="3">
        <f t="shared" ref="E57:E80" si="2">AVERAGE(D57:D58)</f>
        <v>18.5</v>
      </c>
      <c r="F57" s="7">
        <f>C57/E57</f>
        <v>1.0810810810810811</v>
      </c>
      <c r="G57" s="7">
        <f>AVERAGE(F57,F61,F65,F69,F73,F77,F81)</f>
        <v>1.106485648345414</v>
      </c>
      <c r="H57" s="3">
        <f>G57-1</f>
        <v>0.10648564834541396</v>
      </c>
    </row>
    <row r="58" spans="1:8" ht="15.75" customHeight="1" x14ac:dyDescent="0.3">
      <c r="A58" s="3">
        <v>4</v>
      </c>
      <c r="B58" s="3">
        <v>4</v>
      </c>
      <c r="C58" s="3">
        <v>8</v>
      </c>
      <c r="D58" s="3">
        <f t="shared" si="1"/>
        <v>19.5</v>
      </c>
      <c r="E58" s="3">
        <f t="shared" si="2"/>
        <v>20.25</v>
      </c>
      <c r="F58" s="7">
        <f t="shared" ref="F58:F79" si="3">C58/E58</f>
        <v>0.39506172839506171</v>
      </c>
      <c r="G58" s="7">
        <f>AVERAGE(F58,F62,F66,F70,F74,F78,F82)</f>
        <v>0.68634274187588329</v>
      </c>
      <c r="H58" s="29">
        <f>G58-1</f>
        <v>-0.31365725812411671</v>
      </c>
    </row>
    <row r="59" spans="1:8" ht="15.75" customHeight="1" x14ac:dyDescent="0.25">
      <c r="A59" s="3">
        <v>1</v>
      </c>
      <c r="B59" s="3">
        <v>5</v>
      </c>
      <c r="C59" s="3">
        <v>20</v>
      </c>
      <c r="D59" s="3">
        <f t="shared" si="1"/>
        <v>21</v>
      </c>
      <c r="E59" s="3">
        <f t="shared" si="2"/>
        <v>22.25</v>
      </c>
      <c r="F59" s="7">
        <f t="shared" si="3"/>
        <v>0.898876404494382</v>
      </c>
      <c r="G59" s="62">
        <f>AVERAGE(F59,F63,F67,F71,F75,F79)</f>
        <v>0.87480269246111053</v>
      </c>
      <c r="H59" s="3">
        <f>G59-1</f>
        <v>-0.12519730753888947</v>
      </c>
    </row>
    <row r="60" spans="1:8" ht="15.75" customHeight="1" x14ac:dyDescent="0.25">
      <c r="A60" s="3">
        <v>2</v>
      </c>
      <c r="B60" s="3">
        <v>6</v>
      </c>
      <c r="C60" s="3">
        <v>36</v>
      </c>
      <c r="D60" s="3">
        <f t="shared" si="1"/>
        <v>23.5</v>
      </c>
      <c r="E60" s="3">
        <f t="shared" si="2"/>
        <v>24.25</v>
      </c>
      <c r="F60" s="7">
        <f t="shared" si="3"/>
        <v>1.4845360824742269</v>
      </c>
      <c r="G60" s="7">
        <f>AVERAGE(F60,F64,F68,F72,F76,F80)</f>
        <v>1.2914174590605356</v>
      </c>
      <c r="H60" s="3">
        <f>G60-1</f>
        <v>0.29141745906053562</v>
      </c>
    </row>
    <row r="61" spans="1:8" ht="15.75" customHeight="1" x14ac:dyDescent="0.25">
      <c r="A61" s="3">
        <v>3</v>
      </c>
      <c r="B61" s="3">
        <v>7</v>
      </c>
      <c r="C61" s="3">
        <v>30</v>
      </c>
      <c r="D61" s="3">
        <f t="shared" si="1"/>
        <v>25</v>
      </c>
      <c r="E61" s="3">
        <f t="shared" si="2"/>
        <v>26</v>
      </c>
      <c r="F61" s="7">
        <f t="shared" si="3"/>
        <v>1.1538461538461537</v>
      </c>
      <c r="G61" s="7"/>
      <c r="H61" s="3"/>
    </row>
    <row r="62" spans="1:8" ht="15.75" customHeight="1" x14ac:dyDescent="0.25">
      <c r="A62" s="3">
        <v>4</v>
      </c>
      <c r="B62" s="3">
        <v>8</v>
      </c>
      <c r="C62" s="3">
        <v>14</v>
      </c>
      <c r="D62" s="3">
        <f t="shared" si="1"/>
        <v>27</v>
      </c>
      <c r="E62" s="3">
        <f t="shared" si="2"/>
        <v>28.125</v>
      </c>
      <c r="F62" s="7">
        <f t="shared" si="3"/>
        <v>0.49777777777777776</v>
      </c>
      <c r="G62" s="7"/>
      <c r="H62" s="3"/>
    </row>
    <row r="63" spans="1:8" ht="15.75" customHeight="1" x14ac:dyDescent="0.25">
      <c r="A63" s="3">
        <v>1</v>
      </c>
      <c r="B63" s="3">
        <v>9</v>
      </c>
      <c r="C63" s="3">
        <v>28</v>
      </c>
      <c r="D63" s="3">
        <f t="shared" si="1"/>
        <v>29.25</v>
      </c>
      <c r="E63" s="3">
        <f t="shared" si="2"/>
        <v>31.25</v>
      </c>
      <c r="F63" s="7">
        <f t="shared" si="3"/>
        <v>0.89600000000000002</v>
      </c>
      <c r="G63" s="7"/>
      <c r="H63" s="3"/>
    </row>
    <row r="64" spans="1:8" ht="15.75" customHeight="1" x14ac:dyDescent="0.25">
      <c r="A64" s="3">
        <v>2</v>
      </c>
      <c r="B64" s="3">
        <v>10</v>
      </c>
      <c r="C64" s="3">
        <v>45</v>
      </c>
      <c r="D64" s="3">
        <f t="shared" si="1"/>
        <v>33.25</v>
      </c>
      <c r="E64" s="3">
        <f t="shared" si="2"/>
        <v>34.5</v>
      </c>
      <c r="F64" s="7">
        <f t="shared" si="3"/>
        <v>1.3043478260869565</v>
      </c>
      <c r="G64" s="7"/>
      <c r="H64" s="3"/>
    </row>
    <row r="65" spans="1:8" ht="15.75" customHeight="1" x14ac:dyDescent="0.25">
      <c r="A65" s="3">
        <v>3</v>
      </c>
      <c r="B65" s="3">
        <v>11</v>
      </c>
      <c r="C65" s="3">
        <v>46</v>
      </c>
      <c r="D65" s="3">
        <f t="shared" si="1"/>
        <v>35.75</v>
      </c>
      <c r="E65" s="3">
        <f t="shared" si="2"/>
        <v>37</v>
      </c>
      <c r="F65" s="7">
        <f t="shared" si="3"/>
        <v>1.2432432432432432</v>
      </c>
      <c r="G65" s="7"/>
      <c r="H65" s="3"/>
    </row>
    <row r="66" spans="1:8" ht="15.75" customHeight="1" x14ac:dyDescent="0.25">
      <c r="A66" s="3">
        <v>4</v>
      </c>
      <c r="B66" s="3">
        <v>12</v>
      </c>
      <c r="C66" s="3">
        <v>24</v>
      </c>
      <c r="D66" s="3">
        <f t="shared" si="1"/>
        <v>38.25</v>
      </c>
      <c r="E66" s="3">
        <f t="shared" si="2"/>
        <v>39.625</v>
      </c>
      <c r="F66" s="7">
        <f t="shared" si="3"/>
        <v>0.60567823343848581</v>
      </c>
      <c r="G66" s="7"/>
      <c r="H66" s="3"/>
    </row>
    <row r="67" spans="1:8" ht="15.75" customHeight="1" x14ac:dyDescent="0.25">
      <c r="A67" s="3">
        <v>1</v>
      </c>
      <c r="B67" s="3">
        <v>13</v>
      </c>
      <c r="C67" s="3">
        <v>38</v>
      </c>
      <c r="D67" s="3">
        <f t="shared" si="1"/>
        <v>41</v>
      </c>
      <c r="E67" s="3">
        <f t="shared" si="2"/>
        <v>41.5</v>
      </c>
      <c r="F67" s="7">
        <f t="shared" si="3"/>
        <v>0.91566265060240959</v>
      </c>
      <c r="G67" s="7"/>
      <c r="H67" s="3"/>
    </row>
    <row r="68" spans="1:8" ht="15.75" customHeight="1" x14ac:dyDescent="0.25">
      <c r="A68" s="3">
        <v>2</v>
      </c>
      <c r="B68" s="3">
        <v>14</v>
      </c>
      <c r="C68" s="3">
        <v>56</v>
      </c>
      <c r="D68" s="3">
        <f t="shared" si="1"/>
        <v>42</v>
      </c>
      <c r="E68" s="3">
        <f t="shared" si="2"/>
        <v>43.5</v>
      </c>
      <c r="F68" s="7">
        <f t="shared" si="3"/>
        <v>1.2873563218390804</v>
      </c>
      <c r="G68" s="7"/>
      <c r="H68" s="3"/>
    </row>
    <row r="69" spans="1:8" ht="15.75" customHeight="1" x14ac:dyDescent="0.25">
      <c r="A69" s="3">
        <v>3</v>
      </c>
      <c r="B69" s="3">
        <v>15</v>
      </c>
      <c r="C69" s="3">
        <v>50</v>
      </c>
      <c r="D69" s="3">
        <f t="shared" si="1"/>
        <v>45</v>
      </c>
      <c r="E69" s="3">
        <f t="shared" si="2"/>
        <v>45.75</v>
      </c>
      <c r="F69" s="7">
        <f t="shared" si="3"/>
        <v>1.0928961748633881</v>
      </c>
      <c r="G69" s="7"/>
      <c r="H69" s="3"/>
    </row>
    <row r="70" spans="1:8" ht="15.75" customHeight="1" x14ac:dyDescent="0.25">
      <c r="A70" s="3">
        <v>4</v>
      </c>
      <c r="B70" s="3">
        <v>16</v>
      </c>
      <c r="C70" s="3">
        <v>36</v>
      </c>
      <c r="D70" s="3">
        <f t="shared" si="1"/>
        <v>46.5</v>
      </c>
      <c r="E70" s="3">
        <f t="shared" si="2"/>
        <v>48</v>
      </c>
      <c r="F70" s="7">
        <f t="shared" si="3"/>
        <v>0.75</v>
      </c>
      <c r="G70" s="7"/>
      <c r="H70" s="3"/>
    </row>
    <row r="71" spans="1:8" ht="15.75" customHeight="1" x14ac:dyDescent="0.25">
      <c r="A71" s="3">
        <v>1</v>
      </c>
      <c r="B71" s="3">
        <v>17</v>
      </c>
      <c r="C71" s="3">
        <v>44</v>
      </c>
      <c r="D71" s="3">
        <f t="shared" si="1"/>
        <v>49.5</v>
      </c>
      <c r="E71" s="3">
        <f t="shared" si="2"/>
        <v>51</v>
      </c>
      <c r="F71" s="7">
        <f t="shared" si="3"/>
        <v>0.86274509803921573</v>
      </c>
      <c r="G71" s="7"/>
      <c r="H71" s="3"/>
    </row>
    <row r="72" spans="1:8" ht="15.75" customHeight="1" x14ac:dyDescent="0.25">
      <c r="A72" s="3">
        <v>2</v>
      </c>
      <c r="B72" s="3">
        <v>18</v>
      </c>
      <c r="C72" s="3">
        <v>68</v>
      </c>
      <c r="D72" s="3">
        <f t="shared" si="1"/>
        <v>52.5</v>
      </c>
      <c r="E72" s="3">
        <f t="shared" si="2"/>
        <v>53.25</v>
      </c>
      <c r="F72" s="7">
        <f t="shared" si="3"/>
        <v>1.2769953051643192</v>
      </c>
      <c r="G72" s="7"/>
      <c r="H72" s="3"/>
    </row>
    <row r="73" spans="1:8" ht="15.75" customHeight="1" x14ac:dyDescent="0.25">
      <c r="A73" s="3">
        <v>3</v>
      </c>
      <c r="B73" s="3">
        <v>19</v>
      </c>
      <c r="C73" s="3">
        <v>62</v>
      </c>
      <c r="D73" s="3">
        <f t="shared" si="1"/>
        <v>54</v>
      </c>
      <c r="E73" s="3">
        <f t="shared" si="2"/>
        <v>54.5</v>
      </c>
      <c r="F73" s="7">
        <f t="shared" si="3"/>
        <v>1.1376146788990826</v>
      </c>
      <c r="G73" s="7"/>
      <c r="H73" s="3"/>
    </row>
    <row r="74" spans="1:8" ht="15.75" customHeight="1" x14ac:dyDescent="0.25">
      <c r="A74" s="3">
        <v>4</v>
      </c>
      <c r="B74" s="3">
        <v>20</v>
      </c>
      <c r="C74" s="3">
        <v>42</v>
      </c>
      <c r="D74" s="3">
        <f t="shared" si="1"/>
        <v>55</v>
      </c>
      <c r="E74" s="3">
        <f t="shared" si="2"/>
        <v>55.5</v>
      </c>
      <c r="F74" s="7">
        <f t="shared" si="3"/>
        <v>0.7567567567567568</v>
      </c>
      <c r="G74" s="7"/>
      <c r="H74" s="3"/>
    </row>
    <row r="75" spans="1:8" ht="15.75" customHeight="1" x14ac:dyDescent="0.25">
      <c r="A75" s="3">
        <v>1</v>
      </c>
      <c r="B75" s="3">
        <v>21</v>
      </c>
      <c r="C75" s="3">
        <v>48</v>
      </c>
      <c r="D75" s="3">
        <f t="shared" si="1"/>
        <v>56</v>
      </c>
      <c r="E75" s="3">
        <f t="shared" si="2"/>
        <v>55.75</v>
      </c>
      <c r="F75" s="7">
        <f t="shared" si="3"/>
        <v>0.86098654708520184</v>
      </c>
      <c r="G75" s="7"/>
      <c r="H75" s="3"/>
    </row>
    <row r="76" spans="1:8" ht="15.75" customHeight="1" x14ac:dyDescent="0.25">
      <c r="A76" s="3">
        <v>2</v>
      </c>
      <c r="B76" s="3">
        <v>22</v>
      </c>
      <c r="C76" s="3">
        <v>72</v>
      </c>
      <c r="D76" s="3">
        <f t="shared" si="1"/>
        <v>55.5</v>
      </c>
      <c r="E76" s="3">
        <f t="shared" si="2"/>
        <v>59.5</v>
      </c>
      <c r="F76" s="7">
        <f t="shared" si="3"/>
        <v>1.2100840336134453</v>
      </c>
      <c r="G76" s="7"/>
      <c r="H76" s="3"/>
    </row>
    <row r="77" spans="1:8" ht="15.75" customHeight="1" x14ac:dyDescent="0.25">
      <c r="A77" s="3">
        <v>3</v>
      </c>
      <c r="B77" s="3">
        <v>23</v>
      </c>
      <c r="C77" s="3">
        <v>60</v>
      </c>
      <c r="D77" s="3">
        <f t="shared" si="1"/>
        <v>63.5</v>
      </c>
      <c r="E77" s="3">
        <f t="shared" si="2"/>
        <v>64.5</v>
      </c>
      <c r="F77" s="7">
        <f t="shared" si="3"/>
        <v>0.93023255813953487</v>
      </c>
      <c r="G77" s="7"/>
      <c r="H77" s="3"/>
    </row>
    <row r="78" spans="1:8" ht="15.75" customHeight="1" x14ac:dyDescent="0.25">
      <c r="A78" s="3">
        <v>4</v>
      </c>
      <c r="B78" s="3">
        <v>24</v>
      </c>
      <c r="C78" s="3">
        <v>74</v>
      </c>
      <c r="D78" s="3">
        <f t="shared" si="1"/>
        <v>65.5</v>
      </c>
      <c r="E78" s="3">
        <f t="shared" si="2"/>
        <v>66.5</v>
      </c>
      <c r="F78" s="7">
        <f t="shared" si="3"/>
        <v>1.112781954887218</v>
      </c>
      <c r="G78" s="7"/>
      <c r="H78" s="3"/>
    </row>
    <row r="79" spans="1:8" ht="15.75" customHeight="1" x14ac:dyDescent="0.25">
      <c r="A79" s="3">
        <v>1</v>
      </c>
      <c r="B79" s="3">
        <v>25</v>
      </c>
      <c r="C79" s="3">
        <v>56</v>
      </c>
      <c r="D79" s="3">
        <f t="shared" si="1"/>
        <v>67.5</v>
      </c>
      <c r="E79" s="3">
        <f t="shared" si="2"/>
        <v>68.75</v>
      </c>
      <c r="F79" s="7">
        <f t="shared" si="3"/>
        <v>0.81454545454545457</v>
      </c>
      <c r="G79" s="7"/>
      <c r="H79" s="3"/>
    </row>
    <row r="80" spans="1:8" ht="15.75" customHeight="1" x14ac:dyDescent="0.25">
      <c r="A80" s="3">
        <v>2</v>
      </c>
      <c r="B80" s="3">
        <v>26</v>
      </c>
      <c r="C80" s="3">
        <v>80</v>
      </c>
      <c r="D80" s="3">
        <f t="shared" si="1"/>
        <v>70</v>
      </c>
      <c r="E80" s="3">
        <f t="shared" si="2"/>
        <v>67.5</v>
      </c>
      <c r="F80" s="7">
        <f>C80/E80</f>
        <v>1.1851851851851851</v>
      </c>
      <c r="G80" s="7"/>
      <c r="H80" s="3"/>
    </row>
    <row r="81" spans="1:8" ht="15.75" customHeight="1" x14ac:dyDescent="0.25">
      <c r="A81" s="3">
        <v>3</v>
      </c>
      <c r="B81" s="3">
        <v>27</v>
      </c>
      <c r="C81" s="3">
        <v>70</v>
      </c>
      <c r="D81" s="3">
        <f t="shared" si="1"/>
        <v>65</v>
      </c>
      <c r="E81" s="3"/>
      <c r="F81" s="7"/>
      <c r="G81" s="7"/>
      <c r="H81" s="3"/>
    </row>
    <row r="82" spans="1:8" ht="15.75" customHeight="1" x14ac:dyDescent="0.25">
      <c r="A82" s="3">
        <v>4</v>
      </c>
      <c r="B82" s="3">
        <v>28</v>
      </c>
      <c r="C82" s="3">
        <v>54</v>
      </c>
      <c r="D82" s="3"/>
      <c r="E82" s="3"/>
      <c r="F82" s="7"/>
      <c r="G82" s="62"/>
      <c r="H82" s="63"/>
    </row>
    <row r="83" spans="1:8" ht="35" customHeight="1" x14ac:dyDescent="0.3">
      <c r="G83" s="135" t="s">
        <v>38</v>
      </c>
      <c r="H83" s="29">
        <f>AVERAGE(G57:G60)</f>
        <v>0.98976213543573577</v>
      </c>
    </row>
    <row r="84" spans="1:8" ht="28.5" customHeight="1" x14ac:dyDescent="0.3">
      <c r="G84" s="136" t="s">
        <v>39</v>
      </c>
      <c r="H84" s="135" t="s">
        <v>40</v>
      </c>
    </row>
    <row r="85" spans="1:8" ht="28.5" customHeight="1" x14ac:dyDescent="0.3">
      <c r="G85" s="140"/>
      <c r="H85" s="141"/>
    </row>
    <row r="86" spans="1:8" ht="28.5" customHeight="1" x14ac:dyDescent="0.3">
      <c r="G86" s="140"/>
      <c r="H86" s="141"/>
    </row>
    <row r="87" spans="1:8" ht="28.5" customHeight="1" x14ac:dyDescent="0.3">
      <c r="G87" s="140"/>
      <c r="H87" s="141"/>
    </row>
    <row r="88" spans="1:8" ht="28.5" customHeight="1" x14ac:dyDescent="0.3">
      <c r="G88" s="140"/>
      <c r="H88" s="141"/>
    </row>
    <row r="89" spans="1:8" ht="28.5" customHeight="1" x14ac:dyDescent="0.3">
      <c r="G89" s="140"/>
      <c r="H89" s="141"/>
    </row>
    <row r="90" spans="1:8" ht="28.5" customHeight="1" x14ac:dyDescent="0.3">
      <c r="G90" s="140"/>
      <c r="H90" s="141"/>
    </row>
    <row r="91" spans="1:8" ht="28.5" customHeight="1" x14ac:dyDescent="0.3">
      <c r="G91" s="140"/>
      <c r="H91" s="141"/>
    </row>
    <row r="98" spans="1:7" s="46" customFormat="1" ht="24" customHeight="1" x14ac:dyDescent="0.3">
      <c r="A98" s="133" t="s">
        <v>32</v>
      </c>
      <c r="B98" s="133" t="s">
        <v>29</v>
      </c>
      <c r="C98" s="133" t="s">
        <v>30</v>
      </c>
      <c r="D98" s="133" t="s">
        <v>41</v>
      </c>
      <c r="E98" s="133" t="s">
        <v>42</v>
      </c>
      <c r="G98" s="64"/>
    </row>
    <row r="99" spans="1:7" ht="15.75" customHeight="1" x14ac:dyDescent="0.25">
      <c r="A99" s="3">
        <v>1</v>
      </c>
      <c r="B99" s="3">
        <v>1</v>
      </c>
      <c r="C99" s="3">
        <v>12</v>
      </c>
      <c r="D99" s="3">
        <v>0.87480269246111053</v>
      </c>
      <c r="E99" s="3">
        <f t="shared" ref="E99:E127" si="4">C99/D99</f>
        <v>13.717378905453542</v>
      </c>
    </row>
    <row r="100" spans="1:7" ht="15.75" customHeight="1" x14ac:dyDescent="0.25">
      <c r="A100" s="3">
        <v>2</v>
      </c>
      <c r="B100" s="3">
        <v>2</v>
      </c>
      <c r="C100" s="3">
        <v>30</v>
      </c>
      <c r="D100" s="3">
        <v>1.2914174590605356</v>
      </c>
      <c r="E100" s="3">
        <f t="shared" si="4"/>
        <v>23.230288385464473</v>
      </c>
    </row>
    <row r="101" spans="1:7" ht="15.75" customHeight="1" x14ac:dyDescent="0.25">
      <c r="A101" s="3">
        <v>3</v>
      </c>
      <c r="B101" s="3">
        <v>3</v>
      </c>
      <c r="C101" s="3">
        <v>20</v>
      </c>
      <c r="D101" s="3">
        <v>1.106485648345414</v>
      </c>
      <c r="E101" s="3">
        <f t="shared" si="4"/>
        <v>18.075245738529958</v>
      </c>
    </row>
    <row r="102" spans="1:7" ht="15.75" customHeight="1" x14ac:dyDescent="0.25">
      <c r="A102" s="3">
        <v>4</v>
      </c>
      <c r="B102" s="3">
        <v>4</v>
      </c>
      <c r="C102" s="3">
        <v>8</v>
      </c>
      <c r="D102" s="3">
        <v>0.68634274187588329</v>
      </c>
      <c r="E102" s="3">
        <f t="shared" si="4"/>
        <v>11.655983974034219</v>
      </c>
    </row>
    <row r="103" spans="1:7" ht="15.75" customHeight="1" x14ac:dyDescent="0.25">
      <c r="A103" s="3">
        <v>1</v>
      </c>
      <c r="B103" s="3">
        <v>5</v>
      </c>
      <c r="C103" s="3">
        <v>20</v>
      </c>
      <c r="D103" s="3">
        <v>0.87480269246111053</v>
      </c>
      <c r="E103" s="3">
        <f t="shared" si="4"/>
        <v>22.862298175755903</v>
      </c>
    </row>
    <row r="104" spans="1:7" ht="15.75" customHeight="1" x14ac:dyDescent="0.25">
      <c r="A104" s="3">
        <v>2</v>
      </c>
      <c r="B104" s="3">
        <v>6</v>
      </c>
      <c r="C104" s="3">
        <v>36</v>
      </c>
      <c r="D104" s="3">
        <v>1.2914174590605356</v>
      </c>
      <c r="E104" s="3">
        <f t="shared" si="4"/>
        <v>27.876346062557367</v>
      </c>
    </row>
    <row r="105" spans="1:7" ht="15.75" customHeight="1" x14ac:dyDescent="0.25">
      <c r="A105" s="3">
        <v>3</v>
      </c>
      <c r="B105" s="3">
        <v>7</v>
      </c>
      <c r="C105" s="3">
        <v>30</v>
      </c>
      <c r="D105" s="3">
        <v>1.106485648345414</v>
      </c>
      <c r="E105" s="3">
        <f t="shared" si="4"/>
        <v>27.112868607794937</v>
      </c>
    </row>
    <row r="106" spans="1:7" ht="15.75" customHeight="1" x14ac:dyDescent="0.25">
      <c r="A106" s="3">
        <v>4</v>
      </c>
      <c r="B106" s="3">
        <v>8</v>
      </c>
      <c r="C106" s="3">
        <v>14</v>
      </c>
      <c r="D106" s="3">
        <v>0.68634274187588329</v>
      </c>
      <c r="E106" s="3">
        <f t="shared" si="4"/>
        <v>20.397971954559882</v>
      </c>
    </row>
    <row r="107" spans="1:7" ht="15.75" customHeight="1" x14ac:dyDescent="0.25">
      <c r="A107" s="3">
        <v>1</v>
      </c>
      <c r="B107" s="3">
        <v>9</v>
      </c>
      <c r="C107" s="3">
        <v>28</v>
      </c>
      <c r="D107" s="3">
        <v>0.87480269246111053</v>
      </c>
      <c r="E107" s="3">
        <f t="shared" si="4"/>
        <v>32.007217446058263</v>
      </c>
    </row>
    <row r="108" spans="1:7" ht="15.75" customHeight="1" x14ac:dyDescent="0.25">
      <c r="A108" s="3">
        <v>2</v>
      </c>
      <c r="B108" s="3">
        <v>10</v>
      </c>
      <c r="C108" s="3">
        <v>45</v>
      </c>
      <c r="D108" s="3">
        <v>1.2914174590605356</v>
      </c>
      <c r="E108" s="3">
        <f t="shared" si="4"/>
        <v>34.845432578196707</v>
      </c>
    </row>
    <row r="109" spans="1:7" ht="15.75" customHeight="1" x14ac:dyDescent="0.25">
      <c r="A109" s="3">
        <v>3</v>
      </c>
      <c r="B109" s="3">
        <v>11</v>
      </c>
      <c r="C109" s="3">
        <v>46</v>
      </c>
      <c r="D109" s="3">
        <v>1.106485648345414</v>
      </c>
      <c r="E109" s="3">
        <f t="shared" si="4"/>
        <v>41.573065198618899</v>
      </c>
    </row>
    <row r="110" spans="1:7" ht="15.75" customHeight="1" x14ac:dyDescent="0.25">
      <c r="A110" s="3">
        <v>4</v>
      </c>
      <c r="B110" s="3">
        <v>12</v>
      </c>
      <c r="C110" s="3">
        <v>24</v>
      </c>
      <c r="D110" s="3">
        <v>0.68634274187588329</v>
      </c>
      <c r="E110" s="3">
        <f t="shared" si="4"/>
        <v>34.967951922102657</v>
      </c>
    </row>
    <row r="111" spans="1:7" ht="15.75" customHeight="1" x14ac:dyDescent="0.25">
      <c r="A111" s="3">
        <v>1</v>
      </c>
      <c r="B111" s="3">
        <v>13</v>
      </c>
      <c r="C111" s="3">
        <v>38</v>
      </c>
      <c r="D111" s="3">
        <v>0.87480269246111053</v>
      </c>
      <c r="E111" s="3">
        <f t="shared" si="4"/>
        <v>43.438366533936218</v>
      </c>
    </row>
    <row r="112" spans="1:7" ht="15.75" customHeight="1" x14ac:dyDescent="0.25">
      <c r="A112" s="3">
        <v>2</v>
      </c>
      <c r="B112" s="3">
        <v>14</v>
      </c>
      <c r="C112" s="3">
        <v>56</v>
      </c>
      <c r="D112" s="3">
        <v>1.2914174590605356</v>
      </c>
      <c r="E112" s="3">
        <f t="shared" si="4"/>
        <v>43.363204986200344</v>
      </c>
    </row>
    <row r="113" spans="1:7" ht="15.75" customHeight="1" x14ac:dyDescent="0.25">
      <c r="A113" s="3">
        <v>3</v>
      </c>
      <c r="B113" s="3">
        <v>15</v>
      </c>
      <c r="C113" s="3">
        <v>50</v>
      </c>
      <c r="D113" s="3">
        <v>1.106485648345414</v>
      </c>
      <c r="E113" s="3">
        <f t="shared" si="4"/>
        <v>45.188114346324895</v>
      </c>
    </row>
    <row r="114" spans="1:7" ht="15.75" customHeight="1" x14ac:dyDescent="0.25">
      <c r="A114" s="3">
        <v>4</v>
      </c>
      <c r="B114" s="3">
        <v>16</v>
      </c>
      <c r="C114" s="3">
        <v>36</v>
      </c>
      <c r="D114" s="3">
        <v>0.68634274187588329</v>
      </c>
      <c r="E114" s="3">
        <f t="shared" si="4"/>
        <v>52.451927883153985</v>
      </c>
    </row>
    <row r="115" spans="1:7" ht="15.75" customHeight="1" x14ac:dyDescent="0.25">
      <c r="A115" s="3">
        <v>1</v>
      </c>
      <c r="B115" s="3">
        <v>17</v>
      </c>
      <c r="C115" s="3">
        <v>44</v>
      </c>
      <c r="D115" s="3">
        <v>0.87480269246111053</v>
      </c>
      <c r="E115" s="3">
        <f t="shared" si="4"/>
        <v>50.29705598666299</v>
      </c>
    </row>
    <row r="116" spans="1:7" ht="15.75" customHeight="1" x14ac:dyDescent="0.25">
      <c r="A116" s="3">
        <v>2</v>
      </c>
      <c r="B116" s="3">
        <v>18</v>
      </c>
      <c r="C116" s="3">
        <v>68</v>
      </c>
      <c r="D116" s="3">
        <v>1.2914174590605356</v>
      </c>
      <c r="E116" s="3">
        <f t="shared" si="4"/>
        <v>52.655320340386133</v>
      </c>
    </row>
    <row r="117" spans="1:7" ht="15.75" customHeight="1" x14ac:dyDescent="0.25">
      <c r="A117" s="3">
        <v>3</v>
      </c>
      <c r="B117" s="3">
        <v>19</v>
      </c>
      <c r="C117" s="3">
        <v>62</v>
      </c>
      <c r="D117" s="3">
        <v>1.106485648345414</v>
      </c>
      <c r="E117" s="3">
        <f t="shared" si="4"/>
        <v>56.033261789442868</v>
      </c>
    </row>
    <row r="118" spans="1:7" ht="15.75" customHeight="1" x14ac:dyDescent="0.25">
      <c r="A118" s="3">
        <v>4</v>
      </c>
      <c r="B118" s="3">
        <v>20</v>
      </c>
      <c r="C118" s="3">
        <v>42</v>
      </c>
      <c r="D118" s="3">
        <v>0.68634274187588329</v>
      </c>
      <c r="E118" s="3">
        <f t="shared" si="4"/>
        <v>61.193915863679649</v>
      </c>
    </row>
    <row r="119" spans="1:7" ht="15.75" customHeight="1" x14ac:dyDescent="0.25">
      <c r="A119" s="3">
        <v>1</v>
      </c>
      <c r="B119" s="3">
        <v>21</v>
      </c>
      <c r="C119" s="3">
        <v>48</v>
      </c>
      <c r="D119" s="3">
        <v>0.87480269246111053</v>
      </c>
      <c r="E119" s="3">
        <f t="shared" si="4"/>
        <v>54.869515621814166</v>
      </c>
    </row>
    <row r="120" spans="1:7" ht="15.75" customHeight="1" x14ac:dyDescent="0.25">
      <c r="A120" s="3">
        <v>2</v>
      </c>
      <c r="B120" s="3">
        <v>22</v>
      </c>
      <c r="C120" s="3">
        <v>72</v>
      </c>
      <c r="D120" s="3">
        <v>1.2914174590605356</v>
      </c>
      <c r="E120" s="3">
        <f t="shared" si="4"/>
        <v>55.752692125114734</v>
      </c>
    </row>
    <row r="121" spans="1:7" ht="15.75" customHeight="1" x14ac:dyDescent="0.25">
      <c r="A121" s="3">
        <v>3</v>
      </c>
      <c r="B121" s="3">
        <v>23</v>
      </c>
      <c r="C121" s="3">
        <v>60</v>
      </c>
      <c r="D121" s="3">
        <v>1.106485648345414</v>
      </c>
      <c r="E121" s="3">
        <f t="shared" si="4"/>
        <v>54.225737215589874</v>
      </c>
    </row>
    <row r="122" spans="1:7" ht="15.75" customHeight="1" x14ac:dyDescent="0.25">
      <c r="A122" s="3">
        <v>4</v>
      </c>
      <c r="B122" s="3">
        <v>24</v>
      </c>
      <c r="C122" s="3">
        <v>74</v>
      </c>
      <c r="D122" s="3">
        <v>0.68634274187588329</v>
      </c>
      <c r="E122" s="3">
        <f t="shared" si="4"/>
        <v>107.81785175981652</v>
      </c>
    </row>
    <row r="123" spans="1:7" ht="15.75" customHeight="1" x14ac:dyDescent="0.25">
      <c r="A123" s="3">
        <v>1</v>
      </c>
      <c r="B123" s="3">
        <v>25</v>
      </c>
      <c r="C123" s="3">
        <v>56</v>
      </c>
      <c r="D123" s="3">
        <v>0.87480269246111053</v>
      </c>
      <c r="E123" s="3">
        <f t="shared" si="4"/>
        <v>64.014434892116526</v>
      </c>
    </row>
    <row r="124" spans="1:7" ht="15.75" customHeight="1" x14ac:dyDescent="0.25">
      <c r="A124" s="3">
        <v>2</v>
      </c>
      <c r="B124" s="3">
        <v>26</v>
      </c>
      <c r="C124" s="3">
        <v>80</v>
      </c>
      <c r="D124" s="3">
        <v>1.2914174590605356</v>
      </c>
      <c r="E124" s="3">
        <f t="shared" si="4"/>
        <v>61.947435694571922</v>
      </c>
    </row>
    <row r="125" spans="1:7" ht="15.75" customHeight="1" x14ac:dyDescent="0.25">
      <c r="A125" s="3">
        <v>3</v>
      </c>
      <c r="B125" s="3">
        <v>27</v>
      </c>
      <c r="C125" s="3">
        <v>70</v>
      </c>
      <c r="D125" s="3">
        <v>1.106485648345414</v>
      </c>
      <c r="E125" s="3">
        <f t="shared" si="4"/>
        <v>63.263360084854845</v>
      </c>
    </row>
    <row r="126" spans="1:7" ht="15.75" customHeight="1" x14ac:dyDescent="0.25">
      <c r="A126" s="3">
        <v>4</v>
      </c>
      <c r="B126" s="3">
        <v>28</v>
      </c>
      <c r="C126" s="3">
        <v>54</v>
      </c>
      <c r="D126" s="3">
        <v>0.68634274187588329</v>
      </c>
      <c r="E126" s="3">
        <f t="shared" si="4"/>
        <v>78.677891824730978</v>
      </c>
    </row>
    <row r="127" spans="1:7" ht="15.75" customHeight="1" x14ac:dyDescent="0.3">
      <c r="A127" s="3">
        <v>1</v>
      </c>
      <c r="B127" s="3">
        <v>29</v>
      </c>
      <c r="C127" s="29">
        <f>$F$133+(B127*$E$133)</f>
        <v>78.491299999999995</v>
      </c>
      <c r="D127" s="3">
        <v>0.87480269246111053</v>
      </c>
      <c r="E127" s="36">
        <f t="shared" si="4"/>
        <v>89.724575240135465</v>
      </c>
      <c r="F127" s="144" t="s">
        <v>43</v>
      </c>
      <c r="G127" s="144"/>
    </row>
    <row r="128" spans="1:7" ht="15.75" customHeight="1" x14ac:dyDescent="0.3">
      <c r="A128" s="3">
        <v>2</v>
      </c>
      <c r="B128" s="3">
        <v>30</v>
      </c>
      <c r="C128" s="29">
        <f>$F$133+(B128*$E$133)</f>
        <v>80.817000000000007</v>
      </c>
      <c r="D128" s="3">
        <v>1.2914174590605356</v>
      </c>
      <c r="E128" s="36">
        <f t="shared" ref="E128:E129" si="5">C128/D128</f>
        <v>62.580073881602743</v>
      </c>
      <c r="F128" s="144"/>
      <c r="G128" s="144"/>
    </row>
    <row r="129" spans="1:7" ht="15.75" customHeight="1" x14ac:dyDescent="0.3">
      <c r="A129" s="3">
        <v>3</v>
      </c>
      <c r="B129" s="3">
        <v>31</v>
      </c>
      <c r="C129" s="29">
        <f>$F$133+(B129*$E$133)</f>
        <v>83.142699999999991</v>
      </c>
      <c r="D129" s="3">
        <v>1.106485648345414</v>
      </c>
      <c r="E129" s="36">
        <f t="shared" si="5"/>
        <v>75.141236693243727</v>
      </c>
      <c r="F129" s="144"/>
      <c r="G129" s="144"/>
    </row>
    <row r="130" spans="1:7" ht="15.75" customHeight="1" x14ac:dyDescent="0.3">
      <c r="A130" s="3">
        <v>4</v>
      </c>
      <c r="B130" s="3">
        <v>32</v>
      </c>
      <c r="C130" s="29">
        <f>$F$133+(B130*$E$133)</f>
        <v>85.468400000000003</v>
      </c>
      <c r="D130" s="3">
        <v>0.68634274187588329</v>
      </c>
      <c r="E130" s="36">
        <f>C130/D130</f>
        <v>124.52728758579327</v>
      </c>
      <c r="F130" s="144"/>
      <c r="G130" s="144"/>
    </row>
    <row r="132" spans="1:7" ht="30.5" customHeight="1" x14ac:dyDescent="0.25">
      <c r="E132" s="67" t="s">
        <v>26</v>
      </c>
      <c r="F132" s="142" t="s">
        <v>44</v>
      </c>
    </row>
    <row r="133" spans="1:7" ht="15.75" customHeight="1" x14ac:dyDescent="0.25">
      <c r="E133" s="67">
        <v>2.3256999999999999</v>
      </c>
      <c r="F133" s="67">
        <v>11.045999999999999</v>
      </c>
    </row>
  </sheetData>
  <mergeCells count="1">
    <mergeCell ref="F127:G130"/>
  </mergeCells>
  <pageMargins left="0" right="0" top="0" bottom="0"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86"/>
  <sheetViews>
    <sheetView zoomScale="80" zoomScaleNormal="80" workbookViewId="0">
      <selection activeCell="G7" sqref="G7"/>
    </sheetView>
  </sheetViews>
  <sheetFormatPr baseColWidth="10" defaultColWidth="12.54296875" defaultRowHeight="15.75" customHeight="1" x14ac:dyDescent="0.25"/>
  <cols>
    <col min="1" max="1" width="9.26953125" customWidth="1"/>
    <col min="2" max="2" width="11.54296875" customWidth="1"/>
    <col min="3" max="3" width="7.90625" customWidth="1"/>
    <col min="4" max="4" width="6.7265625" customWidth="1"/>
    <col min="5" max="5" width="6.6328125" customWidth="1"/>
    <col min="6" max="6" width="9.26953125" customWidth="1"/>
    <col min="7" max="7" width="7.54296875" customWidth="1"/>
    <col min="8" max="8" width="10.90625" customWidth="1"/>
    <col min="9" max="9" width="9.7265625" customWidth="1"/>
    <col min="10" max="10" width="12.90625" customWidth="1"/>
    <col min="11" max="11" width="10.6328125" customWidth="1"/>
  </cols>
  <sheetData>
    <row r="1" spans="1:7" ht="25" customHeight="1" x14ac:dyDescent="0.3">
      <c r="A1" s="79" t="s">
        <v>0</v>
      </c>
      <c r="B1" s="131" t="s">
        <v>1</v>
      </c>
      <c r="C1" s="131"/>
    </row>
    <row r="2" spans="1:7" ht="33.5" customHeight="1" x14ac:dyDescent="0.3">
      <c r="A2" s="130" t="s">
        <v>2</v>
      </c>
      <c r="B2" s="131" t="s">
        <v>3</v>
      </c>
      <c r="C2" s="131"/>
    </row>
    <row r="3" spans="1:7" ht="15.75" customHeight="1" x14ac:dyDescent="0.3">
      <c r="A3" s="130" t="s">
        <v>4</v>
      </c>
      <c r="B3" s="132" t="s">
        <v>179</v>
      </c>
      <c r="C3" s="131"/>
    </row>
    <row r="4" spans="1:7" ht="15.75" customHeight="1" x14ac:dyDescent="0.3">
      <c r="A4" s="131"/>
      <c r="B4" s="130" t="s">
        <v>6</v>
      </c>
      <c r="C4" s="130" t="s">
        <v>5</v>
      </c>
    </row>
    <row r="5" spans="1:7" ht="15.75" customHeight="1" x14ac:dyDescent="0.25">
      <c r="A5" s="131"/>
      <c r="B5" s="132" t="s">
        <v>180</v>
      </c>
      <c r="C5" s="132">
        <v>1724083</v>
      </c>
    </row>
    <row r="6" spans="1:7" ht="15.75" customHeight="1" x14ac:dyDescent="0.25">
      <c r="A6" s="131"/>
      <c r="B6" s="132" t="s">
        <v>181</v>
      </c>
      <c r="C6" s="131">
        <v>1726924</v>
      </c>
    </row>
    <row r="7" spans="1:7" ht="24.5" customHeight="1" x14ac:dyDescent="0.25">
      <c r="A7" s="131"/>
      <c r="B7" s="132" t="s">
        <v>182</v>
      </c>
      <c r="C7" s="132">
        <v>1730680</v>
      </c>
    </row>
    <row r="8" spans="1:7" ht="15.75" customHeight="1" x14ac:dyDescent="0.25">
      <c r="G8">
        <v>75</v>
      </c>
    </row>
    <row r="25" spans="2:9" ht="15.75" customHeight="1" x14ac:dyDescent="0.3">
      <c r="B25" s="65" t="s">
        <v>45</v>
      </c>
      <c r="C25" s="65" t="s">
        <v>46</v>
      </c>
      <c r="D25" s="65" t="s">
        <v>47</v>
      </c>
      <c r="E25" s="65" t="s">
        <v>48</v>
      </c>
      <c r="F25" s="65" t="s">
        <v>49</v>
      </c>
      <c r="G25" s="65" t="s">
        <v>50</v>
      </c>
    </row>
    <row r="26" spans="2:9" ht="15.75" customHeight="1" x14ac:dyDescent="0.25">
      <c r="B26" s="12">
        <v>1</v>
      </c>
      <c r="C26" s="12">
        <v>9</v>
      </c>
      <c r="D26" s="12">
        <v>22.5</v>
      </c>
      <c r="E26" s="12">
        <v>12</v>
      </c>
      <c r="F26" s="12">
        <v>6</v>
      </c>
      <c r="G26" s="12">
        <v>49.5</v>
      </c>
    </row>
    <row r="27" spans="2:9" ht="15.75" customHeight="1" x14ac:dyDescent="0.25">
      <c r="B27" s="12">
        <v>2</v>
      </c>
      <c r="C27" s="12">
        <v>15</v>
      </c>
      <c r="D27" s="12">
        <v>27</v>
      </c>
      <c r="E27" s="12">
        <v>22.5</v>
      </c>
      <c r="F27" s="12">
        <v>10.5</v>
      </c>
      <c r="G27" s="12">
        <v>75</v>
      </c>
      <c r="I27" s="78">
        <f>1-H53</f>
        <v>0.12071728611555199</v>
      </c>
    </row>
    <row r="28" spans="2:9" ht="15.75" customHeight="1" x14ac:dyDescent="0.25">
      <c r="B28" s="12">
        <v>3</v>
      </c>
      <c r="C28" s="12">
        <v>21</v>
      </c>
      <c r="D28" s="12">
        <v>42</v>
      </c>
      <c r="E28" s="12">
        <v>34.5</v>
      </c>
      <c r="F28" s="12">
        <v>18</v>
      </c>
      <c r="G28" s="12">
        <v>115.5</v>
      </c>
      <c r="I28" s="78">
        <f t="shared" ref="I28:I30" si="0">1-H54</f>
        <v>-0.35841594423632905</v>
      </c>
    </row>
    <row r="29" spans="2:9" ht="15.75" customHeight="1" x14ac:dyDescent="0.25">
      <c r="B29" s="12">
        <v>4</v>
      </c>
      <c r="C29" s="12">
        <v>28.5</v>
      </c>
      <c r="D29" s="12">
        <v>42</v>
      </c>
      <c r="E29" s="12">
        <v>37.5</v>
      </c>
      <c r="F29" s="12">
        <v>29</v>
      </c>
      <c r="G29" s="12">
        <v>137</v>
      </c>
      <c r="I29" s="78">
        <f t="shared" si="0"/>
        <v>-5.6427682819977898E-2</v>
      </c>
    </row>
    <row r="30" spans="2:9" ht="15.75" customHeight="1" x14ac:dyDescent="0.25">
      <c r="B30" s="12">
        <v>5</v>
      </c>
      <c r="C30" s="12">
        <v>33</v>
      </c>
      <c r="D30" s="12">
        <v>52</v>
      </c>
      <c r="E30" s="12">
        <v>42</v>
      </c>
      <c r="F30" s="12">
        <v>31.5</v>
      </c>
      <c r="G30" s="12">
        <v>157.5</v>
      </c>
      <c r="I30" s="78">
        <f t="shared" si="0"/>
        <v>0.36716967115190635</v>
      </c>
    </row>
    <row r="31" spans="2:9" ht="15.75" customHeight="1" x14ac:dyDescent="0.25">
      <c r="B31" s="12">
        <v>6</v>
      </c>
      <c r="C31" s="12">
        <v>33</v>
      </c>
      <c r="D31" s="12">
        <v>52</v>
      </c>
      <c r="E31" s="12">
        <v>42</v>
      </c>
      <c r="F31" s="12">
        <v>31.5</v>
      </c>
      <c r="G31" s="12">
        <v>165</v>
      </c>
      <c r="I31" s="48"/>
    </row>
    <row r="32" spans="2:9" ht="15.75" customHeight="1" x14ac:dyDescent="0.25">
      <c r="B32" s="12">
        <v>7</v>
      </c>
      <c r="C32" s="12">
        <v>42</v>
      </c>
      <c r="D32" s="12">
        <v>60</v>
      </c>
      <c r="E32" s="12">
        <v>54</v>
      </c>
      <c r="F32" s="12">
        <v>40.5</v>
      </c>
      <c r="G32" s="12">
        <v>196.5</v>
      </c>
    </row>
    <row r="34" spans="2:12" ht="15.75" customHeight="1" x14ac:dyDescent="0.25">
      <c r="C34" t="s">
        <v>51</v>
      </c>
      <c r="D34" s="16">
        <f>INTERCEPT(D53:D80,A53:A80)</f>
        <v>11.519841269841269</v>
      </c>
      <c r="L34" s="16"/>
    </row>
    <row r="35" spans="2:12" ht="25" customHeight="1" x14ac:dyDescent="0.25">
      <c r="B35" t="s">
        <v>52</v>
      </c>
      <c r="C35" s="22" t="s">
        <v>53</v>
      </c>
      <c r="D35" s="16">
        <f>SLOPE(D53:D80,A53:A80)</f>
        <v>1.3988779419813901</v>
      </c>
      <c r="L35" s="16"/>
    </row>
    <row r="36" spans="2:12" ht="15.75" customHeight="1" x14ac:dyDescent="0.25">
      <c r="L36" s="16"/>
    </row>
    <row r="37" spans="2:12" ht="15.75" customHeight="1" x14ac:dyDescent="0.25">
      <c r="L37" s="16"/>
    </row>
    <row r="38" spans="2:12" ht="15.75" customHeight="1" x14ac:dyDescent="0.25">
      <c r="L38" s="16"/>
    </row>
    <row r="39" spans="2:12" ht="15.75" customHeight="1" x14ac:dyDescent="0.25">
      <c r="L39" s="16"/>
    </row>
    <row r="40" spans="2:12" ht="15.75" customHeight="1" x14ac:dyDescent="0.25">
      <c r="L40" s="16"/>
    </row>
    <row r="41" spans="2:12" ht="15.75" customHeight="1" x14ac:dyDescent="0.25">
      <c r="L41" s="16"/>
    </row>
    <row r="42" spans="2:12" ht="15.75" customHeight="1" x14ac:dyDescent="0.25">
      <c r="L42" s="16"/>
    </row>
    <row r="43" spans="2:12" ht="15.75" customHeight="1" x14ac:dyDescent="0.25">
      <c r="L43" s="16"/>
    </row>
    <row r="44" spans="2:12" ht="15.75" customHeight="1" x14ac:dyDescent="0.25">
      <c r="L44" s="16"/>
    </row>
    <row r="45" spans="2:12" ht="15.75" customHeight="1" x14ac:dyDescent="0.25">
      <c r="L45" s="16"/>
    </row>
    <row r="46" spans="2:12" ht="15.75" customHeight="1" x14ac:dyDescent="0.25">
      <c r="L46" s="16"/>
    </row>
    <row r="47" spans="2:12" ht="15.75" customHeight="1" x14ac:dyDescent="0.25">
      <c r="L47" s="16"/>
    </row>
    <row r="48" spans="2:12" ht="15.75" customHeight="1" x14ac:dyDescent="0.25">
      <c r="L48" s="16"/>
    </row>
    <row r="49" spans="1:12" ht="15.75" customHeight="1" x14ac:dyDescent="0.25">
      <c r="L49" s="16"/>
    </row>
    <row r="50" spans="1:12" ht="15.75" customHeight="1" x14ac:dyDescent="0.25">
      <c r="L50" s="16"/>
    </row>
    <row r="51" spans="1:12" ht="15.75" customHeight="1" x14ac:dyDescent="0.25">
      <c r="L51" s="16"/>
    </row>
    <row r="52" spans="1:12" ht="68.5" customHeight="1" x14ac:dyDescent="0.3">
      <c r="B52" s="71" t="s">
        <v>45</v>
      </c>
      <c r="C52" s="71" t="s">
        <v>54</v>
      </c>
      <c r="D52" s="71" t="s">
        <v>10</v>
      </c>
      <c r="E52" s="71" t="s">
        <v>55</v>
      </c>
      <c r="F52" s="71" t="s">
        <v>56</v>
      </c>
      <c r="G52" s="71" t="s">
        <v>57</v>
      </c>
      <c r="H52" s="71" t="s">
        <v>58</v>
      </c>
      <c r="I52" s="71" t="s">
        <v>59</v>
      </c>
      <c r="J52" s="71" t="s">
        <v>60</v>
      </c>
      <c r="K52" s="71" t="s">
        <v>61</v>
      </c>
    </row>
    <row r="53" spans="1:12" ht="15.75" customHeight="1" x14ac:dyDescent="0.25">
      <c r="A53" s="48">
        <v>1</v>
      </c>
      <c r="B53" s="48">
        <v>1</v>
      </c>
      <c r="C53" s="48">
        <v>1</v>
      </c>
      <c r="D53" s="48">
        <v>9</v>
      </c>
      <c r="E53" s="48"/>
      <c r="F53" s="48"/>
      <c r="G53" s="48"/>
      <c r="H53" s="72">
        <f>H57</f>
        <v>0.87928271388444801</v>
      </c>
      <c r="I53" s="73">
        <f t="shared" ref="I53:I54" si="1">D53/H53</f>
        <v>10.235615755756511</v>
      </c>
      <c r="J53" s="73">
        <f t="shared" ref="J53:J84" si="2">$D$35*A53+$D$34</f>
        <v>12.918719211822658</v>
      </c>
      <c r="K53" s="73">
        <f>J53*H53</f>
        <v>11.359206488482585</v>
      </c>
    </row>
    <row r="54" spans="1:12" ht="15.75" customHeight="1" x14ac:dyDescent="0.25">
      <c r="A54" s="48">
        <v>2</v>
      </c>
      <c r="B54" s="48"/>
      <c r="C54" s="48">
        <v>2</v>
      </c>
      <c r="D54" s="48">
        <v>22.5</v>
      </c>
      <c r="E54" s="48"/>
      <c r="F54" s="48"/>
      <c r="G54" s="48"/>
      <c r="H54" s="72">
        <f>H58</f>
        <v>1.3584159442363291</v>
      </c>
      <c r="I54" s="73">
        <f t="shared" si="1"/>
        <v>16.563409827060735</v>
      </c>
      <c r="J54" s="73">
        <f t="shared" si="2"/>
        <v>14.31759715380405</v>
      </c>
      <c r="K54" s="73">
        <f t="shared" ref="K54:K84" si="3">J54*H54</f>
        <v>19.449252256880104</v>
      </c>
    </row>
    <row r="55" spans="1:12" ht="15.75" customHeight="1" x14ac:dyDescent="0.3">
      <c r="A55" s="48">
        <v>3</v>
      </c>
      <c r="B55" s="48"/>
      <c r="C55" s="48">
        <v>3</v>
      </c>
      <c r="D55" s="48">
        <v>12</v>
      </c>
      <c r="E55" s="48">
        <f>AVERAGE(D53:D56)</f>
        <v>12.375</v>
      </c>
      <c r="F55" s="48">
        <f>+AVERAGE(E55:E56)</f>
        <v>13.125</v>
      </c>
      <c r="G55" s="72">
        <f>D55/F55</f>
        <v>0.91428571428571426</v>
      </c>
      <c r="H55" s="70">
        <f>AVERAGE(G55,G63,G67,G71,G75,G79)</f>
        <v>1.0564276828199779</v>
      </c>
      <c r="I55" s="73">
        <f>D55/H55</f>
        <v>11.359035923753693</v>
      </c>
      <c r="J55" s="73">
        <f t="shared" si="2"/>
        <v>15.716475095785439</v>
      </c>
      <c r="K55" s="73">
        <f t="shared" si="3"/>
        <v>16.6033193675385</v>
      </c>
    </row>
    <row r="56" spans="1:12" ht="15.75" customHeight="1" x14ac:dyDescent="0.3">
      <c r="A56" s="48">
        <v>4</v>
      </c>
      <c r="B56" s="48"/>
      <c r="C56" s="48">
        <v>4</v>
      </c>
      <c r="D56" s="48">
        <v>6</v>
      </c>
      <c r="E56" s="48">
        <f>+AVERAGE(D54:D57)</f>
        <v>13.875</v>
      </c>
      <c r="F56" s="48">
        <f>+AVERAGE(E56:E57)</f>
        <v>14.4375</v>
      </c>
      <c r="G56" s="72">
        <f>D56/F56</f>
        <v>0.41558441558441561</v>
      </c>
      <c r="H56" s="70">
        <f>+AVERAGE(G56,G60,G64,G68,G72,G76)</f>
        <v>0.63283032884809365</v>
      </c>
      <c r="I56" s="73">
        <f t="shared" ref="I56:I80" si="4">D56/H56</f>
        <v>9.481214357917187</v>
      </c>
      <c r="J56" s="73">
        <f t="shared" si="2"/>
        <v>17.11535303776683</v>
      </c>
      <c r="K56" s="73">
        <f t="shared" si="3"/>
        <v>10.831114491241202</v>
      </c>
    </row>
    <row r="57" spans="1:12" ht="15.75" customHeight="1" x14ac:dyDescent="0.3">
      <c r="A57" s="48">
        <v>5</v>
      </c>
      <c r="B57" s="48">
        <v>2</v>
      </c>
      <c r="C57" s="48">
        <v>1</v>
      </c>
      <c r="D57" s="48">
        <v>15</v>
      </c>
      <c r="E57" s="48">
        <f t="shared" ref="E57:E79" si="5">+AVERAGE(D55:D58)</f>
        <v>15</v>
      </c>
      <c r="F57" s="48">
        <f t="shared" ref="F57:F79" si="6">+AVERAGE(E57:E58)</f>
        <v>16.3125</v>
      </c>
      <c r="G57" s="72">
        <f t="shared" ref="G57:G79" si="7">D57/F57</f>
        <v>0.91954022988505746</v>
      </c>
      <c r="H57" s="70">
        <f>+AVERAGE(G57,G61,G65,G69,G73,G77)</f>
        <v>0.87928271388444801</v>
      </c>
      <c r="I57" s="73">
        <f t="shared" si="4"/>
        <v>17.059359592927517</v>
      </c>
      <c r="J57" s="73">
        <f t="shared" si="2"/>
        <v>18.51423097974822</v>
      </c>
      <c r="K57" s="73">
        <f t="shared" si="3"/>
        <v>16.279243261356537</v>
      </c>
    </row>
    <row r="58" spans="1:12" ht="15.75" customHeight="1" x14ac:dyDescent="0.3">
      <c r="A58" s="48">
        <v>6</v>
      </c>
      <c r="B58" s="48"/>
      <c r="C58" s="48">
        <v>2</v>
      </c>
      <c r="D58" s="48">
        <v>27</v>
      </c>
      <c r="E58" s="48">
        <f t="shared" si="5"/>
        <v>17.625</v>
      </c>
      <c r="F58" s="48">
        <f t="shared" si="6"/>
        <v>18.1875</v>
      </c>
      <c r="G58" s="72">
        <f t="shared" si="7"/>
        <v>1.4845360824742269</v>
      </c>
      <c r="H58" s="70">
        <f>+AVERAGE(G58,G62,G66,G70,G74,G78)</f>
        <v>1.3584159442363291</v>
      </c>
      <c r="I58" s="73">
        <f t="shared" si="4"/>
        <v>19.876091792472881</v>
      </c>
      <c r="J58" s="73">
        <f t="shared" si="2"/>
        <v>19.913108921729609</v>
      </c>
      <c r="K58" s="73">
        <f t="shared" si="3"/>
        <v>27.050284658592197</v>
      </c>
    </row>
    <row r="59" spans="1:12" ht="15.75" customHeight="1" x14ac:dyDescent="0.25">
      <c r="A59" s="48">
        <v>7</v>
      </c>
      <c r="B59" s="48"/>
      <c r="C59" s="48">
        <v>3</v>
      </c>
      <c r="D59" s="48">
        <v>22.5</v>
      </c>
      <c r="E59" s="48">
        <f t="shared" si="5"/>
        <v>18.75</v>
      </c>
      <c r="F59" s="48">
        <f t="shared" si="6"/>
        <v>19.5</v>
      </c>
      <c r="G59" s="72">
        <f t="shared" si="7"/>
        <v>1.1538461538461537</v>
      </c>
      <c r="H59" s="72">
        <f>H55</f>
        <v>1.0564276828199779</v>
      </c>
      <c r="I59" s="73">
        <f t="shared" si="4"/>
        <v>21.298192357038172</v>
      </c>
      <c r="J59" s="73">
        <f t="shared" si="2"/>
        <v>21.311986863710999</v>
      </c>
      <c r="K59" s="73">
        <f t="shared" si="3"/>
        <v>22.514572898720019</v>
      </c>
    </row>
    <row r="60" spans="1:12" ht="15.75" customHeight="1" x14ac:dyDescent="0.25">
      <c r="A60" s="48">
        <v>8</v>
      </c>
      <c r="B60" s="48"/>
      <c r="C60" s="48">
        <v>4</v>
      </c>
      <c r="D60" s="48">
        <v>10.5</v>
      </c>
      <c r="E60" s="48">
        <f t="shared" si="5"/>
        <v>20.25</v>
      </c>
      <c r="F60" s="48">
        <f t="shared" si="6"/>
        <v>22.125</v>
      </c>
      <c r="G60" s="72">
        <f t="shared" si="7"/>
        <v>0.47457627118644069</v>
      </c>
      <c r="H60" s="72">
        <f>H56</f>
        <v>0.63283032884809365</v>
      </c>
      <c r="I60" s="73">
        <f t="shared" si="4"/>
        <v>16.592125126355075</v>
      </c>
      <c r="J60" s="73">
        <f t="shared" si="2"/>
        <v>22.710864805692388</v>
      </c>
      <c r="K60" s="73">
        <f t="shared" si="3"/>
        <v>14.37212404341091</v>
      </c>
    </row>
    <row r="61" spans="1:12" ht="15.75" customHeight="1" x14ac:dyDescent="0.25">
      <c r="A61" s="48">
        <v>9</v>
      </c>
      <c r="B61" s="48">
        <v>3</v>
      </c>
      <c r="C61" s="48">
        <v>1</v>
      </c>
      <c r="D61" s="48">
        <v>21</v>
      </c>
      <c r="E61" s="48">
        <f t="shared" si="5"/>
        <v>24</v>
      </c>
      <c r="F61" s="48">
        <f t="shared" si="6"/>
        <v>25.5</v>
      </c>
      <c r="G61" s="72">
        <f t="shared" si="7"/>
        <v>0.82352941176470584</v>
      </c>
      <c r="H61" s="72">
        <f>H57</f>
        <v>0.87928271388444801</v>
      </c>
      <c r="I61" s="73">
        <f t="shared" si="4"/>
        <v>23.883103430098526</v>
      </c>
      <c r="J61" s="73">
        <f t="shared" si="2"/>
        <v>24.109742747673778</v>
      </c>
      <c r="K61" s="73">
        <f t="shared" si="3"/>
        <v>21.199280034230487</v>
      </c>
    </row>
    <row r="62" spans="1:12" ht="15.75" customHeight="1" x14ac:dyDescent="0.25">
      <c r="A62" s="48">
        <v>10</v>
      </c>
      <c r="B62" s="48"/>
      <c r="C62" s="48">
        <v>2</v>
      </c>
      <c r="D62" s="48">
        <v>42</v>
      </c>
      <c r="E62" s="48">
        <f t="shared" si="5"/>
        <v>27</v>
      </c>
      <c r="F62" s="48">
        <f t="shared" si="6"/>
        <v>27.9375</v>
      </c>
      <c r="G62" s="72">
        <f t="shared" si="7"/>
        <v>1.5033557046979866</v>
      </c>
      <c r="H62" s="72">
        <f>H58</f>
        <v>1.3584159442363291</v>
      </c>
      <c r="I62" s="73">
        <f t="shared" si="4"/>
        <v>30.918365010513373</v>
      </c>
      <c r="J62" s="73">
        <f t="shared" si="2"/>
        <v>25.508620689655171</v>
      </c>
      <c r="K62" s="73">
        <f t="shared" si="3"/>
        <v>34.651317060304287</v>
      </c>
    </row>
    <row r="63" spans="1:12" ht="15.75" customHeight="1" x14ac:dyDescent="0.25">
      <c r="A63" s="48">
        <v>11</v>
      </c>
      <c r="B63" s="48"/>
      <c r="C63" s="48">
        <v>3</v>
      </c>
      <c r="D63" s="48">
        <v>34.5</v>
      </c>
      <c r="E63" s="48">
        <f t="shared" si="5"/>
        <v>28.875</v>
      </c>
      <c r="F63" s="48">
        <f t="shared" si="6"/>
        <v>29.8125</v>
      </c>
      <c r="G63" s="72">
        <f t="shared" si="7"/>
        <v>1.1572327044025157</v>
      </c>
      <c r="H63" s="72">
        <f t="shared" ref="H63:H84" si="8">H59</f>
        <v>1.0564276828199779</v>
      </c>
      <c r="I63" s="73">
        <f t="shared" si="4"/>
        <v>32.657228280791863</v>
      </c>
      <c r="J63" s="73">
        <f t="shared" si="2"/>
        <v>26.90749863163656</v>
      </c>
      <c r="K63" s="73">
        <f t="shared" si="3"/>
        <v>28.425826429901537</v>
      </c>
    </row>
    <row r="64" spans="1:12" ht="15.75" customHeight="1" x14ac:dyDescent="0.25">
      <c r="A64" s="48">
        <v>12</v>
      </c>
      <c r="B64" s="48"/>
      <c r="C64" s="48">
        <v>4</v>
      </c>
      <c r="D64" s="48">
        <v>18</v>
      </c>
      <c r="E64" s="48">
        <f t="shared" si="5"/>
        <v>30.75</v>
      </c>
      <c r="F64" s="48">
        <f t="shared" si="6"/>
        <v>30.75</v>
      </c>
      <c r="G64" s="72">
        <f t="shared" si="7"/>
        <v>0.58536585365853655</v>
      </c>
      <c r="H64" s="72">
        <f t="shared" si="8"/>
        <v>0.63283032884809365</v>
      </c>
      <c r="I64" s="73">
        <f t="shared" si="4"/>
        <v>28.443643073751559</v>
      </c>
      <c r="J64" s="73">
        <f t="shared" si="2"/>
        <v>28.30637657361795</v>
      </c>
      <c r="K64" s="73">
        <f t="shared" si="3"/>
        <v>17.913133595580621</v>
      </c>
    </row>
    <row r="65" spans="1:11" ht="15.75" customHeight="1" x14ac:dyDescent="0.25">
      <c r="A65" s="48">
        <v>13</v>
      </c>
      <c r="B65" s="48">
        <v>4</v>
      </c>
      <c r="C65" s="48">
        <v>1</v>
      </c>
      <c r="D65" s="48">
        <v>28.5</v>
      </c>
      <c r="E65" s="48">
        <f t="shared" si="5"/>
        <v>30.75</v>
      </c>
      <c r="F65" s="48">
        <f t="shared" si="6"/>
        <v>31.125</v>
      </c>
      <c r="G65" s="72">
        <f t="shared" si="7"/>
        <v>0.91566265060240959</v>
      </c>
      <c r="H65" s="72">
        <f t="shared" si="8"/>
        <v>0.87928271388444801</v>
      </c>
      <c r="I65" s="73">
        <f t="shared" si="4"/>
        <v>32.412783226562283</v>
      </c>
      <c r="J65" s="73">
        <f t="shared" si="2"/>
        <v>29.705254515599339</v>
      </c>
      <c r="K65" s="73">
        <f t="shared" si="3"/>
        <v>26.11931680710444</v>
      </c>
    </row>
    <row r="66" spans="1:11" ht="15.75" customHeight="1" x14ac:dyDescent="0.25">
      <c r="A66" s="48">
        <v>14</v>
      </c>
      <c r="B66" s="48"/>
      <c r="C66" s="48">
        <v>2</v>
      </c>
      <c r="D66" s="48">
        <v>42</v>
      </c>
      <c r="E66" s="48">
        <f t="shared" si="5"/>
        <v>31.5</v>
      </c>
      <c r="F66" s="48">
        <f t="shared" si="6"/>
        <v>32.875</v>
      </c>
      <c r="G66" s="72">
        <f t="shared" si="7"/>
        <v>1.2775665399239544</v>
      </c>
      <c r="H66" s="72">
        <f t="shared" si="8"/>
        <v>1.3584159442363291</v>
      </c>
      <c r="I66" s="73">
        <f t="shared" si="4"/>
        <v>30.918365010513373</v>
      </c>
      <c r="J66" s="73">
        <f t="shared" si="2"/>
        <v>31.104132457580732</v>
      </c>
      <c r="K66" s="73">
        <f t="shared" si="3"/>
        <v>42.252349462016383</v>
      </c>
    </row>
    <row r="67" spans="1:11" ht="15.75" customHeight="1" x14ac:dyDescent="0.25">
      <c r="A67" s="48">
        <v>15</v>
      </c>
      <c r="B67" s="48"/>
      <c r="C67" s="48">
        <v>3</v>
      </c>
      <c r="D67" s="48">
        <v>37.5</v>
      </c>
      <c r="E67" s="48">
        <f t="shared" si="5"/>
        <v>34.25</v>
      </c>
      <c r="F67" s="48">
        <f t="shared" si="6"/>
        <v>34.8125</v>
      </c>
      <c r="G67" s="72">
        <f t="shared" si="7"/>
        <v>1.0771992818671454</v>
      </c>
      <c r="H67" s="72">
        <f t="shared" si="8"/>
        <v>1.0564276828199779</v>
      </c>
      <c r="I67" s="73">
        <f t="shared" si="4"/>
        <v>35.49698726173029</v>
      </c>
      <c r="J67" s="73">
        <f t="shared" si="2"/>
        <v>32.503010399562122</v>
      </c>
      <c r="K67" s="73">
        <f t="shared" si="3"/>
        <v>34.337079961083056</v>
      </c>
    </row>
    <row r="68" spans="1:11" ht="15.75" customHeight="1" x14ac:dyDescent="0.25">
      <c r="A68" s="48">
        <v>16</v>
      </c>
      <c r="B68" s="48"/>
      <c r="C68" s="48">
        <v>4</v>
      </c>
      <c r="D68" s="48">
        <v>29</v>
      </c>
      <c r="E68" s="48">
        <f t="shared" si="5"/>
        <v>35.375</v>
      </c>
      <c r="F68" s="48">
        <f t="shared" si="6"/>
        <v>36.625</v>
      </c>
      <c r="G68" s="72">
        <f t="shared" si="7"/>
        <v>0.79180887372013653</v>
      </c>
      <c r="H68" s="72">
        <f t="shared" si="8"/>
        <v>0.63283032884809365</v>
      </c>
      <c r="I68" s="73">
        <f t="shared" si="4"/>
        <v>45.825869396599735</v>
      </c>
      <c r="J68" s="73">
        <f t="shared" si="2"/>
        <v>33.901888341543511</v>
      </c>
      <c r="K68" s="73">
        <f t="shared" si="3"/>
        <v>21.454143147750333</v>
      </c>
    </row>
    <row r="69" spans="1:11" ht="15.75" customHeight="1" x14ac:dyDescent="0.25">
      <c r="A69" s="48">
        <v>17</v>
      </c>
      <c r="B69" s="48">
        <v>5</v>
      </c>
      <c r="C69" s="48">
        <v>1</v>
      </c>
      <c r="D69" s="48">
        <v>33</v>
      </c>
      <c r="E69" s="48">
        <f t="shared" si="5"/>
        <v>37.875</v>
      </c>
      <c r="F69" s="48">
        <f t="shared" si="6"/>
        <v>38.4375</v>
      </c>
      <c r="G69" s="72">
        <f t="shared" si="7"/>
        <v>0.85853658536585364</v>
      </c>
      <c r="H69" s="72">
        <f t="shared" si="8"/>
        <v>0.87928271388444801</v>
      </c>
      <c r="I69" s="73">
        <f t="shared" si="4"/>
        <v>37.530591104440539</v>
      </c>
      <c r="J69" s="73">
        <f t="shared" si="2"/>
        <v>35.300766283524901</v>
      </c>
      <c r="K69" s="73">
        <f t="shared" si="3"/>
        <v>31.039353579978393</v>
      </c>
    </row>
    <row r="70" spans="1:11" ht="15.75" customHeight="1" x14ac:dyDescent="0.25">
      <c r="A70" s="48">
        <v>18</v>
      </c>
      <c r="B70" s="48"/>
      <c r="C70" s="48">
        <v>2</v>
      </c>
      <c r="D70" s="48">
        <v>52</v>
      </c>
      <c r="E70" s="48">
        <f t="shared" si="5"/>
        <v>39</v>
      </c>
      <c r="F70" s="48">
        <f t="shared" si="6"/>
        <v>39.3125</v>
      </c>
      <c r="G70" s="72">
        <f t="shared" si="7"/>
        <v>1.3227344992050873</v>
      </c>
      <c r="H70" s="72">
        <f t="shared" si="8"/>
        <v>1.3584159442363291</v>
      </c>
      <c r="I70" s="73">
        <f t="shared" si="4"/>
        <v>38.279880489207031</v>
      </c>
      <c r="J70" s="73">
        <f t="shared" si="2"/>
        <v>36.69964422550629</v>
      </c>
      <c r="K70" s="73">
        <f t="shared" si="3"/>
        <v>49.853381863728465</v>
      </c>
    </row>
    <row r="71" spans="1:11" ht="15.75" customHeight="1" x14ac:dyDescent="0.25">
      <c r="A71" s="48">
        <v>19</v>
      </c>
      <c r="B71" s="48"/>
      <c r="C71" s="48">
        <v>3</v>
      </c>
      <c r="D71" s="48">
        <v>42</v>
      </c>
      <c r="E71" s="48">
        <f t="shared" si="5"/>
        <v>39.625</v>
      </c>
      <c r="F71" s="48">
        <f t="shared" si="6"/>
        <v>39.625</v>
      </c>
      <c r="G71" s="72">
        <f t="shared" si="7"/>
        <v>1.0599369085173502</v>
      </c>
      <c r="H71" s="72">
        <f t="shared" si="8"/>
        <v>1.0564276828199779</v>
      </c>
      <c r="I71" s="73">
        <f t="shared" si="4"/>
        <v>39.756625733137923</v>
      </c>
      <c r="J71" s="73">
        <f t="shared" si="2"/>
        <v>38.098522167487687</v>
      </c>
      <c r="K71" s="73">
        <f t="shared" si="3"/>
        <v>40.248333492264578</v>
      </c>
    </row>
    <row r="72" spans="1:11" ht="15.75" customHeight="1" x14ac:dyDescent="0.25">
      <c r="A72" s="48">
        <v>20</v>
      </c>
      <c r="B72" s="48"/>
      <c r="C72" s="48">
        <v>4</v>
      </c>
      <c r="D72" s="48">
        <v>31.5</v>
      </c>
      <c r="E72" s="48">
        <f t="shared" si="5"/>
        <v>39.625</v>
      </c>
      <c r="F72" s="48">
        <f t="shared" si="6"/>
        <v>39.625</v>
      </c>
      <c r="G72" s="72">
        <f t="shared" si="7"/>
        <v>0.79495268138801267</v>
      </c>
      <c r="H72" s="72">
        <f t="shared" si="8"/>
        <v>0.63283032884809365</v>
      </c>
      <c r="I72" s="73">
        <f t="shared" si="4"/>
        <v>49.776375379065229</v>
      </c>
      <c r="J72" s="73">
        <f t="shared" si="2"/>
        <v>39.497400109469069</v>
      </c>
      <c r="K72" s="73">
        <f t="shared" si="3"/>
        <v>24.995152699920041</v>
      </c>
    </row>
    <row r="73" spans="1:11" ht="15.75" customHeight="1" x14ac:dyDescent="0.25">
      <c r="A73" s="48">
        <v>21</v>
      </c>
      <c r="B73" s="48">
        <v>6</v>
      </c>
      <c r="C73" s="48">
        <v>1</v>
      </c>
      <c r="D73" s="48">
        <v>33</v>
      </c>
      <c r="E73" s="48">
        <f t="shared" si="5"/>
        <v>39.625</v>
      </c>
      <c r="F73" s="48">
        <f t="shared" si="6"/>
        <v>39.625</v>
      </c>
      <c r="G73" s="72">
        <f t="shared" si="7"/>
        <v>0.83280757097791802</v>
      </c>
      <c r="H73" s="72">
        <f t="shared" si="8"/>
        <v>0.87928271388444801</v>
      </c>
      <c r="I73" s="73">
        <f t="shared" si="4"/>
        <v>37.530591104440539</v>
      </c>
      <c r="J73" s="73">
        <f t="shared" si="2"/>
        <v>40.896278051450466</v>
      </c>
      <c r="K73" s="73">
        <f t="shared" si="3"/>
        <v>35.959390352852353</v>
      </c>
    </row>
    <row r="74" spans="1:11" ht="15.75" customHeight="1" x14ac:dyDescent="0.25">
      <c r="A74" s="48">
        <v>22</v>
      </c>
      <c r="B74" s="48"/>
      <c r="C74" s="48">
        <v>2</v>
      </c>
      <c r="D74" s="48">
        <v>52</v>
      </c>
      <c r="E74" s="48">
        <f t="shared" si="5"/>
        <v>39.625</v>
      </c>
      <c r="F74" s="48">
        <f t="shared" si="6"/>
        <v>39.625</v>
      </c>
      <c r="G74" s="72">
        <f t="shared" si="7"/>
        <v>1.3123028391167193</v>
      </c>
      <c r="H74" s="72">
        <f t="shared" si="8"/>
        <v>1.3584159442363291</v>
      </c>
      <c r="I74" s="73">
        <f t="shared" si="4"/>
        <v>38.279880489207031</v>
      </c>
      <c r="J74" s="73">
        <f t="shared" si="2"/>
        <v>42.295155993431848</v>
      </c>
      <c r="K74" s="73">
        <f t="shared" si="3"/>
        <v>57.454414265440555</v>
      </c>
    </row>
    <row r="75" spans="1:11" ht="15.75" customHeight="1" x14ac:dyDescent="0.25">
      <c r="A75" s="48">
        <v>23</v>
      </c>
      <c r="B75" s="48"/>
      <c r="C75" s="48">
        <v>3</v>
      </c>
      <c r="D75" s="48">
        <v>42</v>
      </c>
      <c r="E75" s="48">
        <f t="shared" si="5"/>
        <v>39.625</v>
      </c>
      <c r="F75" s="48">
        <f t="shared" si="6"/>
        <v>40.75</v>
      </c>
      <c r="G75" s="72">
        <f t="shared" si="7"/>
        <v>1.0306748466257669</v>
      </c>
      <c r="H75" s="72">
        <f t="shared" si="8"/>
        <v>1.0564276828199779</v>
      </c>
      <c r="I75" s="73">
        <f t="shared" si="4"/>
        <v>39.756625733137923</v>
      </c>
      <c r="J75" s="73">
        <f t="shared" si="2"/>
        <v>43.694033935413245</v>
      </c>
      <c r="K75" s="73">
        <f t="shared" si="3"/>
        <v>46.159587023446093</v>
      </c>
    </row>
    <row r="76" spans="1:11" ht="15.75" customHeight="1" x14ac:dyDescent="0.25">
      <c r="A76" s="48">
        <v>24</v>
      </c>
      <c r="B76" s="48"/>
      <c r="C76" s="48">
        <v>4</v>
      </c>
      <c r="D76" s="48">
        <v>31.5</v>
      </c>
      <c r="E76" s="48">
        <f t="shared" si="5"/>
        <v>41.875</v>
      </c>
      <c r="F76" s="48">
        <f t="shared" si="6"/>
        <v>42.875</v>
      </c>
      <c r="G76" s="72">
        <f t="shared" si="7"/>
        <v>0.73469387755102045</v>
      </c>
      <c r="H76" s="72">
        <f t="shared" si="8"/>
        <v>0.63283032884809365</v>
      </c>
      <c r="I76" s="73">
        <f t="shared" si="4"/>
        <v>49.776375379065229</v>
      </c>
      <c r="J76" s="73">
        <f t="shared" si="2"/>
        <v>45.092911877394627</v>
      </c>
      <c r="K76" s="73">
        <f t="shared" si="3"/>
        <v>28.536162252089749</v>
      </c>
    </row>
    <row r="77" spans="1:11" ht="15.75" customHeight="1" x14ac:dyDescent="0.25">
      <c r="A77" s="48">
        <v>25</v>
      </c>
      <c r="B77" s="48">
        <v>7</v>
      </c>
      <c r="C77" s="48">
        <v>1</v>
      </c>
      <c r="D77" s="48">
        <v>42</v>
      </c>
      <c r="E77" s="48">
        <f t="shared" si="5"/>
        <v>43.875</v>
      </c>
      <c r="F77" s="48">
        <f t="shared" si="6"/>
        <v>45.375</v>
      </c>
      <c r="G77" s="72">
        <f t="shared" si="7"/>
        <v>0.92561983471074383</v>
      </c>
      <c r="H77" s="72">
        <f t="shared" si="8"/>
        <v>0.87928271388444801</v>
      </c>
      <c r="I77" s="73">
        <f t="shared" si="4"/>
        <v>47.766206860197052</v>
      </c>
      <c r="J77" s="73">
        <f t="shared" si="2"/>
        <v>46.491789819376024</v>
      </c>
      <c r="K77" s="73">
        <f t="shared" si="3"/>
        <v>40.879427125726302</v>
      </c>
    </row>
    <row r="78" spans="1:11" ht="15.75" customHeight="1" x14ac:dyDescent="0.25">
      <c r="A78" s="48">
        <v>26</v>
      </c>
      <c r="B78" s="48"/>
      <c r="C78" s="48">
        <v>2</v>
      </c>
      <c r="D78" s="48">
        <v>60</v>
      </c>
      <c r="E78" s="48">
        <f t="shared" si="5"/>
        <v>46.875</v>
      </c>
      <c r="F78" s="48">
        <f t="shared" si="6"/>
        <v>48</v>
      </c>
      <c r="G78" s="72">
        <f t="shared" si="7"/>
        <v>1.25</v>
      </c>
      <c r="H78" s="72">
        <f t="shared" si="8"/>
        <v>1.3584159442363291</v>
      </c>
      <c r="I78" s="73">
        <f t="shared" si="4"/>
        <v>44.169092872161961</v>
      </c>
      <c r="J78" s="73">
        <f t="shared" si="2"/>
        <v>47.890667761357406</v>
      </c>
      <c r="K78" s="73">
        <f t="shared" si="3"/>
        <v>65.055446667152637</v>
      </c>
    </row>
    <row r="79" spans="1:11" ht="15.75" customHeight="1" x14ac:dyDescent="0.25">
      <c r="A79" s="48">
        <v>27</v>
      </c>
      <c r="B79" s="48"/>
      <c r="C79" s="48">
        <v>3</v>
      </c>
      <c r="D79" s="48">
        <v>54</v>
      </c>
      <c r="E79" s="48">
        <f t="shared" si="5"/>
        <v>49.125</v>
      </c>
      <c r="F79" s="48">
        <f t="shared" si="6"/>
        <v>49.125</v>
      </c>
      <c r="G79" s="72">
        <f t="shared" si="7"/>
        <v>1.0992366412213741</v>
      </c>
      <c r="H79" s="72">
        <f t="shared" si="8"/>
        <v>1.0564276828199779</v>
      </c>
      <c r="I79" s="73">
        <f t="shared" si="4"/>
        <v>51.115661656891611</v>
      </c>
      <c r="J79" s="73">
        <f t="shared" si="2"/>
        <v>49.289545703338803</v>
      </c>
      <c r="K79" s="73">
        <f t="shared" si="3"/>
        <v>52.070840554627608</v>
      </c>
    </row>
    <row r="80" spans="1:11" ht="15.75" customHeight="1" x14ac:dyDescent="0.25">
      <c r="A80" s="48">
        <v>28</v>
      </c>
      <c r="B80" s="48"/>
      <c r="C80" s="48">
        <v>4</v>
      </c>
      <c r="D80" s="48">
        <v>40.5</v>
      </c>
      <c r="E80" s="48"/>
      <c r="F80" s="48"/>
      <c r="G80" s="48"/>
      <c r="H80" s="72">
        <f t="shared" si="8"/>
        <v>0.63283032884809365</v>
      </c>
      <c r="I80" s="73">
        <f t="shared" si="4"/>
        <v>63.998196915941008</v>
      </c>
      <c r="J80" s="73">
        <f t="shared" si="2"/>
        <v>50.688423645320199</v>
      </c>
      <c r="K80" s="73">
        <f t="shared" si="3"/>
        <v>32.077171804259464</v>
      </c>
    </row>
    <row r="81" spans="1:11" ht="15.75" customHeight="1" x14ac:dyDescent="0.25">
      <c r="A81" s="48">
        <v>29</v>
      </c>
      <c r="B81" s="74">
        <v>8</v>
      </c>
      <c r="C81" s="74">
        <v>1</v>
      </c>
      <c r="D81" s="74"/>
      <c r="E81" s="74"/>
      <c r="F81" s="74"/>
      <c r="G81" s="75"/>
      <c r="H81" s="75">
        <f t="shared" si="8"/>
        <v>0.87928271388444801</v>
      </c>
      <c r="I81" s="74"/>
      <c r="J81" s="76">
        <f t="shared" si="2"/>
        <v>52.087301587301582</v>
      </c>
      <c r="K81" s="76">
        <f t="shared" si="3"/>
        <v>45.799463898600251</v>
      </c>
    </row>
    <row r="82" spans="1:11" ht="15.75" customHeight="1" x14ac:dyDescent="0.25">
      <c r="A82" s="48">
        <v>30</v>
      </c>
      <c r="B82" s="74"/>
      <c r="C82" s="74">
        <v>2</v>
      </c>
      <c r="D82" s="74"/>
      <c r="E82" s="74"/>
      <c r="F82" s="74"/>
      <c r="G82" s="75"/>
      <c r="H82" s="75">
        <f t="shared" si="8"/>
        <v>1.3584159442363291</v>
      </c>
      <c r="I82" s="74"/>
      <c r="J82" s="76">
        <f t="shared" si="2"/>
        <v>53.486179529282978</v>
      </c>
      <c r="K82" s="76">
        <f t="shared" si="3"/>
        <v>72.656479068864755</v>
      </c>
    </row>
    <row r="83" spans="1:11" ht="15.75" customHeight="1" x14ac:dyDescent="0.25">
      <c r="A83" s="48">
        <v>31</v>
      </c>
      <c r="B83" s="74"/>
      <c r="C83" s="74">
        <v>3</v>
      </c>
      <c r="D83" s="74"/>
      <c r="E83" s="74"/>
      <c r="F83" s="74"/>
      <c r="G83" s="75"/>
      <c r="H83" s="75">
        <f t="shared" si="8"/>
        <v>1.0564276828199779</v>
      </c>
      <c r="I83" s="74"/>
      <c r="J83" s="76">
        <f t="shared" si="2"/>
        <v>54.885057471264361</v>
      </c>
      <c r="K83" s="76">
        <f t="shared" si="3"/>
        <v>57.982094085809123</v>
      </c>
    </row>
    <row r="84" spans="1:11" ht="15.75" customHeight="1" x14ac:dyDescent="0.25">
      <c r="A84" s="48">
        <v>32</v>
      </c>
      <c r="B84" s="74"/>
      <c r="C84" s="74">
        <v>4</v>
      </c>
      <c r="D84" s="74"/>
      <c r="E84" s="74"/>
      <c r="F84" s="74"/>
      <c r="G84" s="74"/>
      <c r="H84" s="75">
        <f t="shared" si="8"/>
        <v>0.63283032884809365</v>
      </c>
      <c r="I84" s="74"/>
      <c r="J84" s="76">
        <f t="shared" si="2"/>
        <v>56.283935413245757</v>
      </c>
      <c r="K84" s="76">
        <f t="shared" si="3"/>
        <v>35.618181356429176</v>
      </c>
    </row>
    <row r="86" spans="1:11" ht="15.75" customHeight="1" x14ac:dyDescent="0.25">
      <c r="C86" s="22"/>
    </row>
  </sheetData>
  <pageMargins left="0" right="0" top="0" bottom="0"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295"/>
  <sheetViews>
    <sheetView topLeftCell="A196" zoomScale="80" zoomScaleNormal="80" workbookViewId="0">
      <selection sqref="A1:C7"/>
    </sheetView>
  </sheetViews>
  <sheetFormatPr baseColWidth="10" defaultColWidth="12.54296875" defaultRowHeight="15.75" customHeight="1" x14ac:dyDescent="0.25"/>
  <cols>
    <col min="2" max="2" width="16.90625" customWidth="1"/>
    <col min="4" max="4" width="11.26953125" customWidth="1"/>
    <col min="6" max="6" width="14.36328125" customWidth="1"/>
    <col min="7" max="7" width="13.26953125" customWidth="1"/>
    <col min="8" max="8" width="14.1796875" customWidth="1"/>
    <col min="9" max="9" width="15.1796875" customWidth="1"/>
    <col min="10" max="10" width="7.1796875" customWidth="1"/>
    <col min="11" max="11" width="8.54296875" customWidth="1"/>
    <col min="12" max="12" width="15.90625" customWidth="1"/>
    <col min="13" max="13" width="18.26953125" customWidth="1"/>
    <col min="14" max="14" width="15" customWidth="1"/>
    <col min="15" max="15" width="9.90625" customWidth="1"/>
    <col min="16" max="16" width="16" customWidth="1"/>
    <col min="17" max="17" width="7.1796875" customWidth="1"/>
    <col min="18" max="18" width="15.26953125" customWidth="1"/>
    <col min="19" max="19" width="11.453125" customWidth="1"/>
    <col min="20" max="20" width="12.1796875" customWidth="1"/>
    <col min="21" max="21" width="15.26953125" bestFit="1" customWidth="1"/>
    <col min="22" max="22" width="10.453125" bestFit="1" customWidth="1"/>
    <col min="23" max="23" width="12.1796875" bestFit="1" customWidth="1"/>
    <col min="24" max="24" width="11.1796875" bestFit="1" customWidth="1"/>
    <col min="25" max="25" width="14.81640625" customWidth="1"/>
    <col min="26" max="26" width="17.1796875" customWidth="1"/>
    <col min="27" max="27" width="13" bestFit="1" customWidth="1"/>
    <col min="28" max="28" width="15.453125" customWidth="1"/>
  </cols>
  <sheetData>
    <row r="1" spans="1:3" ht="15.75" customHeight="1" x14ac:dyDescent="0.3">
      <c r="A1" s="79" t="s">
        <v>0</v>
      </c>
      <c r="B1" s="68"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41" spans="1:12" ht="15.75" customHeight="1" x14ac:dyDescent="0.25">
      <c r="B41" t="s">
        <v>62</v>
      </c>
    </row>
    <row r="43" spans="1:12" s="47" customFormat="1" ht="25.5" customHeight="1" x14ac:dyDescent="0.3">
      <c r="A43" s="80" t="s">
        <v>63</v>
      </c>
      <c r="B43" s="80" t="s">
        <v>64</v>
      </c>
      <c r="C43" s="80" t="s">
        <v>65</v>
      </c>
      <c r="D43" s="80" t="s">
        <v>19</v>
      </c>
      <c r="E43" s="80" t="s">
        <v>66</v>
      </c>
      <c r="F43" s="80" t="s">
        <v>12</v>
      </c>
      <c r="G43" s="80" t="s">
        <v>13</v>
      </c>
      <c r="H43" s="80" t="s">
        <v>14</v>
      </c>
      <c r="I43" s="80" t="s">
        <v>15</v>
      </c>
      <c r="J43" s="92" t="s">
        <v>67</v>
      </c>
      <c r="K43" s="80" t="s">
        <v>57</v>
      </c>
      <c r="L43" s="80" t="s">
        <v>68</v>
      </c>
    </row>
    <row r="44" spans="1:12" ht="15.75" customHeight="1" x14ac:dyDescent="0.25">
      <c r="A44" s="68">
        <v>1</v>
      </c>
      <c r="B44" s="81" t="s">
        <v>69</v>
      </c>
      <c r="C44" s="82">
        <v>40179</v>
      </c>
      <c r="D44" s="68">
        <v>349.17</v>
      </c>
      <c r="E44" s="68"/>
      <c r="F44" s="68"/>
      <c r="G44" s="68"/>
      <c r="H44" s="68"/>
      <c r="I44" s="68"/>
      <c r="J44" s="68"/>
      <c r="K44" s="68"/>
      <c r="L44" s="68"/>
    </row>
    <row r="45" spans="1:12" ht="15.75" customHeight="1" x14ac:dyDescent="0.25">
      <c r="A45" s="68">
        <v>2</v>
      </c>
      <c r="B45" s="81" t="s">
        <v>70</v>
      </c>
      <c r="C45" s="82">
        <v>40210</v>
      </c>
      <c r="D45" s="83">
        <v>339.07</v>
      </c>
      <c r="E45" s="68"/>
      <c r="F45" s="68"/>
      <c r="G45" s="68"/>
      <c r="H45" s="68"/>
      <c r="I45" s="68"/>
      <c r="J45" s="68"/>
      <c r="K45" s="68"/>
      <c r="L45" s="68"/>
    </row>
    <row r="46" spans="1:12" ht="15.75" customHeight="1" x14ac:dyDescent="0.25">
      <c r="A46" s="68">
        <v>3</v>
      </c>
      <c r="B46" s="81" t="s">
        <v>71</v>
      </c>
      <c r="C46" s="82">
        <v>40238</v>
      </c>
      <c r="D46" s="68">
        <v>334.74</v>
      </c>
      <c r="E46" s="83">
        <f t="shared" ref="E46:E77" si="0">+AVERAGE(D44:D47)</f>
        <v>319.95</v>
      </c>
      <c r="F46" s="83">
        <f t="shared" ref="F46:F77" si="1">+D48-E46</f>
        <v>-54.46999999999997</v>
      </c>
      <c r="G46" s="83">
        <f t="shared" ref="G46:G77" si="2">+ABS(F46)</f>
        <v>54.46999999999997</v>
      </c>
      <c r="H46" s="83">
        <f t="shared" ref="H46:H77" si="3">+POWER(G46,2)</f>
        <v>2966.9808999999968</v>
      </c>
      <c r="I46" s="83">
        <f t="shared" ref="I46:I77" si="4">+G46/D48</f>
        <v>0.20517553111345474</v>
      </c>
      <c r="J46" s="83">
        <f t="shared" ref="J46:J76" si="5">+AVERAGE(E46:E47)</f>
        <v>309.48874999999998</v>
      </c>
      <c r="K46" s="83">
        <f>+D46/J46</f>
        <v>1.0815902031980162</v>
      </c>
      <c r="L46" s="83">
        <f t="shared" ref="L46:L52" si="6">+AVERAGE(K46,K58,K70)</f>
        <v>1.0879202060674096</v>
      </c>
    </row>
    <row r="47" spans="1:12" ht="15.75" customHeight="1" x14ac:dyDescent="0.25">
      <c r="A47" s="68">
        <v>4</v>
      </c>
      <c r="B47" s="81" t="s">
        <v>72</v>
      </c>
      <c r="C47" s="82">
        <v>40269</v>
      </c>
      <c r="D47" s="68">
        <v>256.82</v>
      </c>
      <c r="E47" s="83">
        <f t="shared" si="0"/>
        <v>299.02749999999997</v>
      </c>
      <c r="F47" s="83">
        <f t="shared" si="1"/>
        <v>-97.027499999999975</v>
      </c>
      <c r="G47" s="83">
        <f t="shared" si="2"/>
        <v>97.027499999999975</v>
      </c>
      <c r="H47" s="83">
        <f t="shared" si="3"/>
        <v>9414.335756249995</v>
      </c>
      <c r="I47" s="83">
        <f t="shared" si="4"/>
        <v>0.48033415841584148</v>
      </c>
      <c r="J47" s="83">
        <f t="shared" si="5"/>
        <v>281.89374999999995</v>
      </c>
      <c r="K47" s="83">
        <f t="shared" ref="K47:K76" si="7">+D47/J47</f>
        <v>0.91105247987938731</v>
      </c>
      <c r="L47" s="83">
        <f t="shared" si="6"/>
        <v>0.92302260531046798</v>
      </c>
    </row>
    <row r="48" spans="1:12" ht="15.75" customHeight="1" x14ac:dyDescent="0.25">
      <c r="A48" s="68">
        <v>5</v>
      </c>
      <c r="B48" s="81" t="s">
        <v>73</v>
      </c>
      <c r="C48" s="82">
        <v>40299</v>
      </c>
      <c r="D48" s="68">
        <v>265.48</v>
      </c>
      <c r="E48" s="83">
        <f t="shared" si="0"/>
        <v>264.76</v>
      </c>
      <c r="F48" s="83">
        <f t="shared" si="1"/>
        <v>74.610000000000014</v>
      </c>
      <c r="G48" s="83">
        <f t="shared" si="2"/>
        <v>74.610000000000014</v>
      </c>
      <c r="H48" s="83">
        <f t="shared" si="3"/>
        <v>5566.6521000000021</v>
      </c>
      <c r="I48" s="83">
        <f t="shared" si="4"/>
        <v>0.21984854288829306</v>
      </c>
      <c r="J48" s="83">
        <f t="shared" si="5"/>
        <v>265.33875</v>
      </c>
      <c r="K48" s="83">
        <f t="shared" si="7"/>
        <v>1.0005323383787705</v>
      </c>
      <c r="L48" s="83">
        <f t="shared" si="6"/>
        <v>0.99346041128408935</v>
      </c>
    </row>
    <row r="49" spans="1:12" ht="15.75" customHeight="1" x14ac:dyDescent="0.25">
      <c r="A49" s="68">
        <v>6</v>
      </c>
      <c r="B49" s="81" t="s">
        <v>74</v>
      </c>
      <c r="C49" s="82">
        <v>40330</v>
      </c>
      <c r="D49" s="68">
        <v>202</v>
      </c>
      <c r="E49" s="83">
        <f t="shared" si="0"/>
        <v>265.91750000000002</v>
      </c>
      <c r="F49" s="83">
        <f t="shared" si="1"/>
        <v>89.842499999999973</v>
      </c>
      <c r="G49" s="83">
        <f t="shared" si="2"/>
        <v>89.842499999999973</v>
      </c>
      <c r="H49" s="83">
        <f t="shared" si="3"/>
        <v>8071.6748062499955</v>
      </c>
      <c r="I49" s="83">
        <f t="shared" si="4"/>
        <v>0.25253682257701815</v>
      </c>
      <c r="J49" s="83">
        <f t="shared" si="5"/>
        <v>278.28500000000003</v>
      </c>
      <c r="K49" s="83">
        <f t="shared" si="7"/>
        <v>0.72587455306610127</v>
      </c>
      <c r="L49" s="83">
        <f t="shared" si="6"/>
        <v>0.7247499425319216</v>
      </c>
    </row>
    <row r="50" spans="1:12" ht="15.75" customHeight="1" x14ac:dyDescent="0.25">
      <c r="A50" s="68">
        <v>7</v>
      </c>
      <c r="B50" s="81" t="s">
        <v>75</v>
      </c>
      <c r="C50" s="82">
        <v>40360</v>
      </c>
      <c r="D50" s="68">
        <v>339.37</v>
      </c>
      <c r="E50" s="83">
        <f t="shared" si="0"/>
        <v>290.65250000000003</v>
      </c>
      <c r="F50" s="83">
        <f t="shared" si="1"/>
        <v>-33.202500000000043</v>
      </c>
      <c r="G50" s="83">
        <f t="shared" si="2"/>
        <v>33.202500000000043</v>
      </c>
      <c r="H50" s="83">
        <f t="shared" si="3"/>
        <v>1102.406006250003</v>
      </c>
      <c r="I50" s="83">
        <f t="shared" si="4"/>
        <v>0.12896678966789685</v>
      </c>
      <c r="J50" s="83">
        <f t="shared" si="5"/>
        <v>289.64875000000001</v>
      </c>
      <c r="K50" s="83">
        <f t="shared" si="7"/>
        <v>1.171660502591501</v>
      </c>
      <c r="L50" s="83">
        <f t="shared" si="6"/>
        <v>1.1760659871757986</v>
      </c>
    </row>
    <row r="51" spans="1:12" ht="15.75" customHeight="1" x14ac:dyDescent="0.25">
      <c r="A51" s="68">
        <v>8</v>
      </c>
      <c r="B51" s="81" t="s">
        <v>76</v>
      </c>
      <c r="C51" s="82">
        <v>40391</v>
      </c>
      <c r="D51" s="68">
        <v>355.76</v>
      </c>
      <c r="E51" s="83">
        <f t="shared" si="0"/>
        <v>288.64499999999998</v>
      </c>
      <c r="F51" s="83">
        <f t="shared" si="1"/>
        <v>15.615000000000009</v>
      </c>
      <c r="G51" s="83">
        <f t="shared" si="2"/>
        <v>15.615000000000009</v>
      </c>
      <c r="H51" s="83">
        <f t="shared" si="3"/>
        <v>243.82822500000029</v>
      </c>
      <c r="I51" s="83">
        <f t="shared" si="4"/>
        <v>5.1321238414513935E-2</v>
      </c>
      <c r="J51" s="83">
        <f t="shared" si="5"/>
        <v>301.42750000000001</v>
      </c>
      <c r="K51" s="83">
        <f t="shared" si="7"/>
        <v>1.1802506407013293</v>
      </c>
      <c r="L51" s="83">
        <f t="shared" si="6"/>
        <v>1.1767448723671168</v>
      </c>
    </row>
    <row r="52" spans="1:12" ht="15.75" customHeight="1" x14ac:dyDescent="0.25">
      <c r="A52" s="68">
        <v>9</v>
      </c>
      <c r="B52" s="68" t="s">
        <v>77</v>
      </c>
      <c r="C52" s="82">
        <v>40422</v>
      </c>
      <c r="D52" s="68">
        <v>257.45</v>
      </c>
      <c r="E52" s="83">
        <f t="shared" si="0"/>
        <v>314.20999999999998</v>
      </c>
      <c r="F52" s="83">
        <f t="shared" si="1"/>
        <v>41.550000000000011</v>
      </c>
      <c r="G52" s="83">
        <f t="shared" si="2"/>
        <v>41.550000000000011</v>
      </c>
      <c r="H52" s="83">
        <f t="shared" si="3"/>
        <v>1726.4025000000011</v>
      </c>
      <c r="I52" s="83">
        <f t="shared" si="4"/>
        <v>0.1167922194738026</v>
      </c>
      <c r="J52" s="83">
        <f t="shared" si="5"/>
        <v>316.25874999999996</v>
      </c>
      <c r="K52" s="83">
        <f t="shared" si="7"/>
        <v>0.8140486231606241</v>
      </c>
      <c r="L52" s="83">
        <f t="shared" si="6"/>
        <v>0.82631139318989577</v>
      </c>
    </row>
    <row r="53" spans="1:12" ht="15.75" customHeight="1" x14ac:dyDescent="0.25">
      <c r="A53" s="68">
        <v>10</v>
      </c>
      <c r="B53" s="68" t="s">
        <v>78</v>
      </c>
      <c r="C53" s="82">
        <v>40452</v>
      </c>
      <c r="D53" s="68">
        <v>304.26</v>
      </c>
      <c r="E53" s="83">
        <f t="shared" si="0"/>
        <v>318.3075</v>
      </c>
      <c r="F53" s="83">
        <f t="shared" si="1"/>
        <v>163.83249999999998</v>
      </c>
      <c r="G53" s="83">
        <f t="shared" si="2"/>
        <v>163.83249999999998</v>
      </c>
      <c r="H53" s="83">
        <f t="shared" si="3"/>
        <v>26841.088056249995</v>
      </c>
      <c r="I53" s="83">
        <f t="shared" si="4"/>
        <v>0.33980275438669261</v>
      </c>
      <c r="J53" s="83">
        <f t="shared" si="5"/>
        <v>334.10500000000002</v>
      </c>
      <c r="K53" s="83">
        <f t="shared" si="7"/>
        <v>0.91067179479504934</v>
      </c>
      <c r="L53" s="83">
        <f>+AVERAGE(K53,K65)</f>
        <v>0.8784407662462792</v>
      </c>
    </row>
    <row r="54" spans="1:12" ht="15.75" customHeight="1" x14ac:dyDescent="0.25">
      <c r="A54" s="68">
        <v>11</v>
      </c>
      <c r="B54" s="68" t="s">
        <v>79</v>
      </c>
      <c r="C54" s="82">
        <v>40483</v>
      </c>
      <c r="D54" s="68">
        <v>355.76</v>
      </c>
      <c r="E54" s="83">
        <f t="shared" si="0"/>
        <v>349.90250000000003</v>
      </c>
      <c r="F54" s="83">
        <f t="shared" si="1"/>
        <v>29.557499999999948</v>
      </c>
      <c r="G54" s="83">
        <f t="shared" si="2"/>
        <v>29.557499999999948</v>
      </c>
      <c r="H54" s="83">
        <f t="shared" si="3"/>
        <v>873.64580624999689</v>
      </c>
      <c r="I54" s="83">
        <f t="shared" si="4"/>
        <v>7.789358562167277E-2</v>
      </c>
      <c r="J54" s="83">
        <f t="shared" si="5"/>
        <v>365.15375</v>
      </c>
      <c r="K54" s="83">
        <f t="shared" si="7"/>
        <v>0.9742745350417461</v>
      </c>
      <c r="L54" s="83">
        <f>+AVERAGE(K54,K66)</f>
        <v>0.98200951689414806</v>
      </c>
    </row>
    <row r="55" spans="1:12" ht="15.75" customHeight="1" x14ac:dyDescent="0.25">
      <c r="A55" s="68">
        <v>12</v>
      </c>
      <c r="B55" s="68" t="s">
        <v>80</v>
      </c>
      <c r="C55" s="82">
        <v>40513</v>
      </c>
      <c r="D55" s="68">
        <v>482.14</v>
      </c>
      <c r="E55" s="83">
        <f t="shared" si="0"/>
        <v>380.40499999999997</v>
      </c>
      <c r="F55" s="83">
        <f t="shared" si="1"/>
        <v>-37.014999999999986</v>
      </c>
      <c r="G55" s="83">
        <f t="shared" si="2"/>
        <v>37.014999999999986</v>
      </c>
      <c r="H55" s="83">
        <f t="shared" si="3"/>
        <v>1370.110224999999</v>
      </c>
      <c r="I55" s="83">
        <f t="shared" si="4"/>
        <v>0.10779288855237482</v>
      </c>
      <c r="J55" s="83">
        <f t="shared" si="5"/>
        <v>385.29624999999999</v>
      </c>
      <c r="K55" s="83">
        <f t="shared" si="7"/>
        <v>1.2513487997871768</v>
      </c>
      <c r="L55" s="83">
        <f>+AVERAGE(K55,K67)</f>
        <v>1.2695319716280125</v>
      </c>
    </row>
    <row r="56" spans="1:12" ht="15.75" customHeight="1" x14ac:dyDescent="0.25">
      <c r="A56" s="68">
        <v>1</v>
      </c>
      <c r="B56" s="81" t="s">
        <v>69</v>
      </c>
      <c r="C56" s="82">
        <v>40544</v>
      </c>
      <c r="D56" s="68">
        <v>379.46</v>
      </c>
      <c r="E56" s="83">
        <f t="shared" si="0"/>
        <v>390.1875</v>
      </c>
      <c r="F56" s="83">
        <f t="shared" si="1"/>
        <v>-33.807500000000005</v>
      </c>
      <c r="G56" s="83">
        <f t="shared" si="2"/>
        <v>33.807500000000005</v>
      </c>
      <c r="H56" s="83">
        <f t="shared" si="3"/>
        <v>1142.9470562500003</v>
      </c>
      <c r="I56" s="83">
        <f t="shared" si="4"/>
        <v>9.4863628710926559E-2</v>
      </c>
      <c r="J56" s="83">
        <f t="shared" si="5"/>
        <v>390.26499999999999</v>
      </c>
      <c r="K56" s="83">
        <f t="shared" si="7"/>
        <v>0.97231368429144294</v>
      </c>
      <c r="L56" s="83">
        <f>+AVERAGE(K56,K68)</f>
        <v>0.96491945823135938</v>
      </c>
    </row>
    <row r="57" spans="1:12" ht="15.75" customHeight="1" x14ac:dyDescent="0.25">
      <c r="A57" s="68">
        <v>2</v>
      </c>
      <c r="B57" s="81" t="s">
        <v>70</v>
      </c>
      <c r="C57" s="82">
        <v>40575</v>
      </c>
      <c r="D57" s="68">
        <v>343.39</v>
      </c>
      <c r="E57" s="83">
        <f t="shared" si="0"/>
        <v>390.34249999999997</v>
      </c>
      <c r="F57" s="83">
        <f t="shared" si="1"/>
        <v>-111.87249999999995</v>
      </c>
      <c r="G57" s="83">
        <f t="shared" si="2"/>
        <v>111.87249999999995</v>
      </c>
      <c r="H57" s="83">
        <f t="shared" si="3"/>
        <v>12515.456256249989</v>
      </c>
      <c r="I57" s="83">
        <f t="shared" si="4"/>
        <v>0.40173986425826819</v>
      </c>
      <c r="J57" s="83">
        <f t="shared" si="5"/>
        <v>364.88374999999996</v>
      </c>
      <c r="K57" s="83">
        <f t="shared" si="7"/>
        <v>0.94109425262155422</v>
      </c>
      <c r="L57" s="83">
        <f>+AVERAGE(K57,K69)</f>
        <v>0.93798603953309079</v>
      </c>
    </row>
    <row r="58" spans="1:12" ht="15.75" customHeight="1" x14ac:dyDescent="0.25">
      <c r="A58" s="68">
        <v>3</v>
      </c>
      <c r="B58" s="81" t="s">
        <v>71</v>
      </c>
      <c r="C58" s="82">
        <v>40603</v>
      </c>
      <c r="D58" s="68">
        <v>356.38</v>
      </c>
      <c r="E58" s="83">
        <f t="shared" si="0"/>
        <v>339.42500000000001</v>
      </c>
      <c r="F58" s="83">
        <f t="shared" si="1"/>
        <v>-60.954999999999984</v>
      </c>
      <c r="G58" s="83">
        <f t="shared" si="2"/>
        <v>60.954999999999984</v>
      </c>
      <c r="H58" s="83">
        <f t="shared" si="3"/>
        <v>3715.5120249999982</v>
      </c>
      <c r="I58" s="83">
        <f t="shared" si="4"/>
        <v>0.21889251984055724</v>
      </c>
      <c r="J58" s="83">
        <f t="shared" si="5"/>
        <v>326.80124999999998</v>
      </c>
      <c r="K58" s="83">
        <f t="shared" si="7"/>
        <v>1.0905099047203768</v>
      </c>
      <c r="L58" s="68"/>
    </row>
    <row r="59" spans="1:12" ht="15.75" customHeight="1" x14ac:dyDescent="0.25">
      <c r="A59" s="68">
        <v>4</v>
      </c>
      <c r="B59" s="81" t="s">
        <v>72</v>
      </c>
      <c r="C59" s="82">
        <v>40634</v>
      </c>
      <c r="D59" s="68">
        <v>278.47000000000003</v>
      </c>
      <c r="E59" s="83">
        <f t="shared" si="0"/>
        <v>314.17750000000001</v>
      </c>
      <c r="F59" s="83">
        <f t="shared" si="1"/>
        <v>-99.197500000000019</v>
      </c>
      <c r="G59" s="83">
        <f t="shared" si="2"/>
        <v>99.197500000000019</v>
      </c>
      <c r="H59" s="83">
        <f t="shared" si="3"/>
        <v>9840.1440062500042</v>
      </c>
      <c r="I59" s="83">
        <f t="shared" si="4"/>
        <v>0.46142664433900837</v>
      </c>
      <c r="J59" s="83">
        <f t="shared" si="5"/>
        <v>298.12625000000003</v>
      </c>
      <c r="K59" s="83">
        <f t="shared" si="7"/>
        <v>0.93406736240099619</v>
      </c>
      <c r="L59" s="83"/>
    </row>
    <row r="60" spans="1:12" ht="15.75" customHeight="1" x14ac:dyDescent="0.25">
      <c r="A60" s="68">
        <v>5</v>
      </c>
      <c r="B60" s="81" t="s">
        <v>73</v>
      </c>
      <c r="C60" s="82">
        <v>40664</v>
      </c>
      <c r="D60" s="68">
        <v>278.47000000000003</v>
      </c>
      <c r="E60" s="83">
        <f t="shared" si="0"/>
        <v>282.07499999999999</v>
      </c>
      <c r="F60" s="83">
        <f t="shared" si="1"/>
        <v>85.384999999999991</v>
      </c>
      <c r="G60" s="83">
        <f t="shared" si="2"/>
        <v>85.384999999999991</v>
      </c>
      <c r="H60" s="83">
        <f t="shared" si="3"/>
        <v>7290.5982249999988</v>
      </c>
      <c r="I60" s="83">
        <f t="shared" si="4"/>
        <v>0.23236542752952702</v>
      </c>
      <c r="J60" s="83">
        <f t="shared" si="5"/>
        <v>283.46000000000004</v>
      </c>
      <c r="K60" s="83">
        <f t="shared" si="7"/>
        <v>0.98239610527058485</v>
      </c>
      <c r="L60" s="68"/>
    </row>
    <row r="61" spans="1:12" ht="15.75" customHeight="1" x14ac:dyDescent="0.25">
      <c r="A61" s="68">
        <v>6</v>
      </c>
      <c r="B61" s="81" t="s">
        <v>74</v>
      </c>
      <c r="C61" s="82">
        <v>40695</v>
      </c>
      <c r="D61" s="68">
        <v>214.98</v>
      </c>
      <c r="E61" s="83">
        <f t="shared" si="0"/>
        <v>284.84500000000003</v>
      </c>
      <c r="F61" s="83">
        <f t="shared" si="1"/>
        <v>91.974999999999966</v>
      </c>
      <c r="G61" s="83">
        <f t="shared" si="2"/>
        <v>91.974999999999966</v>
      </c>
      <c r="H61" s="83">
        <f t="shared" si="3"/>
        <v>8459.4006249999929</v>
      </c>
      <c r="I61" s="83">
        <f t="shared" si="4"/>
        <v>0.24408205509261707</v>
      </c>
      <c r="J61" s="83">
        <f t="shared" si="5"/>
        <v>297.13875000000002</v>
      </c>
      <c r="K61" s="83">
        <f t="shared" si="7"/>
        <v>0.72350038492118574</v>
      </c>
      <c r="L61" s="68"/>
    </row>
    <row r="62" spans="1:12" ht="15.75" customHeight="1" x14ac:dyDescent="0.25">
      <c r="A62" s="68">
        <v>7</v>
      </c>
      <c r="B62" s="81" t="s">
        <v>75</v>
      </c>
      <c r="C62" s="82">
        <v>40725</v>
      </c>
      <c r="D62" s="68">
        <v>367.46</v>
      </c>
      <c r="E62" s="83">
        <f t="shared" si="0"/>
        <v>309.4325</v>
      </c>
      <c r="F62" s="83">
        <f t="shared" si="1"/>
        <v>-23.892499999999984</v>
      </c>
      <c r="G62" s="83">
        <f t="shared" si="2"/>
        <v>23.892499999999984</v>
      </c>
      <c r="H62" s="83">
        <f t="shared" si="3"/>
        <v>570.85155624999925</v>
      </c>
      <c r="I62" s="83">
        <f t="shared" si="4"/>
        <v>8.3674791622889905E-2</v>
      </c>
      <c r="J62" s="83">
        <f t="shared" si="5"/>
        <v>310.31624999999997</v>
      </c>
      <c r="K62" s="83">
        <f t="shared" si="7"/>
        <v>1.1841468179639321</v>
      </c>
      <c r="L62" s="68"/>
    </row>
    <row r="63" spans="1:12" ht="15.75" customHeight="1" x14ac:dyDescent="0.25">
      <c r="A63" s="68">
        <v>8</v>
      </c>
      <c r="B63" s="81" t="s">
        <v>76</v>
      </c>
      <c r="C63" s="82">
        <v>40756</v>
      </c>
      <c r="D63" s="68">
        <v>376.82</v>
      </c>
      <c r="E63" s="83">
        <f t="shared" si="0"/>
        <v>311.2</v>
      </c>
      <c r="F63" s="83">
        <f t="shared" si="1"/>
        <v>-6.9399999999999977</v>
      </c>
      <c r="G63" s="83">
        <f t="shared" si="2"/>
        <v>6.9399999999999977</v>
      </c>
      <c r="H63" s="83">
        <f t="shared" si="3"/>
        <v>48.163599999999967</v>
      </c>
      <c r="I63" s="83">
        <f t="shared" si="4"/>
        <v>2.2809439295339507E-2</v>
      </c>
      <c r="J63" s="83">
        <f t="shared" si="5"/>
        <v>322.36</v>
      </c>
      <c r="K63" s="83">
        <f t="shared" si="7"/>
        <v>1.1689415560243206</v>
      </c>
      <c r="L63" s="68"/>
    </row>
    <row r="64" spans="1:12" ht="15.75" customHeight="1" x14ac:dyDescent="0.25">
      <c r="A64" s="68">
        <v>9</v>
      </c>
      <c r="B64" s="68" t="s">
        <v>77</v>
      </c>
      <c r="C64" s="82">
        <v>40787</v>
      </c>
      <c r="D64" s="68">
        <v>285.54000000000002</v>
      </c>
      <c r="E64" s="83">
        <f t="shared" si="0"/>
        <v>333.52</v>
      </c>
      <c r="F64" s="83">
        <f t="shared" si="1"/>
        <v>57.340000000000032</v>
      </c>
      <c r="G64" s="83">
        <f t="shared" si="2"/>
        <v>57.340000000000032</v>
      </c>
      <c r="H64" s="83">
        <f t="shared" si="3"/>
        <v>3287.8756000000035</v>
      </c>
      <c r="I64" s="83">
        <f t="shared" si="4"/>
        <v>0.14670214399017559</v>
      </c>
      <c r="J64" s="83">
        <f t="shared" si="5"/>
        <v>336.44499999999999</v>
      </c>
      <c r="K64" s="83">
        <f t="shared" si="7"/>
        <v>0.84869740968063134</v>
      </c>
      <c r="L64" s="68"/>
    </row>
    <row r="65" spans="1:12" ht="15.75" customHeight="1" x14ac:dyDescent="0.25">
      <c r="A65" s="68">
        <v>10</v>
      </c>
      <c r="B65" s="68" t="s">
        <v>78</v>
      </c>
      <c r="C65" s="82">
        <v>40817</v>
      </c>
      <c r="D65" s="68">
        <v>304.26</v>
      </c>
      <c r="E65" s="83">
        <f t="shared" si="0"/>
        <v>339.37</v>
      </c>
      <c r="F65" s="83">
        <f t="shared" si="1"/>
        <v>198.93999999999994</v>
      </c>
      <c r="G65" s="83">
        <f t="shared" si="2"/>
        <v>198.93999999999994</v>
      </c>
      <c r="H65" s="83">
        <f t="shared" si="3"/>
        <v>39577.123599999977</v>
      </c>
      <c r="I65" s="83">
        <f t="shared" si="4"/>
        <v>0.36956400587022342</v>
      </c>
      <c r="J65" s="83">
        <f t="shared" si="5"/>
        <v>359.55624999999998</v>
      </c>
      <c r="K65" s="83">
        <f t="shared" si="7"/>
        <v>0.84620973769750907</v>
      </c>
      <c r="L65" s="68"/>
    </row>
    <row r="66" spans="1:12" ht="15.75" customHeight="1" x14ac:dyDescent="0.25">
      <c r="A66" s="68">
        <v>11</v>
      </c>
      <c r="B66" s="68" t="s">
        <v>79</v>
      </c>
      <c r="C66" s="82">
        <v>40848</v>
      </c>
      <c r="D66" s="68">
        <v>390.86</v>
      </c>
      <c r="E66" s="83">
        <f t="shared" si="0"/>
        <v>379.74249999999995</v>
      </c>
      <c r="F66" s="83">
        <f t="shared" si="1"/>
        <v>27.137500000000045</v>
      </c>
      <c r="G66" s="83">
        <f t="shared" si="2"/>
        <v>27.137500000000045</v>
      </c>
      <c r="H66" s="83">
        <f t="shared" si="3"/>
        <v>736.44390625000244</v>
      </c>
      <c r="I66" s="83">
        <f t="shared" si="4"/>
        <v>6.6696569012976908E-2</v>
      </c>
      <c r="J66" s="83">
        <f t="shared" si="5"/>
        <v>394.90999999999997</v>
      </c>
      <c r="K66" s="83">
        <f t="shared" si="7"/>
        <v>0.98974449874655002</v>
      </c>
      <c r="L66" s="68"/>
    </row>
    <row r="67" spans="1:12" ht="15.75" customHeight="1" x14ac:dyDescent="0.25">
      <c r="A67" s="68">
        <v>12</v>
      </c>
      <c r="B67" s="68" t="s">
        <v>80</v>
      </c>
      <c r="C67" s="82">
        <v>40878</v>
      </c>
      <c r="D67" s="68">
        <v>538.30999999999995</v>
      </c>
      <c r="E67" s="83">
        <f t="shared" si="0"/>
        <v>410.07749999999999</v>
      </c>
      <c r="F67" s="83">
        <f t="shared" si="1"/>
        <v>-42.15749999999997</v>
      </c>
      <c r="G67" s="83">
        <f t="shared" si="2"/>
        <v>42.15749999999997</v>
      </c>
      <c r="H67" s="83">
        <f t="shared" si="3"/>
        <v>1777.2548062499975</v>
      </c>
      <c r="I67" s="83">
        <f t="shared" si="4"/>
        <v>0.11458333333333325</v>
      </c>
      <c r="J67" s="83">
        <f t="shared" si="5"/>
        <v>418.03499999999997</v>
      </c>
      <c r="K67" s="83">
        <f t="shared" si="7"/>
        <v>1.2877151434688483</v>
      </c>
      <c r="L67" s="68"/>
    </row>
    <row r="68" spans="1:12" ht="15.75" customHeight="1" x14ac:dyDescent="0.25">
      <c r="A68" s="68">
        <v>1</v>
      </c>
      <c r="B68" s="81" t="s">
        <v>69</v>
      </c>
      <c r="C68" s="82">
        <v>40909</v>
      </c>
      <c r="D68" s="68">
        <v>406.88</v>
      </c>
      <c r="E68" s="83">
        <f t="shared" si="0"/>
        <v>425.99250000000001</v>
      </c>
      <c r="F68" s="83">
        <f t="shared" si="1"/>
        <v>-43.642499999999984</v>
      </c>
      <c r="G68" s="83">
        <f t="shared" si="2"/>
        <v>43.642499999999984</v>
      </c>
      <c r="H68" s="83">
        <f t="shared" si="3"/>
        <v>1904.6678062499986</v>
      </c>
      <c r="I68" s="83">
        <f t="shared" si="4"/>
        <v>0.11414280109846994</v>
      </c>
      <c r="J68" s="83">
        <f t="shared" si="5"/>
        <v>424.92875000000004</v>
      </c>
      <c r="K68" s="83">
        <f t="shared" si="7"/>
        <v>0.95752523217127572</v>
      </c>
      <c r="L68" s="68"/>
    </row>
    <row r="69" spans="1:12" ht="15.75" customHeight="1" x14ac:dyDescent="0.25">
      <c r="A69" s="68">
        <v>2</v>
      </c>
      <c r="B69" s="81" t="s">
        <v>70</v>
      </c>
      <c r="C69" s="82">
        <v>40940</v>
      </c>
      <c r="D69" s="68">
        <v>367.92</v>
      </c>
      <c r="E69" s="83">
        <f t="shared" si="0"/>
        <v>423.86500000000001</v>
      </c>
      <c r="F69" s="83">
        <f t="shared" si="1"/>
        <v>-128.08500000000004</v>
      </c>
      <c r="G69" s="83">
        <f t="shared" si="2"/>
        <v>128.08500000000004</v>
      </c>
      <c r="H69" s="83">
        <f t="shared" si="3"/>
        <v>16405.767225000011</v>
      </c>
      <c r="I69" s="83">
        <f t="shared" si="4"/>
        <v>0.433041449726148</v>
      </c>
      <c r="J69" s="83">
        <f t="shared" si="5"/>
        <v>393.54875000000004</v>
      </c>
      <c r="K69" s="83">
        <f t="shared" si="7"/>
        <v>0.93487782644462725</v>
      </c>
      <c r="L69" s="68"/>
    </row>
    <row r="70" spans="1:12" ht="15.75" customHeight="1" x14ac:dyDescent="0.25">
      <c r="A70" s="68">
        <v>3</v>
      </c>
      <c r="B70" s="81" t="s">
        <v>71</v>
      </c>
      <c r="C70" s="82">
        <v>40969</v>
      </c>
      <c r="D70" s="68">
        <v>382.35</v>
      </c>
      <c r="E70" s="83">
        <f t="shared" si="0"/>
        <v>363.23250000000002</v>
      </c>
      <c r="F70" s="83">
        <f t="shared" si="1"/>
        <v>-60.242500000000007</v>
      </c>
      <c r="G70" s="83">
        <f t="shared" si="2"/>
        <v>60.242500000000007</v>
      </c>
      <c r="H70" s="83">
        <f t="shared" si="3"/>
        <v>3629.1588062500009</v>
      </c>
      <c r="I70" s="83">
        <f t="shared" si="4"/>
        <v>0.1988266939502954</v>
      </c>
      <c r="J70" s="83">
        <f t="shared" si="5"/>
        <v>350.24625000000003</v>
      </c>
      <c r="K70" s="83">
        <f t="shared" si="7"/>
        <v>1.0916605102838359</v>
      </c>
      <c r="L70" s="68"/>
    </row>
    <row r="71" spans="1:12" ht="15.75" customHeight="1" x14ac:dyDescent="0.25">
      <c r="A71" s="68">
        <v>4</v>
      </c>
      <c r="B71" s="81" t="s">
        <v>72</v>
      </c>
      <c r="C71" s="82">
        <v>41000</v>
      </c>
      <c r="D71" s="68">
        <v>295.77999999999997</v>
      </c>
      <c r="E71" s="83">
        <f t="shared" si="0"/>
        <v>337.26</v>
      </c>
      <c r="F71" s="83">
        <f t="shared" si="1"/>
        <v>-106.41</v>
      </c>
      <c r="G71" s="83">
        <f t="shared" si="2"/>
        <v>106.41</v>
      </c>
      <c r="H71" s="83">
        <f t="shared" si="3"/>
        <v>11323.088099999999</v>
      </c>
      <c r="I71" s="83">
        <f t="shared" si="4"/>
        <v>0.46094866796621181</v>
      </c>
      <c r="J71" s="83">
        <f t="shared" si="5"/>
        <v>320.12625000000003</v>
      </c>
      <c r="K71" s="83">
        <f t="shared" si="7"/>
        <v>0.92394797365102033</v>
      </c>
      <c r="L71" s="68"/>
    </row>
    <row r="72" spans="1:12" ht="15.75" customHeight="1" x14ac:dyDescent="0.25">
      <c r="A72" s="68">
        <v>5</v>
      </c>
      <c r="B72" s="81" t="s">
        <v>73</v>
      </c>
      <c r="C72" s="82">
        <v>41030</v>
      </c>
      <c r="D72" s="68">
        <v>302.99</v>
      </c>
      <c r="E72" s="83">
        <f t="shared" si="0"/>
        <v>302.99250000000001</v>
      </c>
      <c r="F72" s="83">
        <f t="shared" si="1"/>
        <v>85.527499999999975</v>
      </c>
      <c r="G72" s="83">
        <f t="shared" si="2"/>
        <v>85.527499999999975</v>
      </c>
      <c r="H72" s="83">
        <f t="shared" si="3"/>
        <v>7314.9532562499953</v>
      </c>
      <c r="I72" s="83">
        <f t="shared" si="4"/>
        <v>0.2201366725007721</v>
      </c>
      <c r="J72" s="83">
        <f t="shared" si="5"/>
        <v>303.76374999999996</v>
      </c>
      <c r="K72" s="83">
        <f t="shared" si="7"/>
        <v>0.99745279020291278</v>
      </c>
      <c r="L72" s="68"/>
    </row>
    <row r="73" spans="1:12" ht="15.75" customHeight="1" x14ac:dyDescent="0.25">
      <c r="A73" s="68">
        <v>6</v>
      </c>
      <c r="B73" s="81" t="s">
        <v>74</v>
      </c>
      <c r="C73" s="82">
        <v>41061</v>
      </c>
      <c r="D73" s="68">
        <v>230.85</v>
      </c>
      <c r="E73" s="83">
        <f t="shared" si="0"/>
        <v>304.53499999999997</v>
      </c>
      <c r="F73" s="83">
        <f t="shared" si="1"/>
        <v>102.71500000000003</v>
      </c>
      <c r="G73" s="83">
        <f t="shared" si="2"/>
        <v>102.71500000000003</v>
      </c>
      <c r="H73" s="83">
        <f t="shared" si="3"/>
        <v>10550.371225000006</v>
      </c>
      <c r="I73" s="83">
        <f t="shared" si="4"/>
        <v>0.2522160834868018</v>
      </c>
      <c r="J73" s="83">
        <f t="shared" si="5"/>
        <v>318.46875</v>
      </c>
      <c r="K73" s="83">
        <f t="shared" si="7"/>
        <v>0.72487488960847801</v>
      </c>
      <c r="L73" s="68"/>
    </row>
    <row r="74" spans="1:12" ht="15.75" customHeight="1" x14ac:dyDescent="0.25">
      <c r="A74" s="68">
        <v>7</v>
      </c>
      <c r="B74" s="81" t="s">
        <v>75</v>
      </c>
      <c r="C74" s="82">
        <v>41091</v>
      </c>
      <c r="D74" s="68">
        <v>388.52</v>
      </c>
      <c r="E74" s="83">
        <f t="shared" si="0"/>
        <v>332.40250000000003</v>
      </c>
      <c r="F74" s="83">
        <f t="shared" si="1"/>
        <v>-37.502500000000055</v>
      </c>
      <c r="G74" s="83">
        <f t="shared" si="2"/>
        <v>37.502500000000055</v>
      </c>
      <c r="H74" s="83">
        <f t="shared" si="3"/>
        <v>1406.4375062500042</v>
      </c>
      <c r="I74" s="83">
        <f t="shared" si="4"/>
        <v>0.12717022719565974</v>
      </c>
      <c r="J74" s="83">
        <f t="shared" si="5"/>
        <v>331.39125000000001</v>
      </c>
      <c r="K74" s="83">
        <f t="shared" si="7"/>
        <v>1.1723906409719629</v>
      </c>
      <c r="L74" s="68"/>
    </row>
    <row r="75" spans="1:12" ht="15.75" customHeight="1" x14ac:dyDescent="0.25">
      <c r="A75" s="68">
        <v>8</v>
      </c>
      <c r="B75" s="81" t="s">
        <v>76</v>
      </c>
      <c r="C75" s="82">
        <v>41122</v>
      </c>
      <c r="D75" s="68">
        <v>407.25</v>
      </c>
      <c r="E75" s="83">
        <f t="shared" si="0"/>
        <v>330.38</v>
      </c>
      <c r="F75" s="83">
        <f t="shared" si="1"/>
        <v>16.009999999999991</v>
      </c>
      <c r="G75" s="83">
        <f t="shared" si="2"/>
        <v>16.009999999999991</v>
      </c>
      <c r="H75" s="83">
        <f t="shared" si="3"/>
        <v>256.32009999999968</v>
      </c>
      <c r="I75" s="83">
        <f t="shared" si="4"/>
        <v>4.6219579087156071E-2</v>
      </c>
      <c r="J75" s="83">
        <f t="shared" si="5"/>
        <v>344.82249999999999</v>
      </c>
      <c r="K75" s="83">
        <f t="shared" si="7"/>
        <v>1.1810424203757006</v>
      </c>
      <c r="L75" s="68"/>
    </row>
    <row r="76" spans="1:12" ht="15.75" customHeight="1" x14ac:dyDescent="0.25">
      <c r="A76" s="68">
        <v>9</v>
      </c>
      <c r="B76" s="68" t="s">
        <v>77</v>
      </c>
      <c r="C76" s="82">
        <v>41153</v>
      </c>
      <c r="D76" s="68">
        <v>294.89999999999998</v>
      </c>
      <c r="E76" s="83">
        <f t="shared" si="0"/>
        <v>359.26499999999999</v>
      </c>
      <c r="F76" s="83">
        <f t="shared" si="1"/>
        <v>45.645000000000039</v>
      </c>
      <c r="G76" s="83">
        <f t="shared" si="2"/>
        <v>45.645000000000039</v>
      </c>
      <c r="H76" s="83">
        <f t="shared" si="3"/>
        <v>2083.4660250000034</v>
      </c>
      <c r="I76" s="83">
        <f t="shared" si="4"/>
        <v>0.11272875453804558</v>
      </c>
      <c r="J76" s="83">
        <f t="shared" si="5"/>
        <v>361.31375000000003</v>
      </c>
      <c r="K76" s="83">
        <f t="shared" si="7"/>
        <v>0.81618814672843187</v>
      </c>
      <c r="L76" s="68"/>
    </row>
    <row r="77" spans="1:12" ht="15.75" customHeight="1" x14ac:dyDescent="0.25">
      <c r="A77" s="68">
        <v>10</v>
      </c>
      <c r="B77" s="68" t="s">
        <v>78</v>
      </c>
      <c r="C77" s="82">
        <v>41183</v>
      </c>
      <c r="D77" s="68">
        <v>346.39</v>
      </c>
      <c r="E77" s="83">
        <f t="shared" si="0"/>
        <v>363.36250000000001</v>
      </c>
      <c r="F77" s="83">
        <f t="shared" si="1"/>
        <v>186.65749999999997</v>
      </c>
      <c r="G77" s="83">
        <f t="shared" si="2"/>
        <v>186.65749999999997</v>
      </c>
      <c r="H77" s="83">
        <f t="shared" si="3"/>
        <v>34841.022306249986</v>
      </c>
      <c r="I77" s="83">
        <f t="shared" si="4"/>
        <v>0.33936493218428415</v>
      </c>
      <c r="J77" s="83"/>
      <c r="K77" s="83"/>
      <c r="L77" s="68"/>
    </row>
    <row r="78" spans="1:12" ht="15.75" customHeight="1" x14ac:dyDescent="0.25">
      <c r="A78" s="68">
        <v>11</v>
      </c>
      <c r="B78" s="68" t="s">
        <v>79</v>
      </c>
      <c r="C78" s="82">
        <v>41214</v>
      </c>
      <c r="D78" s="68">
        <v>404.91</v>
      </c>
      <c r="E78" s="68"/>
      <c r="F78" s="68"/>
      <c r="G78" s="68"/>
      <c r="H78" s="68"/>
      <c r="I78" s="68"/>
      <c r="J78" s="68"/>
      <c r="K78" s="68"/>
      <c r="L78" s="68"/>
    </row>
    <row r="79" spans="1:12" ht="15.75" customHeight="1" x14ac:dyDescent="0.25">
      <c r="A79" s="68">
        <v>12</v>
      </c>
      <c r="B79" s="68" t="s">
        <v>80</v>
      </c>
      <c r="C79" s="82">
        <v>41244</v>
      </c>
      <c r="D79" s="68">
        <v>550.02</v>
      </c>
      <c r="E79" s="68"/>
      <c r="F79" s="68"/>
      <c r="G79" s="68"/>
      <c r="H79" s="68"/>
      <c r="I79" s="68"/>
      <c r="J79" s="68"/>
      <c r="K79" s="68"/>
      <c r="L79" s="68"/>
    </row>
    <row r="80" spans="1:12" ht="15.75" customHeight="1" x14ac:dyDescent="0.25">
      <c r="G80" s="84" t="s">
        <v>16</v>
      </c>
      <c r="H80" s="85" t="s">
        <v>18</v>
      </c>
      <c r="I80" s="86" t="s">
        <v>17</v>
      </c>
    </row>
    <row r="81" spans="1:9" ht="15.75" customHeight="1" x14ac:dyDescent="0.25">
      <c r="B81" s="11"/>
      <c r="G81" s="87">
        <f>+AVERAGE(G46:G77)</f>
        <v>71.523749999999978</v>
      </c>
      <c r="H81" s="88">
        <f>+AVERAGE(H46:H77)</f>
        <v>7401.6921249999978</v>
      </c>
      <c r="I81" s="89">
        <f>+AVERAGE(I46:I77)</f>
        <v>0.21070815049191405</v>
      </c>
    </row>
    <row r="84" spans="1:9" ht="15.75" customHeight="1" x14ac:dyDescent="0.25">
      <c r="A84" t="s">
        <v>21</v>
      </c>
      <c r="B84" s="90"/>
      <c r="C84" s="22"/>
      <c r="D84" s="22"/>
      <c r="E84" s="22"/>
      <c r="F84" s="22"/>
    </row>
    <row r="85" spans="1:9" ht="15.75" customHeight="1" x14ac:dyDescent="0.25">
      <c r="B85" s="22"/>
      <c r="C85" s="22"/>
      <c r="D85" s="22"/>
      <c r="E85" s="22"/>
      <c r="F85" s="22"/>
    </row>
    <row r="86" spans="1:9" ht="15.75" customHeight="1" x14ac:dyDescent="0.25">
      <c r="B86" s="22"/>
      <c r="C86" s="22"/>
      <c r="D86" s="22"/>
      <c r="E86" s="22"/>
      <c r="F86" s="22"/>
    </row>
    <row r="89" spans="1:9" ht="15.75" customHeight="1" x14ac:dyDescent="0.3">
      <c r="A89" s="80"/>
      <c r="B89" s="80" t="s">
        <v>63</v>
      </c>
      <c r="C89" s="80" t="s">
        <v>64</v>
      </c>
      <c r="D89" s="80" t="s">
        <v>65</v>
      </c>
      <c r="E89" s="80" t="s">
        <v>19</v>
      </c>
      <c r="F89" s="80" t="s">
        <v>81</v>
      </c>
      <c r="G89" s="80" t="s">
        <v>82</v>
      </c>
      <c r="H89" s="80" t="s">
        <v>83</v>
      </c>
    </row>
    <row r="90" spans="1:9" ht="15.75" customHeight="1" x14ac:dyDescent="0.25">
      <c r="A90" s="68">
        <v>1</v>
      </c>
      <c r="B90" s="68">
        <v>1</v>
      </c>
      <c r="C90" s="81" t="s">
        <v>69</v>
      </c>
      <c r="D90" s="82">
        <v>40179</v>
      </c>
      <c r="E90" s="68">
        <v>349.17</v>
      </c>
      <c r="F90" s="68">
        <v>0.96491945823135938</v>
      </c>
      <c r="G90" s="68">
        <f>+E90/F90</f>
        <v>361.86439916965514</v>
      </c>
      <c r="H90" s="68">
        <f>2.0166*A90+305.49</f>
        <v>307.50659999999999</v>
      </c>
    </row>
    <row r="91" spans="1:9" ht="15.75" customHeight="1" x14ac:dyDescent="0.25">
      <c r="A91" s="68">
        <v>2</v>
      </c>
      <c r="B91" s="68">
        <v>2</v>
      </c>
      <c r="C91" s="81" t="s">
        <v>70</v>
      </c>
      <c r="D91" s="82">
        <v>40210</v>
      </c>
      <c r="E91" s="83">
        <v>339.07</v>
      </c>
      <c r="F91" s="68">
        <v>0.93798603953309079</v>
      </c>
      <c r="G91" s="68">
        <f t="shared" ref="G91:G125" si="8">+E91/F91</f>
        <v>361.48725642951115</v>
      </c>
      <c r="H91" s="68">
        <f t="shared" ref="H91:H137" si="9">2.0166*A91+305.49</f>
        <v>309.52320000000003</v>
      </c>
    </row>
    <row r="92" spans="1:9" ht="15.75" customHeight="1" x14ac:dyDescent="0.25">
      <c r="A92" s="68">
        <v>3</v>
      </c>
      <c r="B92" s="68">
        <v>3</v>
      </c>
      <c r="C92" s="81" t="s">
        <v>71</v>
      </c>
      <c r="D92" s="82">
        <v>40238</v>
      </c>
      <c r="E92" s="68">
        <v>334.74</v>
      </c>
      <c r="F92" s="68">
        <v>1.0879202060674096</v>
      </c>
      <c r="G92" s="68">
        <f t="shared" si="8"/>
        <v>307.6880070184659</v>
      </c>
      <c r="H92" s="68">
        <f t="shared" si="9"/>
        <v>311.53980000000001</v>
      </c>
    </row>
    <row r="93" spans="1:9" ht="15.75" customHeight="1" x14ac:dyDescent="0.25">
      <c r="A93" s="68">
        <v>4</v>
      </c>
      <c r="B93" s="68">
        <v>4</v>
      </c>
      <c r="C93" s="81" t="s">
        <v>72</v>
      </c>
      <c r="D93" s="82">
        <v>40269</v>
      </c>
      <c r="E93" s="68">
        <v>256.82</v>
      </c>
      <c r="F93" s="68">
        <v>0.92302260531046798</v>
      </c>
      <c r="G93" s="68">
        <f t="shared" si="8"/>
        <v>278.23803937457848</v>
      </c>
      <c r="H93" s="68">
        <f t="shared" si="9"/>
        <v>313.5564</v>
      </c>
    </row>
    <row r="94" spans="1:9" ht="15.75" customHeight="1" x14ac:dyDescent="0.25">
      <c r="A94" s="68">
        <v>5</v>
      </c>
      <c r="B94" s="68">
        <v>5</v>
      </c>
      <c r="C94" s="81" t="s">
        <v>73</v>
      </c>
      <c r="D94" s="82">
        <v>40299</v>
      </c>
      <c r="E94" s="68">
        <v>265.48</v>
      </c>
      <c r="F94" s="68">
        <v>0.99346041128408935</v>
      </c>
      <c r="G94" s="68">
        <f t="shared" si="8"/>
        <v>267.22755832500258</v>
      </c>
      <c r="H94" s="68">
        <f t="shared" si="9"/>
        <v>315.57300000000004</v>
      </c>
    </row>
    <row r="95" spans="1:9" ht="15.75" customHeight="1" x14ac:dyDescent="0.25">
      <c r="A95" s="68">
        <v>6</v>
      </c>
      <c r="B95" s="68">
        <v>6</v>
      </c>
      <c r="C95" s="81" t="s">
        <v>74</v>
      </c>
      <c r="D95" s="82">
        <v>40330</v>
      </c>
      <c r="E95" s="68">
        <v>202</v>
      </c>
      <c r="F95" s="68">
        <v>0.7247499425319216</v>
      </c>
      <c r="G95" s="68">
        <f t="shared" si="8"/>
        <v>278.7168209966473</v>
      </c>
      <c r="H95" s="68">
        <f t="shared" si="9"/>
        <v>317.58960000000002</v>
      </c>
    </row>
    <row r="96" spans="1:9" ht="15.75" customHeight="1" x14ac:dyDescent="0.25">
      <c r="A96" s="68">
        <v>7</v>
      </c>
      <c r="B96" s="68">
        <v>7</v>
      </c>
      <c r="C96" s="81" t="s">
        <v>75</v>
      </c>
      <c r="D96" s="82">
        <v>40360</v>
      </c>
      <c r="E96" s="68">
        <v>339.37</v>
      </c>
      <c r="F96" s="68">
        <v>1.1760659871757986</v>
      </c>
      <c r="G96" s="68">
        <f t="shared" si="8"/>
        <v>288.56374021576983</v>
      </c>
      <c r="H96" s="68">
        <f t="shared" si="9"/>
        <v>319.6062</v>
      </c>
    </row>
    <row r="97" spans="1:8" ht="15.75" customHeight="1" x14ac:dyDescent="0.25">
      <c r="A97" s="68">
        <v>8</v>
      </c>
      <c r="B97" s="68">
        <v>8</v>
      </c>
      <c r="C97" s="81" t="s">
        <v>76</v>
      </c>
      <c r="D97" s="82">
        <v>40391</v>
      </c>
      <c r="E97" s="68">
        <v>355.76</v>
      </c>
      <c r="F97" s="68">
        <v>1.1767448723671168</v>
      </c>
      <c r="G97" s="68">
        <f t="shared" si="8"/>
        <v>302.32551537221502</v>
      </c>
      <c r="H97" s="68">
        <f t="shared" si="9"/>
        <v>321.62279999999998</v>
      </c>
    </row>
    <row r="98" spans="1:8" ht="15.75" customHeight="1" x14ac:dyDescent="0.25">
      <c r="A98" s="68">
        <v>9</v>
      </c>
      <c r="B98" s="68">
        <v>9</v>
      </c>
      <c r="C98" s="68" t="s">
        <v>77</v>
      </c>
      <c r="D98" s="82">
        <v>40422</v>
      </c>
      <c r="E98" s="68">
        <v>257.45</v>
      </c>
      <c r="F98" s="68">
        <v>0.82631139318989577</v>
      </c>
      <c r="G98" s="68">
        <f t="shared" si="8"/>
        <v>311.56535190219148</v>
      </c>
      <c r="H98" s="68">
        <f t="shared" si="9"/>
        <v>323.63940000000002</v>
      </c>
    </row>
    <row r="99" spans="1:8" ht="15.75" customHeight="1" x14ac:dyDescent="0.25">
      <c r="A99" s="68">
        <v>10</v>
      </c>
      <c r="B99" s="68">
        <v>10</v>
      </c>
      <c r="C99" s="68" t="s">
        <v>78</v>
      </c>
      <c r="D99" s="82">
        <v>40452</v>
      </c>
      <c r="E99" s="68">
        <v>304.26</v>
      </c>
      <c r="F99" s="68">
        <v>0.8784407662462792</v>
      </c>
      <c r="G99" s="68">
        <f t="shared" si="8"/>
        <v>346.3637067985274</v>
      </c>
      <c r="H99" s="68">
        <f t="shared" si="9"/>
        <v>325.65600000000001</v>
      </c>
    </row>
    <row r="100" spans="1:8" ht="15.75" customHeight="1" x14ac:dyDescent="0.25">
      <c r="A100" s="68">
        <v>11</v>
      </c>
      <c r="B100" s="68">
        <v>11</v>
      </c>
      <c r="C100" s="68" t="s">
        <v>79</v>
      </c>
      <c r="D100" s="82">
        <v>40483</v>
      </c>
      <c r="E100" s="68">
        <v>355.76</v>
      </c>
      <c r="F100" s="68">
        <v>0.98200951689414806</v>
      </c>
      <c r="G100" s="68">
        <f t="shared" si="8"/>
        <v>362.27754810888229</v>
      </c>
      <c r="H100" s="68">
        <f t="shared" si="9"/>
        <v>327.67259999999999</v>
      </c>
    </row>
    <row r="101" spans="1:8" ht="15.75" customHeight="1" x14ac:dyDescent="0.25">
      <c r="A101" s="68">
        <v>12</v>
      </c>
      <c r="B101" s="68">
        <v>12</v>
      </c>
      <c r="C101" s="68" t="s">
        <v>80</v>
      </c>
      <c r="D101" s="82">
        <v>40513</v>
      </c>
      <c r="E101" s="68">
        <v>482.14</v>
      </c>
      <c r="F101" s="68">
        <v>1.2695319716280125</v>
      </c>
      <c r="G101" s="68">
        <f t="shared" si="8"/>
        <v>379.77775335718178</v>
      </c>
      <c r="H101" s="68">
        <f t="shared" si="9"/>
        <v>329.68920000000003</v>
      </c>
    </row>
    <row r="102" spans="1:8" ht="15.75" customHeight="1" x14ac:dyDescent="0.25">
      <c r="A102" s="68">
        <v>13</v>
      </c>
      <c r="B102" s="68">
        <v>1</v>
      </c>
      <c r="C102" s="81" t="s">
        <v>69</v>
      </c>
      <c r="D102" s="82">
        <v>40544</v>
      </c>
      <c r="E102" s="68">
        <v>379.46</v>
      </c>
      <c r="F102" s="68">
        <v>0.96491945823135938</v>
      </c>
      <c r="G102" s="68">
        <f t="shared" si="8"/>
        <v>393.25562021054878</v>
      </c>
      <c r="H102" s="68">
        <f t="shared" si="9"/>
        <v>331.70580000000001</v>
      </c>
    </row>
    <row r="103" spans="1:8" ht="15.75" customHeight="1" x14ac:dyDescent="0.25">
      <c r="A103" s="68">
        <v>14</v>
      </c>
      <c r="B103" s="68">
        <v>2</v>
      </c>
      <c r="C103" s="81" t="s">
        <v>70</v>
      </c>
      <c r="D103" s="82">
        <v>40575</v>
      </c>
      <c r="E103" s="68">
        <v>343.39</v>
      </c>
      <c r="F103" s="68">
        <v>0.93798603953309079</v>
      </c>
      <c r="G103" s="68">
        <f t="shared" si="8"/>
        <v>366.0928686859051</v>
      </c>
      <c r="H103" s="68">
        <f t="shared" si="9"/>
        <v>333.72239999999999</v>
      </c>
    </row>
    <row r="104" spans="1:8" ht="15.75" customHeight="1" x14ac:dyDescent="0.25">
      <c r="A104" s="68">
        <v>15</v>
      </c>
      <c r="B104" s="68">
        <v>3</v>
      </c>
      <c r="C104" s="81" t="s">
        <v>71</v>
      </c>
      <c r="D104" s="82">
        <v>40603</v>
      </c>
      <c r="E104" s="68">
        <v>356.38</v>
      </c>
      <c r="F104" s="68">
        <v>1.0879202060674096</v>
      </c>
      <c r="G104" s="68">
        <f t="shared" si="8"/>
        <v>327.5791717190682</v>
      </c>
      <c r="H104" s="68">
        <f t="shared" si="9"/>
        <v>335.73900000000003</v>
      </c>
    </row>
    <row r="105" spans="1:8" ht="15.75" customHeight="1" x14ac:dyDescent="0.25">
      <c r="A105" s="68">
        <v>16</v>
      </c>
      <c r="B105" s="68">
        <v>4</v>
      </c>
      <c r="C105" s="81" t="s">
        <v>72</v>
      </c>
      <c r="D105" s="82">
        <v>40634</v>
      </c>
      <c r="E105" s="68">
        <v>278.47000000000003</v>
      </c>
      <c r="F105" s="68">
        <v>0.92302260531046798</v>
      </c>
      <c r="G105" s="68">
        <f t="shared" si="8"/>
        <v>301.69358626523979</v>
      </c>
      <c r="H105" s="68">
        <f t="shared" si="9"/>
        <v>337.75560000000002</v>
      </c>
    </row>
    <row r="106" spans="1:8" ht="15.75" customHeight="1" x14ac:dyDescent="0.25">
      <c r="A106" s="68">
        <v>17</v>
      </c>
      <c r="B106" s="68">
        <v>5</v>
      </c>
      <c r="C106" s="81" t="s">
        <v>73</v>
      </c>
      <c r="D106" s="82">
        <v>40664</v>
      </c>
      <c r="E106" s="68">
        <v>278.47000000000003</v>
      </c>
      <c r="F106" s="68">
        <v>0.99346041128408935</v>
      </c>
      <c r="G106" s="68">
        <f t="shared" si="8"/>
        <v>280.30306677250064</v>
      </c>
      <c r="H106" s="68">
        <f t="shared" si="9"/>
        <v>339.7722</v>
      </c>
    </row>
    <row r="107" spans="1:8" ht="15.75" customHeight="1" x14ac:dyDescent="0.25">
      <c r="A107" s="68">
        <v>18</v>
      </c>
      <c r="B107" s="68">
        <v>6</v>
      </c>
      <c r="C107" s="81" t="s">
        <v>74</v>
      </c>
      <c r="D107" s="82">
        <v>40695</v>
      </c>
      <c r="E107" s="68">
        <v>214.98</v>
      </c>
      <c r="F107" s="68">
        <v>0.7247499425319216</v>
      </c>
      <c r="G107" s="68">
        <f t="shared" si="8"/>
        <v>296.62644642504569</v>
      </c>
      <c r="H107" s="68">
        <f t="shared" si="9"/>
        <v>341.78880000000004</v>
      </c>
    </row>
    <row r="108" spans="1:8" ht="15.75" customHeight="1" x14ac:dyDescent="0.25">
      <c r="A108" s="68">
        <v>19</v>
      </c>
      <c r="B108" s="68">
        <v>7</v>
      </c>
      <c r="C108" s="81" t="s">
        <v>75</v>
      </c>
      <c r="D108" s="82">
        <v>40725</v>
      </c>
      <c r="E108" s="68">
        <v>367.46</v>
      </c>
      <c r="F108" s="68">
        <v>1.1760659871757986</v>
      </c>
      <c r="G108" s="68">
        <f t="shared" si="8"/>
        <v>312.44845442934485</v>
      </c>
      <c r="H108" s="68">
        <f t="shared" si="9"/>
        <v>343.80540000000002</v>
      </c>
    </row>
    <row r="109" spans="1:8" ht="15.75" customHeight="1" x14ac:dyDescent="0.25">
      <c r="A109" s="68">
        <v>20</v>
      </c>
      <c r="B109" s="68">
        <v>8</v>
      </c>
      <c r="C109" s="81" t="s">
        <v>76</v>
      </c>
      <c r="D109" s="82">
        <v>40756</v>
      </c>
      <c r="E109" s="68">
        <v>376.82</v>
      </c>
      <c r="F109" s="68">
        <v>1.1767448723671168</v>
      </c>
      <c r="G109" s="68">
        <f t="shared" si="8"/>
        <v>320.22234287878928</v>
      </c>
      <c r="H109" s="68">
        <f t="shared" si="9"/>
        <v>345.822</v>
      </c>
    </row>
    <row r="110" spans="1:8" ht="15.75" customHeight="1" x14ac:dyDescent="0.25">
      <c r="A110" s="68">
        <v>21</v>
      </c>
      <c r="B110" s="68">
        <v>9</v>
      </c>
      <c r="C110" s="68" t="s">
        <v>77</v>
      </c>
      <c r="D110" s="82">
        <v>40787</v>
      </c>
      <c r="E110" s="68">
        <v>285.54000000000002</v>
      </c>
      <c r="F110" s="68">
        <v>0.82631139318989577</v>
      </c>
      <c r="G110" s="68">
        <f t="shared" si="8"/>
        <v>345.55980028025544</v>
      </c>
      <c r="H110" s="68">
        <f t="shared" si="9"/>
        <v>347.83859999999999</v>
      </c>
    </row>
    <row r="111" spans="1:8" ht="15.75" customHeight="1" x14ac:dyDescent="0.25">
      <c r="A111" s="68">
        <v>22</v>
      </c>
      <c r="B111" s="68">
        <v>10</v>
      </c>
      <c r="C111" s="68" t="s">
        <v>78</v>
      </c>
      <c r="D111" s="82">
        <v>40817</v>
      </c>
      <c r="E111" s="68">
        <v>304.26</v>
      </c>
      <c r="F111" s="68">
        <v>0.8784407662462792</v>
      </c>
      <c r="G111" s="68">
        <f t="shared" si="8"/>
        <v>346.3637067985274</v>
      </c>
      <c r="H111" s="68">
        <f t="shared" si="9"/>
        <v>349.85520000000002</v>
      </c>
    </row>
    <row r="112" spans="1:8" ht="15.75" customHeight="1" x14ac:dyDescent="0.25">
      <c r="A112" s="68">
        <v>23</v>
      </c>
      <c r="B112" s="68">
        <v>11</v>
      </c>
      <c r="C112" s="68" t="s">
        <v>79</v>
      </c>
      <c r="D112" s="82">
        <v>40848</v>
      </c>
      <c r="E112" s="68">
        <v>390.86</v>
      </c>
      <c r="F112" s="68">
        <v>0.98200951689414806</v>
      </c>
      <c r="G112" s="68">
        <f t="shared" si="8"/>
        <v>398.02058256644295</v>
      </c>
      <c r="H112" s="68">
        <f t="shared" si="9"/>
        <v>351.87180000000001</v>
      </c>
    </row>
    <row r="113" spans="1:8" ht="15.75" customHeight="1" x14ac:dyDescent="0.25">
      <c r="A113" s="68">
        <v>24</v>
      </c>
      <c r="B113" s="68">
        <v>12</v>
      </c>
      <c r="C113" s="68" t="s">
        <v>80</v>
      </c>
      <c r="D113" s="82">
        <v>40878</v>
      </c>
      <c r="E113" s="68">
        <v>538.30999999999995</v>
      </c>
      <c r="F113" s="68">
        <v>1.2695319716280125</v>
      </c>
      <c r="G113" s="68">
        <f t="shared" si="8"/>
        <v>424.02240513067676</v>
      </c>
      <c r="H113" s="68">
        <f t="shared" si="9"/>
        <v>353.88839999999999</v>
      </c>
    </row>
    <row r="114" spans="1:8" ht="15.75" customHeight="1" x14ac:dyDescent="0.25">
      <c r="A114" s="68">
        <v>25</v>
      </c>
      <c r="B114" s="68">
        <v>1</v>
      </c>
      <c r="C114" s="81" t="s">
        <v>69</v>
      </c>
      <c r="D114" s="82">
        <v>40909</v>
      </c>
      <c r="E114" s="68">
        <v>406.88</v>
      </c>
      <c r="F114" s="68">
        <v>0.96491945823135938</v>
      </c>
      <c r="G114" s="68">
        <f t="shared" si="8"/>
        <v>421.6724997398095</v>
      </c>
      <c r="H114" s="68">
        <f t="shared" si="9"/>
        <v>355.90500000000003</v>
      </c>
    </row>
    <row r="115" spans="1:8" ht="15.75" customHeight="1" x14ac:dyDescent="0.25">
      <c r="A115" s="68">
        <v>26</v>
      </c>
      <c r="B115" s="68">
        <v>2</v>
      </c>
      <c r="C115" s="81" t="s">
        <v>70</v>
      </c>
      <c r="D115" s="82">
        <v>40940</v>
      </c>
      <c r="E115" s="68">
        <v>367.92</v>
      </c>
      <c r="F115" s="68">
        <v>0.93798603953309079</v>
      </c>
      <c r="G115" s="68">
        <f t="shared" si="8"/>
        <v>392.24464383621597</v>
      </c>
      <c r="H115" s="68">
        <f t="shared" si="9"/>
        <v>357.92160000000001</v>
      </c>
    </row>
    <row r="116" spans="1:8" ht="15.75" customHeight="1" x14ac:dyDescent="0.25">
      <c r="A116" s="68">
        <v>27</v>
      </c>
      <c r="B116" s="68">
        <v>3</v>
      </c>
      <c r="C116" s="81" t="s">
        <v>71</v>
      </c>
      <c r="D116" s="82">
        <v>40969</v>
      </c>
      <c r="E116" s="68">
        <v>382.35</v>
      </c>
      <c r="F116" s="68">
        <v>1.0879202060674096</v>
      </c>
      <c r="G116" s="68">
        <f t="shared" si="8"/>
        <v>351.45040772991115</v>
      </c>
      <c r="H116" s="68">
        <f t="shared" si="9"/>
        <v>359.93819999999999</v>
      </c>
    </row>
    <row r="117" spans="1:8" ht="15.75" customHeight="1" x14ac:dyDescent="0.25">
      <c r="A117" s="68">
        <v>28</v>
      </c>
      <c r="B117" s="68">
        <v>4</v>
      </c>
      <c r="C117" s="81" t="s">
        <v>72</v>
      </c>
      <c r="D117" s="82">
        <v>41000</v>
      </c>
      <c r="E117" s="68">
        <v>295.77999999999997</v>
      </c>
      <c r="F117" s="68">
        <v>0.92302260531046798</v>
      </c>
      <c r="G117" s="68">
        <f t="shared" si="8"/>
        <v>320.44718980691852</v>
      </c>
      <c r="H117" s="68">
        <f t="shared" si="9"/>
        <v>361.95479999999998</v>
      </c>
    </row>
    <row r="118" spans="1:8" ht="15.75" customHeight="1" x14ac:dyDescent="0.25">
      <c r="A118" s="68">
        <v>29</v>
      </c>
      <c r="B118" s="68">
        <v>5</v>
      </c>
      <c r="C118" s="81" t="s">
        <v>73</v>
      </c>
      <c r="D118" s="82">
        <v>41030</v>
      </c>
      <c r="E118" s="68">
        <v>302.99</v>
      </c>
      <c r="F118" s="68">
        <v>0.99346041128408935</v>
      </c>
      <c r="G118" s="68">
        <f t="shared" si="8"/>
        <v>304.98447301827832</v>
      </c>
      <c r="H118" s="68">
        <f t="shared" si="9"/>
        <v>363.97140000000002</v>
      </c>
    </row>
    <row r="119" spans="1:8" ht="15.75" customHeight="1" x14ac:dyDescent="0.25">
      <c r="A119" s="68">
        <v>30</v>
      </c>
      <c r="B119" s="68">
        <v>6</v>
      </c>
      <c r="C119" s="81" t="s">
        <v>74</v>
      </c>
      <c r="D119" s="82">
        <v>41061</v>
      </c>
      <c r="E119" s="68">
        <v>230.85</v>
      </c>
      <c r="F119" s="68">
        <v>0.7247499425319216</v>
      </c>
      <c r="G119" s="68">
        <f t="shared" si="8"/>
        <v>318.52365409443576</v>
      </c>
      <c r="H119" s="68">
        <f t="shared" si="9"/>
        <v>365.988</v>
      </c>
    </row>
    <row r="120" spans="1:8" ht="15.75" customHeight="1" x14ac:dyDescent="0.25">
      <c r="A120" s="68">
        <v>31</v>
      </c>
      <c r="B120" s="68">
        <v>7</v>
      </c>
      <c r="C120" s="81" t="s">
        <v>75</v>
      </c>
      <c r="D120" s="82">
        <v>41091</v>
      </c>
      <c r="E120" s="68">
        <v>388.52</v>
      </c>
      <c r="F120" s="68">
        <v>1.1760659871757986</v>
      </c>
      <c r="G120" s="68">
        <f t="shared" si="8"/>
        <v>330.35561289633989</v>
      </c>
      <c r="H120" s="68">
        <f t="shared" si="9"/>
        <v>368.00459999999998</v>
      </c>
    </row>
    <row r="121" spans="1:8" ht="15.75" customHeight="1" x14ac:dyDescent="0.25">
      <c r="A121" s="68">
        <v>32</v>
      </c>
      <c r="B121" s="68">
        <v>8</v>
      </c>
      <c r="C121" s="81" t="s">
        <v>76</v>
      </c>
      <c r="D121" s="82">
        <v>41122</v>
      </c>
      <c r="E121" s="68">
        <v>407.25</v>
      </c>
      <c r="F121" s="68">
        <v>1.1767448723671168</v>
      </c>
      <c r="G121" s="68">
        <f t="shared" si="8"/>
        <v>346.08181396259999</v>
      </c>
      <c r="H121" s="68">
        <f t="shared" si="9"/>
        <v>370.02120000000002</v>
      </c>
    </row>
    <row r="122" spans="1:8" ht="15.75" customHeight="1" x14ac:dyDescent="0.25">
      <c r="A122" s="68">
        <v>33</v>
      </c>
      <c r="B122" s="68">
        <v>9</v>
      </c>
      <c r="C122" s="68" t="s">
        <v>77</v>
      </c>
      <c r="D122" s="82">
        <v>41153</v>
      </c>
      <c r="E122" s="68">
        <v>294.89999999999998</v>
      </c>
      <c r="F122" s="68">
        <v>0.82631139318989577</v>
      </c>
      <c r="G122" s="68">
        <f t="shared" si="8"/>
        <v>356.88724908120514</v>
      </c>
      <c r="H122" s="68">
        <f t="shared" si="9"/>
        <v>372.0378</v>
      </c>
    </row>
    <row r="123" spans="1:8" ht="15.75" customHeight="1" x14ac:dyDescent="0.25">
      <c r="A123" s="68">
        <v>34</v>
      </c>
      <c r="B123" s="68">
        <v>10</v>
      </c>
      <c r="C123" s="68" t="s">
        <v>78</v>
      </c>
      <c r="D123" s="82">
        <v>41183</v>
      </c>
      <c r="E123" s="68">
        <v>346.39</v>
      </c>
      <c r="F123" s="68">
        <v>0.8784407662462792</v>
      </c>
      <c r="G123" s="68">
        <f t="shared" si="8"/>
        <v>394.32368499948041</v>
      </c>
      <c r="H123" s="68">
        <f t="shared" si="9"/>
        <v>374.05439999999999</v>
      </c>
    </row>
    <row r="124" spans="1:8" ht="15.75" customHeight="1" x14ac:dyDescent="0.25">
      <c r="A124" s="68">
        <v>35</v>
      </c>
      <c r="B124" s="68">
        <v>11</v>
      </c>
      <c r="C124" s="68" t="s">
        <v>79</v>
      </c>
      <c r="D124" s="82">
        <v>41214</v>
      </c>
      <c r="E124" s="68">
        <v>404.91</v>
      </c>
      <c r="F124" s="68">
        <v>0.98200951689414806</v>
      </c>
      <c r="G124" s="68">
        <f t="shared" si="8"/>
        <v>412.32797955016736</v>
      </c>
      <c r="H124" s="68">
        <f t="shared" si="9"/>
        <v>376.07100000000003</v>
      </c>
    </row>
    <row r="125" spans="1:8" ht="15.75" customHeight="1" x14ac:dyDescent="0.25">
      <c r="A125" s="68">
        <v>36</v>
      </c>
      <c r="B125" s="68">
        <v>12</v>
      </c>
      <c r="C125" s="68" t="s">
        <v>80</v>
      </c>
      <c r="D125" s="82">
        <v>41244</v>
      </c>
      <c r="E125" s="68">
        <v>550.02</v>
      </c>
      <c r="F125" s="68">
        <v>1.2695319716280125</v>
      </c>
      <c r="G125" s="68">
        <f t="shared" si="8"/>
        <v>433.24627681071291</v>
      </c>
      <c r="H125" s="68">
        <f t="shared" si="9"/>
        <v>378.08760000000001</v>
      </c>
    </row>
    <row r="126" spans="1:8" ht="15.75" customHeight="1" x14ac:dyDescent="0.25">
      <c r="A126" s="68">
        <v>37</v>
      </c>
      <c r="B126" s="68"/>
      <c r="C126" s="68"/>
      <c r="D126" s="82">
        <v>41275</v>
      </c>
      <c r="E126" s="68"/>
      <c r="F126" s="68"/>
      <c r="G126" s="68"/>
      <c r="H126" s="68">
        <f>2.0166*A126+305.49</f>
        <v>380.10419999999999</v>
      </c>
    </row>
    <row r="127" spans="1:8" ht="15.75" customHeight="1" x14ac:dyDescent="0.25">
      <c r="A127" s="68">
        <v>38</v>
      </c>
      <c r="B127" s="68"/>
      <c r="C127" s="68"/>
      <c r="D127" s="82">
        <v>41306</v>
      </c>
      <c r="E127" s="68"/>
      <c r="F127" s="68"/>
      <c r="G127" s="68"/>
      <c r="H127" s="68">
        <f t="shared" si="9"/>
        <v>382.12080000000003</v>
      </c>
    </row>
    <row r="128" spans="1:8" ht="15.75" customHeight="1" x14ac:dyDescent="0.25">
      <c r="A128" s="68">
        <v>39</v>
      </c>
      <c r="B128" s="68"/>
      <c r="C128" s="68"/>
      <c r="D128" s="82">
        <v>41334</v>
      </c>
      <c r="E128" s="68"/>
      <c r="F128" s="68"/>
      <c r="G128" s="68"/>
      <c r="H128" s="68">
        <f t="shared" si="9"/>
        <v>384.13740000000001</v>
      </c>
    </row>
    <row r="129" spans="1:8" ht="15.75" customHeight="1" x14ac:dyDescent="0.25">
      <c r="A129" s="68">
        <v>40</v>
      </c>
      <c r="B129" s="68"/>
      <c r="C129" s="68"/>
      <c r="D129" s="82">
        <v>41365</v>
      </c>
      <c r="E129" s="68"/>
      <c r="F129" s="68"/>
      <c r="G129" s="68"/>
      <c r="H129" s="68">
        <f t="shared" si="9"/>
        <v>386.154</v>
      </c>
    </row>
    <row r="130" spans="1:8" ht="15.75" customHeight="1" x14ac:dyDescent="0.25">
      <c r="A130" s="68">
        <v>41</v>
      </c>
      <c r="B130" s="68"/>
      <c r="C130" s="68"/>
      <c r="D130" s="137">
        <v>41395</v>
      </c>
      <c r="E130" s="138"/>
      <c r="F130" s="138"/>
      <c r="G130" s="138"/>
      <c r="H130" s="138">
        <f t="shared" si="9"/>
        <v>388.17060000000004</v>
      </c>
    </row>
    <row r="131" spans="1:8" ht="15.75" customHeight="1" x14ac:dyDescent="0.25">
      <c r="A131" s="68">
        <v>42</v>
      </c>
      <c r="B131" s="68"/>
      <c r="C131" s="68"/>
      <c r="D131" s="82">
        <v>41426</v>
      </c>
      <c r="E131" s="68"/>
      <c r="F131" s="68"/>
      <c r="G131" s="68"/>
      <c r="H131" s="68">
        <f t="shared" si="9"/>
        <v>390.18720000000002</v>
      </c>
    </row>
    <row r="132" spans="1:8" ht="15.75" customHeight="1" x14ac:dyDescent="0.25">
      <c r="A132" s="68">
        <v>43</v>
      </c>
      <c r="B132" s="68"/>
      <c r="C132" s="68"/>
      <c r="D132" s="82">
        <v>41456</v>
      </c>
      <c r="E132" s="68"/>
      <c r="F132" s="68"/>
      <c r="G132" s="68"/>
      <c r="H132" s="68">
        <f t="shared" si="9"/>
        <v>392.2038</v>
      </c>
    </row>
    <row r="133" spans="1:8" ht="15.75" customHeight="1" x14ac:dyDescent="0.25">
      <c r="A133" s="68">
        <v>44</v>
      </c>
      <c r="B133" s="68"/>
      <c r="C133" s="68"/>
      <c r="D133" s="82">
        <v>41487</v>
      </c>
      <c r="E133" s="68"/>
      <c r="F133" s="68"/>
      <c r="G133" s="68"/>
      <c r="H133" s="68">
        <f t="shared" si="9"/>
        <v>394.22040000000004</v>
      </c>
    </row>
    <row r="134" spans="1:8" ht="15.75" customHeight="1" x14ac:dyDescent="0.25">
      <c r="A134" s="68">
        <v>45</v>
      </c>
      <c r="B134" s="68"/>
      <c r="C134" s="68"/>
      <c r="D134" s="82">
        <v>41518</v>
      </c>
      <c r="E134" s="68"/>
      <c r="F134" s="68"/>
      <c r="G134" s="68"/>
      <c r="H134" s="68">
        <f t="shared" si="9"/>
        <v>396.23700000000002</v>
      </c>
    </row>
    <row r="135" spans="1:8" ht="15.75" customHeight="1" x14ac:dyDescent="0.25">
      <c r="A135" s="68">
        <v>46</v>
      </c>
      <c r="B135" s="68"/>
      <c r="C135" s="68"/>
      <c r="D135" s="82">
        <v>41548</v>
      </c>
      <c r="E135" s="68"/>
      <c r="F135" s="68"/>
      <c r="G135" s="68"/>
      <c r="H135" s="68">
        <f t="shared" si="9"/>
        <v>398.25360000000001</v>
      </c>
    </row>
    <row r="136" spans="1:8" ht="15.75" customHeight="1" x14ac:dyDescent="0.25">
      <c r="A136" s="68">
        <v>47</v>
      </c>
      <c r="B136" s="68"/>
      <c r="C136" s="68"/>
      <c r="D136" s="82">
        <v>41579</v>
      </c>
      <c r="E136" s="68"/>
      <c r="F136" s="68"/>
      <c r="G136" s="68"/>
      <c r="H136" s="68">
        <f t="shared" si="9"/>
        <v>400.27019999999999</v>
      </c>
    </row>
    <row r="137" spans="1:8" ht="15.75" customHeight="1" x14ac:dyDescent="0.25">
      <c r="A137" s="68">
        <v>48</v>
      </c>
      <c r="B137" s="68"/>
      <c r="C137" s="68"/>
      <c r="D137" s="82">
        <v>41609</v>
      </c>
      <c r="E137" s="68"/>
      <c r="F137" s="68"/>
      <c r="G137" s="68"/>
      <c r="H137" s="68">
        <f t="shared" si="9"/>
        <v>402.28679999999997</v>
      </c>
    </row>
    <row r="138" spans="1:8" ht="15.75" customHeight="1" x14ac:dyDescent="0.25">
      <c r="D138" s="20"/>
    </row>
    <row r="166" spans="1:9" ht="38.5" customHeight="1" x14ac:dyDescent="0.3">
      <c r="A166" s="80"/>
      <c r="B166" s="80" t="s">
        <v>63</v>
      </c>
      <c r="C166" s="80" t="s">
        <v>64</v>
      </c>
      <c r="D166" s="80" t="s">
        <v>65</v>
      </c>
      <c r="E166" s="80" t="s">
        <v>19</v>
      </c>
      <c r="F166" s="80" t="s">
        <v>84</v>
      </c>
      <c r="G166" s="92" t="s">
        <v>177</v>
      </c>
      <c r="H166" s="92" t="s">
        <v>176</v>
      </c>
      <c r="I166" s="80" t="s">
        <v>175</v>
      </c>
    </row>
    <row r="167" spans="1:9" ht="15.75" customHeight="1" x14ac:dyDescent="0.25">
      <c r="A167" s="68">
        <v>1</v>
      </c>
      <c r="B167" s="68">
        <v>1</v>
      </c>
      <c r="C167" s="81" t="s">
        <v>69</v>
      </c>
      <c r="D167" s="82">
        <v>40179</v>
      </c>
      <c r="E167" s="68">
        <v>349.17</v>
      </c>
      <c r="F167" s="68"/>
      <c r="G167" s="68"/>
      <c r="H167" s="68"/>
      <c r="I167" s="68"/>
    </row>
    <row r="168" spans="1:9" ht="15.75" customHeight="1" x14ac:dyDescent="0.25">
      <c r="A168" s="68">
        <v>2</v>
      </c>
      <c r="B168" s="68">
        <v>2</v>
      </c>
      <c r="C168" s="81" t="s">
        <v>70</v>
      </c>
      <c r="D168" s="82">
        <v>40210</v>
      </c>
      <c r="E168" s="83">
        <v>339.07</v>
      </c>
      <c r="F168" s="68"/>
      <c r="G168" s="68"/>
      <c r="H168" s="68"/>
      <c r="I168" s="68"/>
    </row>
    <row r="169" spans="1:9" ht="15.75" customHeight="1" x14ac:dyDescent="0.25">
      <c r="A169" s="68">
        <v>3</v>
      </c>
      <c r="B169" s="68">
        <v>3</v>
      </c>
      <c r="C169" s="81" t="s">
        <v>71</v>
      </c>
      <c r="D169" s="82">
        <v>40238</v>
      </c>
      <c r="E169" s="68">
        <v>334.74</v>
      </c>
      <c r="F169" s="68"/>
      <c r="G169" s="68"/>
      <c r="H169" s="68"/>
      <c r="I169" s="68"/>
    </row>
    <row r="170" spans="1:9" ht="15.75" customHeight="1" x14ac:dyDescent="0.25">
      <c r="A170" s="68">
        <v>4</v>
      </c>
      <c r="B170" s="68">
        <v>4</v>
      </c>
      <c r="C170" s="81" t="s">
        <v>72</v>
      </c>
      <c r="D170" s="82">
        <v>40269</v>
      </c>
      <c r="E170" s="68">
        <v>256.82</v>
      </c>
      <c r="F170" s="68"/>
      <c r="G170" s="68"/>
      <c r="H170" s="68"/>
      <c r="I170" s="68"/>
    </row>
    <row r="171" spans="1:9" ht="15.75" customHeight="1" x14ac:dyDescent="0.25">
      <c r="A171" s="68">
        <v>5</v>
      </c>
      <c r="B171" s="68">
        <v>5</v>
      </c>
      <c r="C171" s="81" t="s">
        <v>73</v>
      </c>
      <c r="D171" s="82">
        <v>40299</v>
      </c>
      <c r="E171" s="68">
        <v>265.48</v>
      </c>
      <c r="F171" s="68"/>
      <c r="G171" s="68"/>
      <c r="H171" s="68"/>
      <c r="I171" s="68"/>
    </row>
    <row r="172" spans="1:9" ht="15.75" customHeight="1" x14ac:dyDescent="0.25">
      <c r="A172" s="68">
        <v>6</v>
      </c>
      <c r="B172" s="68">
        <v>6</v>
      </c>
      <c r="C172" s="81" t="s">
        <v>74</v>
      </c>
      <c r="D172" s="82">
        <v>40330</v>
      </c>
      <c r="E172" s="68">
        <v>202</v>
      </c>
      <c r="F172" s="68"/>
      <c r="G172" s="68"/>
      <c r="H172" s="68"/>
      <c r="I172" s="68"/>
    </row>
    <row r="173" spans="1:9" ht="15.75" customHeight="1" x14ac:dyDescent="0.25">
      <c r="A173" s="68">
        <v>7</v>
      </c>
      <c r="B173" s="68">
        <v>7</v>
      </c>
      <c r="C173" s="81" t="s">
        <v>75</v>
      </c>
      <c r="D173" s="82">
        <v>40360</v>
      </c>
      <c r="E173" s="68">
        <v>339.37</v>
      </c>
      <c r="F173" s="68">
        <f t="shared" ref="F173:F196" si="10">+AVERAGE(E167:E178)</f>
        <v>320.16833333333335</v>
      </c>
      <c r="G173" s="68">
        <f t="shared" ref="G173:G195" si="11">+AVERAGE(F173:F174)</f>
        <v>321.4304166666667</v>
      </c>
      <c r="H173" s="68">
        <f t="shared" ref="H173:H195" si="12">+E172/G173</f>
        <v>0.62844083672852979</v>
      </c>
      <c r="I173" s="68">
        <f t="shared" ref="I173:I182" si="13">+AVERAGE(H173,H185)</f>
        <v>0.62668302231619444</v>
      </c>
    </row>
    <row r="174" spans="1:9" ht="15.75" customHeight="1" x14ac:dyDescent="0.25">
      <c r="A174" s="68">
        <v>8</v>
      </c>
      <c r="B174" s="68">
        <v>8</v>
      </c>
      <c r="C174" s="81" t="s">
        <v>76</v>
      </c>
      <c r="D174" s="82">
        <v>40391</v>
      </c>
      <c r="E174" s="68">
        <v>355.76</v>
      </c>
      <c r="F174" s="68">
        <f t="shared" si="10"/>
        <v>322.6925</v>
      </c>
      <c r="G174" s="68">
        <f t="shared" si="11"/>
        <v>322.8725</v>
      </c>
      <c r="H174" s="68">
        <f t="shared" si="12"/>
        <v>1.0510960208751132</v>
      </c>
      <c r="I174" s="68">
        <f t="shared" si="13"/>
        <v>1.0562930481534434</v>
      </c>
    </row>
    <row r="175" spans="1:9" ht="15.75" customHeight="1" x14ac:dyDescent="0.25">
      <c r="A175" s="68">
        <v>9</v>
      </c>
      <c r="B175" s="68">
        <v>9</v>
      </c>
      <c r="C175" s="68" t="s">
        <v>77</v>
      </c>
      <c r="D175" s="82">
        <v>40422</v>
      </c>
      <c r="E175" s="68">
        <v>257.45</v>
      </c>
      <c r="F175" s="68">
        <f t="shared" si="10"/>
        <v>323.05250000000001</v>
      </c>
      <c r="G175" s="68">
        <f t="shared" si="11"/>
        <v>323.95416666666665</v>
      </c>
      <c r="H175" s="68">
        <f t="shared" si="12"/>
        <v>1.0981800409008475</v>
      </c>
      <c r="I175" s="68">
        <f t="shared" si="13"/>
        <v>1.0900660369697981</v>
      </c>
    </row>
    <row r="176" spans="1:9" ht="15.75" customHeight="1" x14ac:dyDescent="0.25">
      <c r="A176" s="68">
        <v>10</v>
      </c>
      <c r="B176" s="68">
        <v>10</v>
      </c>
      <c r="C176" s="68" t="s">
        <v>78</v>
      </c>
      <c r="D176" s="82">
        <v>40452</v>
      </c>
      <c r="E176" s="68">
        <v>304.26</v>
      </c>
      <c r="F176" s="68">
        <f t="shared" si="10"/>
        <v>324.85583333333335</v>
      </c>
      <c r="G176" s="68">
        <f t="shared" si="11"/>
        <v>325.75791666666669</v>
      </c>
      <c r="H176" s="68">
        <f t="shared" si="12"/>
        <v>0.79031080083753391</v>
      </c>
      <c r="I176" s="68">
        <f t="shared" si="13"/>
        <v>0.80297501372282132</v>
      </c>
    </row>
    <row r="177" spans="1:9" ht="15.75" customHeight="1" x14ac:dyDescent="0.25">
      <c r="A177" s="68">
        <v>11</v>
      </c>
      <c r="B177" s="68">
        <v>11</v>
      </c>
      <c r="C177" s="68" t="s">
        <v>79</v>
      </c>
      <c r="D177" s="82">
        <v>40483</v>
      </c>
      <c r="E177" s="68">
        <v>355.76</v>
      </c>
      <c r="F177" s="68">
        <f t="shared" si="10"/>
        <v>326.66000000000003</v>
      </c>
      <c r="G177" s="68">
        <f t="shared" si="11"/>
        <v>327.20125000000002</v>
      </c>
      <c r="H177" s="68">
        <f t="shared" si="12"/>
        <v>0.92988642311115854</v>
      </c>
      <c r="I177" s="68">
        <f t="shared" si="13"/>
        <v>0.89734670856758103</v>
      </c>
    </row>
    <row r="178" spans="1:9" ht="15.75" customHeight="1" x14ac:dyDescent="0.25">
      <c r="A178" s="68">
        <v>12</v>
      </c>
      <c r="B178" s="68">
        <v>12</v>
      </c>
      <c r="C178" s="68" t="s">
        <v>80</v>
      </c>
      <c r="D178" s="82">
        <v>40513</v>
      </c>
      <c r="E178" s="68">
        <v>482.14</v>
      </c>
      <c r="F178" s="68">
        <f t="shared" si="10"/>
        <v>327.74250000000001</v>
      </c>
      <c r="G178" s="68">
        <f t="shared" si="11"/>
        <v>328.2833333333333</v>
      </c>
      <c r="H178" s="68">
        <f t="shared" si="12"/>
        <v>1.0836980250799615</v>
      </c>
      <c r="I178" s="68">
        <f t="shared" si="13"/>
        <v>1.0946809336353855</v>
      </c>
    </row>
    <row r="179" spans="1:9" ht="15.75" customHeight="1" x14ac:dyDescent="0.25">
      <c r="A179" s="68">
        <v>13</v>
      </c>
      <c r="B179" s="68">
        <v>1</v>
      </c>
      <c r="C179" s="81" t="s">
        <v>69</v>
      </c>
      <c r="D179" s="82">
        <v>40544</v>
      </c>
      <c r="E179" s="68">
        <v>379.46</v>
      </c>
      <c r="F179" s="68">
        <f t="shared" si="10"/>
        <v>328.82416666666666</v>
      </c>
      <c r="G179" s="68">
        <f t="shared" si="11"/>
        <v>329.99458333333337</v>
      </c>
      <c r="H179" s="68">
        <f t="shared" si="12"/>
        <v>1.4610542849819503</v>
      </c>
      <c r="I179" s="68">
        <f t="shared" si="13"/>
        <v>1.4886123662296944</v>
      </c>
    </row>
    <row r="180" spans="1:9" ht="15.75" customHeight="1" x14ac:dyDescent="0.25">
      <c r="A180" s="68">
        <v>14</v>
      </c>
      <c r="B180" s="68">
        <v>2</v>
      </c>
      <c r="C180" s="81" t="s">
        <v>70</v>
      </c>
      <c r="D180" s="82">
        <v>40575</v>
      </c>
      <c r="E180" s="68">
        <v>343.39</v>
      </c>
      <c r="F180" s="68">
        <f t="shared" si="10"/>
        <v>331.16500000000002</v>
      </c>
      <c r="G180" s="68">
        <f t="shared" si="11"/>
        <v>332.04250000000002</v>
      </c>
      <c r="H180" s="68">
        <f t="shared" si="12"/>
        <v>1.142805514354337</v>
      </c>
      <c r="I180" s="68">
        <f t="shared" si="13"/>
        <v>1.1409575824983376</v>
      </c>
    </row>
    <row r="181" spans="1:9" ht="15.75" customHeight="1" x14ac:dyDescent="0.25">
      <c r="A181" s="68">
        <v>15</v>
      </c>
      <c r="B181" s="68">
        <v>3</v>
      </c>
      <c r="C181" s="81" t="s">
        <v>71</v>
      </c>
      <c r="D181" s="82">
        <v>40603</v>
      </c>
      <c r="E181" s="68">
        <v>356.38</v>
      </c>
      <c r="F181" s="68">
        <f t="shared" si="10"/>
        <v>332.92000000000007</v>
      </c>
      <c r="G181" s="68">
        <f t="shared" si="11"/>
        <v>334.09041666666667</v>
      </c>
      <c r="H181" s="68">
        <f t="shared" si="12"/>
        <v>1.0278355285557677</v>
      </c>
      <c r="I181" s="68">
        <f t="shared" si="13"/>
        <v>1.0265565470533771</v>
      </c>
    </row>
    <row r="182" spans="1:9" ht="15.75" customHeight="1" x14ac:dyDescent="0.25">
      <c r="A182" s="68">
        <v>16</v>
      </c>
      <c r="B182" s="68">
        <v>4</v>
      </c>
      <c r="C182" s="81" t="s">
        <v>72</v>
      </c>
      <c r="D182" s="82">
        <v>40634</v>
      </c>
      <c r="E182" s="68">
        <v>278.47000000000003</v>
      </c>
      <c r="F182" s="68">
        <f t="shared" si="10"/>
        <v>335.26083333333332</v>
      </c>
      <c r="G182" s="68">
        <f t="shared" si="11"/>
        <v>335.26083333333338</v>
      </c>
      <c r="H182" s="68">
        <f t="shared" si="12"/>
        <v>1.0629932415805603</v>
      </c>
      <c r="I182" s="68">
        <f t="shared" si="13"/>
        <v>1.0610752040331035</v>
      </c>
    </row>
    <row r="183" spans="1:9" ht="15.75" customHeight="1" x14ac:dyDescent="0.25">
      <c r="A183" s="68">
        <v>17</v>
      </c>
      <c r="B183" s="68">
        <v>5</v>
      </c>
      <c r="C183" s="81" t="s">
        <v>73</v>
      </c>
      <c r="D183" s="82">
        <v>40664</v>
      </c>
      <c r="E183" s="68">
        <v>278.47000000000003</v>
      </c>
      <c r="F183" s="68">
        <f t="shared" si="10"/>
        <v>335.26083333333344</v>
      </c>
      <c r="G183" s="68">
        <f t="shared" si="11"/>
        <v>336.72333333333336</v>
      </c>
      <c r="H183" s="68">
        <f t="shared" si="12"/>
        <v>0.82699941593989135</v>
      </c>
      <c r="I183" s="68">
        <f t="shared" ref="I183" si="14">+AVERAGE(H183,H195)</f>
        <v>0.82053407130501821</v>
      </c>
    </row>
    <row r="184" spans="1:9" ht="15.75" customHeight="1" x14ac:dyDescent="0.25">
      <c r="A184" s="68">
        <v>18</v>
      </c>
      <c r="B184" s="68">
        <v>6</v>
      </c>
      <c r="C184" s="81" t="s">
        <v>74</v>
      </c>
      <c r="D184" s="82">
        <v>40695</v>
      </c>
      <c r="E184" s="68">
        <v>214.98</v>
      </c>
      <c r="F184" s="68">
        <f t="shared" si="10"/>
        <v>338.18583333333333</v>
      </c>
      <c r="G184" s="68">
        <f t="shared" si="11"/>
        <v>340.52625</v>
      </c>
      <c r="H184" s="68">
        <f t="shared" si="12"/>
        <v>0.81776368194816118</v>
      </c>
      <c r="I184" s="68">
        <f>+AVERAGE(H184)</f>
        <v>0.81776368194816118</v>
      </c>
    </row>
    <row r="185" spans="1:9" ht="15.75" customHeight="1" x14ac:dyDescent="0.25">
      <c r="A185" s="68">
        <v>19</v>
      </c>
      <c r="B185" s="68">
        <v>7</v>
      </c>
      <c r="C185" s="81" t="s">
        <v>75</v>
      </c>
      <c r="D185" s="82">
        <v>40725</v>
      </c>
      <c r="E185" s="68">
        <v>367.46</v>
      </c>
      <c r="F185" s="68">
        <f t="shared" si="10"/>
        <v>342.86666666666673</v>
      </c>
      <c r="G185" s="68">
        <f t="shared" si="11"/>
        <v>344.00916666666672</v>
      </c>
      <c r="H185" s="68">
        <f t="shared" si="12"/>
        <v>0.62492520790385908</v>
      </c>
      <c r="I185" s="68"/>
    </row>
    <row r="186" spans="1:9" ht="15.75" customHeight="1" x14ac:dyDescent="0.25">
      <c r="A186" s="68">
        <v>20</v>
      </c>
      <c r="B186" s="68">
        <v>8</v>
      </c>
      <c r="C186" s="81" t="s">
        <v>76</v>
      </c>
      <c r="D186" s="82">
        <v>40756</v>
      </c>
      <c r="E186" s="68">
        <v>376.82</v>
      </c>
      <c r="F186" s="68">
        <f t="shared" si="10"/>
        <v>345.1516666666667</v>
      </c>
      <c r="G186" s="68">
        <f t="shared" si="11"/>
        <v>346.17375000000004</v>
      </c>
      <c r="H186" s="68">
        <f t="shared" si="12"/>
        <v>1.0614900754317735</v>
      </c>
      <c r="I186" s="68"/>
    </row>
    <row r="187" spans="1:9" ht="15.75" customHeight="1" x14ac:dyDescent="0.25">
      <c r="A187" s="68">
        <v>21</v>
      </c>
      <c r="B187" s="68">
        <v>9</v>
      </c>
      <c r="C187" s="68" t="s">
        <v>77</v>
      </c>
      <c r="D187" s="82">
        <v>40787</v>
      </c>
      <c r="E187" s="68">
        <v>285.54000000000002</v>
      </c>
      <c r="F187" s="68">
        <f t="shared" si="10"/>
        <v>347.19583333333338</v>
      </c>
      <c r="G187" s="68">
        <f t="shared" si="11"/>
        <v>348.27791666666673</v>
      </c>
      <c r="H187" s="68">
        <f t="shared" si="12"/>
        <v>1.0819520330387489</v>
      </c>
      <c r="I187" s="68"/>
    </row>
    <row r="188" spans="1:9" ht="15.75" customHeight="1" x14ac:dyDescent="0.25">
      <c r="A188" s="68">
        <v>22</v>
      </c>
      <c r="B188" s="68">
        <v>10</v>
      </c>
      <c r="C188" s="68" t="s">
        <v>78</v>
      </c>
      <c r="D188" s="82">
        <v>40817</v>
      </c>
      <c r="E188" s="68">
        <v>304.26</v>
      </c>
      <c r="F188" s="68">
        <f t="shared" si="10"/>
        <v>349.36000000000007</v>
      </c>
      <c r="G188" s="68">
        <f t="shared" si="11"/>
        <v>350.08125000000007</v>
      </c>
      <c r="H188" s="68">
        <f t="shared" si="12"/>
        <v>0.81563922660810873</v>
      </c>
      <c r="I188" s="68"/>
    </row>
    <row r="189" spans="1:9" ht="15.75" customHeight="1" x14ac:dyDescent="0.25">
      <c r="A189" s="68">
        <v>23</v>
      </c>
      <c r="B189" s="68">
        <v>11</v>
      </c>
      <c r="C189" s="68" t="s">
        <v>79</v>
      </c>
      <c r="D189" s="82">
        <v>40848</v>
      </c>
      <c r="E189" s="68">
        <v>390.86</v>
      </c>
      <c r="F189" s="68">
        <f t="shared" si="10"/>
        <v>350.80250000000001</v>
      </c>
      <c r="G189" s="68">
        <f t="shared" si="11"/>
        <v>351.82416666666666</v>
      </c>
      <c r="H189" s="68">
        <f t="shared" si="12"/>
        <v>0.86480699402400352</v>
      </c>
      <c r="I189" s="68"/>
    </row>
    <row r="190" spans="1:9" ht="15.75" customHeight="1" x14ac:dyDescent="0.25">
      <c r="A190" s="68">
        <v>24</v>
      </c>
      <c r="B190" s="68">
        <v>12</v>
      </c>
      <c r="C190" s="68" t="s">
        <v>80</v>
      </c>
      <c r="D190" s="82">
        <v>40878</v>
      </c>
      <c r="E190" s="68">
        <v>538.30999999999995</v>
      </c>
      <c r="F190" s="68">
        <f t="shared" si="10"/>
        <v>352.8458333333333</v>
      </c>
      <c r="G190" s="68">
        <f t="shared" si="11"/>
        <v>353.5070833333333</v>
      </c>
      <c r="H190" s="68">
        <f t="shared" si="12"/>
        <v>1.1056638421908096</v>
      </c>
      <c r="I190" s="68"/>
    </row>
    <row r="191" spans="1:9" ht="15.75" customHeight="1" x14ac:dyDescent="0.25">
      <c r="A191" s="68">
        <v>25</v>
      </c>
      <c r="B191" s="68">
        <v>1</v>
      </c>
      <c r="C191" s="81" t="s">
        <v>69</v>
      </c>
      <c r="D191" s="82">
        <v>40909</v>
      </c>
      <c r="E191" s="68">
        <v>406.88</v>
      </c>
      <c r="F191" s="68">
        <f t="shared" si="10"/>
        <v>354.16833333333335</v>
      </c>
      <c r="G191" s="68">
        <f t="shared" si="11"/>
        <v>355.04583333333335</v>
      </c>
      <c r="H191" s="68">
        <f t="shared" si="12"/>
        <v>1.5161704474774382</v>
      </c>
      <c r="I191" s="68"/>
    </row>
    <row r="192" spans="1:9" ht="15.75" customHeight="1" x14ac:dyDescent="0.25">
      <c r="A192" s="68">
        <v>26</v>
      </c>
      <c r="B192" s="68">
        <v>2</v>
      </c>
      <c r="C192" s="81" t="s">
        <v>70</v>
      </c>
      <c r="D192" s="82">
        <v>40940</v>
      </c>
      <c r="E192" s="68">
        <v>367.92</v>
      </c>
      <c r="F192" s="68">
        <f t="shared" si="10"/>
        <v>355.92333333333335</v>
      </c>
      <c r="G192" s="68">
        <f t="shared" si="11"/>
        <v>357.19124999999997</v>
      </c>
      <c r="H192" s="68">
        <f t="shared" si="12"/>
        <v>1.1391096506423382</v>
      </c>
      <c r="I192" s="68"/>
    </row>
    <row r="193" spans="1:9" ht="15.75" customHeight="1" x14ac:dyDescent="0.25">
      <c r="A193" s="68">
        <v>27</v>
      </c>
      <c r="B193" s="68">
        <v>3</v>
      </c>
      <c r="C193" s="81" t="s">
        <v>71</v>
      </c>
      <c r="D193" s="82">
        <v>40969</v>
      </c>
      <c r="E193" s="68">
        <v>382.35</v>
      </c>
      <c r="F193" s="68">
        <f t="shared" si="10"/>
        <v>358.45916666666659</v>
      </c>
      <c r="G193" s="68">
        <f t="shared" si="11"/>
        <v>358.84916666666658</v>
      </c>
      <c r="H193" s="68">
        <f t="shared" si="12"/>
        <v>1.0252775655509863</v>
      </c>
      <c r="I193" s="68"/>
    </row>
    <row r="194" spans="1:9" ht="15.75" customHeight="1" x14ac:dyDescent="0.25">
      <c r="A194" s="68">
        <v>28</v>
      </c>
      <c r="B194" s="68">
        <v>4</v>
      </c>
      <c r="C194" s="81" t="s">
        <v>72</v>
      </c>
      <c r="D194" s="82">
        <v>41000</v>
      </c>
      <c r="E194" s="68">
        <v>295.77999999999997</v>
      </c>
      <c r="F194" s="68">
        <f t="shared" si="10"/>
        <v>359.23916666666656</v>
      </c>
      <c r="G194" s="68">
        <f t="shared" si="11"/>
        <v>360.99458333333325</v>
      </c>
      <c r="H194" s="68">
        <f t="shared" si="12"/>
        <v>1.059157166485647</v>
      </c>
      <c r="I194" s="68"/>
    </row>
    <row r="195" spans="1:9" ht="15.75" customHeight="1" x14ac:dyDescent="0.25">
      <c r="A195" s="68">
        <v>29</v>
      </c>
      <c r="B195" s="68">
        <v>5</v>
      </c>
      <c r="C195" s="81" t="s">
        <v>73</v>
      </c>
      <c r="D195" s="82">
        <v>41030</v>
      </c>
      <c r="E195" s="68">
        <v>302.99</v>
      </c>
      <c r="F195" s="68">
        <f t="shared" si="10"/>
        <v>362.75</v>
      </c>
      <c r="G195" s="68">
        <f t="shared" si="11"/>
        <v>363.33541666666667</v>
      </c>
      <c r="H195" s="68">
        <f t="shared" si="12"/>
        <v>0.81406872667014518</v>
      </c>
      <c r="I195" s="68"/>
    </row>
    <row r="196" spans="1:9" ht="15.75" customHeight="1" x14ac:dyDescent="0.25">
      <c r="A196" s="68">
        <v>30</v>
      </c>
      <c r="B196" s="68">
        <v>6</v>
      </c>
      <c r="C196" s="81" t="s">
        <v>74</v>
      </c>
      <c r="D196" s="82">
        <v>41061</v>
      </c>
      <c r="E196" s="68">
        <v>230.85</v>
      </c>
      <c r="F196" s="68">
        <f t="shared" si="10"/>
        <v>363.92083333333335</v>
      </c>
      <c r="G196" s="68"/>
      <c r="H196" s="68"/>
      <c r="I196" s="68"/>
    </row>
    <row r="197" spans="1:9" ht="15.75" customHeight="1" x14ac:dyDescent="0.25">
      <c r="A197" s="68">
        <v>31</v>
      </c>
      <c r="B197" s="68">
        <v>7</v>
      </c>
      <c r="C197" s="81" t="s">
        <v>75</v>
      </c>
      <c r="D197" s="82">
        <v>41091</v>
      </c>
      <c r="E197" s="68">
        <v>388.52</v>
      </c>
      <c r="F197" s="68"/>
      <c r="G197" s="68"/>
      <c r="H197" s="68"/>
      <c r="I197" s="68"/>
    </row>
    <row r="198" spans="1:9" ht="15.75" customHeight="1" x14ac:dyDescent="0.25">
      <c r="A198" s="68">
        <v>32</v>
      </c>
      <c r="B198" s="68">
        <v>8</v>
      </c>
      <c r="C198" s="81" t="s">
        <v>76</v>
      </c>
      <c r="D198" s="82">
        <v>41122</v>
      </c>
      <c r="E198" s="68">
        <v>407.25</v>
      </c>
      <c r="F198" s="68"/>
      <c r="G198" s="68"/>
      <c r="H198" s="68"/>
      <c r="I198" s="68"/>
    </row>
    <row r="199" spans="1:9" ht="15.75" customHeight="1" x14ac:dyDescent="0.25">
      <c r="A199" s="68">
        <v>33</v>
      </c>
      <c r="B199" s="68">
        <v>9</v>
      </c>
      <c r="C199" s="68" t="s">
        <v>77</v>
      </c>
      <c r="D199" s="82">
        <v>41153</v>
      </c>
      <c r="E199" s="68">
        <v>294.89999999999998</v>
      </c>
      <c r="F199" s="68"/>
      <c r="G199" s="68"/>
      <c r="H199" s="68"/>
      <c r="I199" s="68"/>
    </row>
    <row r="200" spans="1:9" ht="15.75" customHeight="1" x14ac:dyDescent="0.25">
      <c r="A200" s="68">
        <v>34</v>
      </c>
      <c r="B200" s="68">
        <v>10</v>
      </c>
      <c r="C200" s="68" t="s">
        <v>78</v>
      </c>
      <c r="D200" s="82">
        <v>41183</v>
      </c>
      <c r="E200" s="68">
        <v>346.39</v>
      </c>
      <c r="F200" s="68"/>
      <c r="G200" s="68"/>
      <c r="H200" s="68"/>
      <c r="I200" s="68"/>
    </row>
    <row r="201" spans="1:9" ht="15.75" customHeight="1" x14ac:dyDescent="0.25">
      <c r="A201" s="68">
        <v>35</v>
      </c>
      <c r="B201" s="68">
        <v>11</v>
      </c>
      <c r="C201" s="68" t="s">
        <v>79</v>
      </c>
      <c r="D201" s="82">
        <v>41214</v>
      </c>
      <c r="E201" s="68">
        <v>404.91</v>
      </c>
      <c r="F201" s="68"/>
      <c r="G201" s="68"/>
      <c r="H201" s="68"/>
      <c r="I201" s="68"/>
    </row>
    <row r="202" spans="1:9" ht="15.75" customHeight="1" x14ac:dyDescent="0.25">
      <c r="A202" s="68">
        <v>36</v>
      </c>
      <c r="B202" s="68">
        <v>12</v>
      </c>
      <c r="C202" s="68" t="s">
        <v>80</v>
      </c>
      <c r="D202" s="82">
        <v>41244</v>
      </c>
      <c r="E202" s="68">
        <v>550.02</v>
      </c>
      <c r="F202" s="68"/>
      <c r="G202" s="68"/>
      <c r="H202" s="68"/>
      <c r="I202" s="68"/>
    </row>
    <row r="203" spans="1:9" ht="15.75" customHeight="1" x14ac:dyDescent="0.25">
      <c r="A203" s="100"/>
      <c r="B203" s="100"/>
      <c r="C203" s="100"/>
      <c r="D203" s="101"/>
      <c r="E203" s="100"/>
      <c r="F203" s="100"/>
      <c r="G203" s="100"/>
      <c r="H203" s="100"/>
      <c r="I203" s="100"/>
    </row>
    <row r="204" spans="1:9" ht="15.75" customHeight="1" x14ac:dyDescent="0.25">
      <c r="A204" s="100"/>
      <c r="B204" s="100"/>
      <c r="C204" s="100"/>
      <c r="D204" s="101"/>
      <c r="E204" s="100"/>
      <c r="F204" s="100"/>
      <c r="G204" s="100"/>
      <c r="H204" s="100"/>
      <c r="I204" s="100"/>
    </row>
    <row r="205" spans="1:9" ht="15.75" customHeight="1" x14ac:dyDescent="0.25">
      <c r="A205" s="100"/>
      <c r="B205" s="100"/>
      <c r="C205" s="100"/>
      <c r="D205" s="101"/>
      <c r="E205" s="100"/>
      <c r="F205" s="100"/>
      <c r="G205" s="100"/>
      <c r="H205" s="100"/>
      <c r="I205" s="100"/>
    </row>
    <row r="206" spans="1:9" ht="15.75" customHeight="1" x14ac:dyDescent="0.25">
      <c r="A206" s="100"/>
      <c r="B206" s="100"/>
      <c r="C206" s="100"/>
      <c r="D206" s="101"/>
      <c r="E206" s="100"/>
      <c r="F206" s="100"/>
      <c r="G206" s="100"/>
      <c r="H206" s="100"/>
      <c r="I206" s="100"/>
    </row>
    <row r="207" spans="1:9" ht="15.75" customHeight="1" x14ac:dyDescent="0.25">
      <c r="A207" s="100"/>
      <c r="B207" s="100"/>
      <c r="C207" s="100"/>
      <c r="D207" s="101"/>
      <c r="E207" s="100"/>
      <c r="F207" s="100"/>
      <c r="G207" s="100"/>
      <c r="H207" s="100"/>
      <c r="I207" s="100"/>
    </row>
    <row r="208" spans="1:9" ht="15.75" customHeight="1" x14ac:dyDescent="0.25">
      <c r="A208" s="100"/>
      <c r="B208" s="100"/>
      <c r="C208" s="100"/>
      <c r="D208" s="101"/>
      <c r="E208" s="100"/>
      <c r="F208" s="100"/>
      <c r="G208" s="100"/>
      <c r="H208" s="100"/>
      <c r="I208" s="100"/>
    </row>
    <row r="209" spans="1:9" ht="15.75" customHeight="1" x14ac:dyDescent="0.25">
      <c r="A209" s="100"/>
      <c r="B209" s="100"/>
      <c r="C209" s="100"/>
      <c r="D209" s="101"/>
      <c r="E209" s="100"/>
      <c r="F209" s="100"/>
      <c r="G209" s="100"/>
      <c r="H209" s="100"/>
      <c r="I209" s="100"/>
    </row>
    <row r="210" spans="1:9" ht="15.75" customHeight="1" x14ac:dyDescent="0.25">
      <c r="A210" s="100"/>
      <c r="B210" s="100"/>
      <c r="C210" s="100"/>
      <c r="D210" s="101"/>
      <c r="E210" s="100"/>
      <c r="F210" s="100"/>
      <c r="G210" s="100"/>
      <c r="H210" s="100"/>
      <c r="I210" s="100"/>
    </row>
    <row r="211" spans="1:9" ht="15.75" customHeight="1" x14ac:dyDescent="0.25">
      <c r="A211" s="100"/>
      <c r="B211" s="100"/>
      <c r="C211" s="100"/>
      <c r="D211" s="101"/>
      <c r="E211" s="100"/>
      <c r="F211" s="100"/>
      <c r="G211" s="100"/>
      <c r="H211" s="100"/>
      <c r="I211" s="100"/>
    </row>
    <row r="212" spans="1:9" ht="15.75" customHeight="1" x14ac:dyDescent="0.25">
      <c r="A212" s="100"/>
      <c r="B212" s="100"/>
      <c r="C212" s="100"/>
      <c r="D212" s="101"/>
      <c r="E212" s="100"/>
      <c r="F212" s="100"/>
      <c r="G212" s="100"/>
      <c r="H212" s="100"/>
      <c r="I212" s="100"/>
    </row>
    <row r="213" spans="1:9" ht="15.75" customHeight="1" x14ac:dyDescent="0.25">
      <c r="A213" s="100"/>
      <c r="B213" s="100"/>
      <c r="C213" s="100"/>
      <c r="D213" s="101"/>
      <c r="E213" s="100"/>
      <c r="F213" s="100"/>
      <c r="G213" s="100"/>
      <c r="H213" s="100"/>
      <c r="I213" s="100"/>
    </row>
    <row r="214" spans="1:9" ht="15.75" customHeight="1" x14ac:dyDescent="0.25">
      <c r="A214" s="100"/>
      <c r="B214" s="100"/>
      <c r="C214" s="100"/>
      <c r="D214" s="101"/>
      <c r="E214" s="100"/>
      <c r="F214" s="100"/>
      <c r="G214" s="100"/>
      <c r="H214" s="100"/>
      <c r="I214" s="100"/>
    </row>
    <row r="215" spans="1:9" ht="15.75" customHeight="1" x14ac:dyDescent="0.25">
      <c r="A215" s="100"/>
      <c r="B215" s="100"/>
      <c r="C215" s="100"/>
      <c r="D215" s="101"/>
      <c r="E215" s="100"/>
      <c r="F215" s="100"/>
      <c r="G215" s="100"/>
      <c r="H215" s="100"/>
      <c r="I215" s="100"/>
    </row>
    <row r="216" spans="1:9" ht="15.75" customHeight="1" x14ac:dyDescent="0.25">
      <c r="A216" s="100"/>
      <c r="B216" s="100"/>
      <c r="C216" s="100"/>
      <c r="D216" s="101"/>
      <c r="E216" s="100"/>
      <c r="F216" s="100"/>
      <c r="G216" s="100"/>
      <c r="H216" s="100"/>
      <c r="I216" s="100"/>
    </row>
    <row r="217" spans="1:9" ht="15.75" customHeight="1" x14ac:dyDescent="0.25">
      <c r="A217" s="100"/>
      <c r="B217" s="100"/>
      <c r="C217" s="100"/>
      <c r="D217" s="101"/>
      <c r="E217" s="100"/>
      <c r="F217" s="100"/>
      <c r="G217" s="100"/>
      <c r="H217" s="100"/>
      <c r="I217" s="100"/>
    </row>
    <row r="218" spans="1:9" ht="15.75" customHeight="1" x14ac:dyDescent="0.25">
      <c r="A218" s="100"/>
      <c r="B218" s="100"/>
      <c r="C218" s="100"/>
      <c r="D218" s="101"/>
      <c r="E218" s="100"/>
      <c r="F218" s="100"/>
      <c r="G218" s="100"/>
      <c r="H218" s="100"/>
      <c r="I218" s="100"/>
    </row>
    <row r="219" spans="1:9" ht="15.75" customHeight="1" x14ac:dyDescent="0.25">
      <c r="A219" s="100"/>
      <c r="B219" s="100"/>
      <c r="C219" s="100"/>
      <c r="D219" s="101"/>
      <c r="E219" s="100"/>
      <c r="F219" s="100"/>
      <c r="G219" s="100"/>
      <c r="H219" s="100"/>
      <c r="I219" s="100"/>
    </row>
    <row r="220" spans="1:9" ht="15.75" customHeight="1" x14ac:dyDescent="0.25">
      <c r="A220" s="100"/>
      <c r="B220" s="100"/>
      <c r="C220" s="100"/>
      <c r="D220" s="101"/>
      <c r="E220" s="100"/>
      <c r="F220" s="100"/>
      <c r="G220" s="100"/>
      <c r="H220" s="100"/>
      <c r="I220" s="100"/>
    </row>
    <row r="221" spans="1:9" ht="15.75" customHeight="1" x14ac:dyDescent="0.25">
      <c r="A221" s="100"/>
      <c r="B221" s="100"/>
      <c r="C221" s="100"/>
      <c r="D221" s="101"/>
      <c r="E221" s="100"/>
      <c r="F221" s="100"/>
      <c r="G221" s="100"/>
      <c r="H221" s="100"/>
      <c r="I221" s="100"/>
    </row>
    <row r="222" spans="1:9" ht="15.75" customHeight="1" x14ac:dyDescent="0.25">
      <c r="A222" s="100"/>
      <c r="B222" s="100"/>
      <c r="C222" s="100"/>
      <c r="D222" s="101"/>
      <c r="E222" s="100"/>
      <c r="F222" s="100"/>
      <c r="G222" s="100"/>
      <c r="H222" s="100"/>
      <c r="I222" s="100"/>
    </row>
    <row r="223" spans="1:9" ht="15.75" customHeight="1" x14ac:dyDescent="0.25">
      <c r="A223" s="100"/>
      <c r="B223" s="100"/>
      <c r="C223" s="100"/>
      <c r="D223" s="101"/>
      <c r="E223" s="100"/>
      <c r="F223" s="100"/>
      <c r="G223" s="100"/>
      <c r="H223" s="100"/>
      <c r="I223" s="100"/>
    </row>
    <row r="224" spans="1:9" ht="15.75" customHeight="1" x14ac:dyDescent="0.25">
      <c r="A224" s="100"/>
      <c r="B224" s="100"/>
      <c r="C224" s="100"/>
      <c r="D224" s="101"/>
      <c r="E224" s="100"/>
      <c r="F224" s="100"/>
      <c r="G224" s="100"/>
      <c r="H224" s="100"/>
      <c r="I224" s="100"/>
    </row>
    <row r="225" spans="1:9" ht="15.75" customHeight="1" x14ac:dyDescent="0.25">
      <c r="A225" s="100"/>
      <c r="B225" s="100"/>
      <c r="C225" s="100"/>
      <c r="D225" s="101"/>
      <c r="E225" s="100"/>
      <c r="F225" s="100"/>
      <c r="G225" s="100"/>
      <c r="H225" s="100"/>
      <c r="I225" s="100"/>
    </row>
    <row r="226" spans="1:9" ht="15.75" customHeight="1" x14ac:dyDescent="0.25">
      <c r="A226" s="100"/>
      <c r="B226" s="100"/>
      <c r="C226" s="100"/>
      <c r="D226" s="101"/>
      <c r="E226" s="100"/>
      <c r="F226" s="100"/>
      <c r="G226" s="100"/>
      <c r="H226" s="100"/>
      <c r="I226" s="100"/>
    </row>
    <row r="227" spans="1:9" ht="15.75" customHeight="1" x14ac:dyDescent="0.25">
      <c r="A227" s="100"/>
      <c r="B227" s="100"/>
      <c r="C227" s="100"/>
      <c r="D227" s="101"/>
      <c r="E227" s="100"/>
      <c r="F227" s="100"/>
      <c r="G227" s="100"/>
      <c r="H227" s="100"/>
      <c r="I227" s="100"/>
    </row>
    <row r="228" spans="1:9" ht="15.75" customHeight="1" x14ac:dyDescent="0.25">
      <c r="A228" s="100"/>
      <c r="B228" s="100"/>
      <c r="C228" s="100"/>
      <c r="D228" s="101"/>
      <c r="E228" s="100"/>
      <c r="F228" s="100"/>
      <c r="G228" s="100"/>
      <c r="H228" s="100"/>
      <c r="I228" s="100"/>
    </row>
    <row r="229" spans="1:9" ht="15.75" customHeight="1" x14ac:dyDescent="0.25">
      <c r="A229" s="100"/>
      <c r="B229" s="100"/>
      <c r="C229" s="100"/>
      <c r="D229" s="101"/>
      <c r="E229" s="100"/>
      <c r="F229" s="100"/>
      <c r="G229" s="100"/>
      <c r="H229" s="100"/>
      <c r="I229" s="100"/>
    </row>
    <row r="230" spans="1:9" ht="15.75" customHeight="1" x14ac:dyDescent="0.25">
      <c r="A230" s="100"/>
      <c r="B230" s="100"/>
      <c r="C230" s="100"/>
      <c r="D230" s="101"/>
      <c r="E230" s="100"/>
      <c r="F230" s="100"/>
      <c r="G230" s="100"/>
      <c r="H230" s="100"/>
      <c r="I230" s="100"/>
    </row>
    <row r="231" spans="1:9" ht="15.75" customHeight="1" x14ac:dyDescent="0.25">
      <c r="A231" s="100"/>
      <c r="B231" s="100"/>
      <c r="C231" s="100"/>
      <c r="D231" s="101"/>
      <c r="E231" s="100"/>
      <c r="F231" s="100"/>
      <c r="G231" s="100"/>
      <c r="H231" s="100"/>
      <c r="I231" s="100"/>
    </row>
    <row r="232" spans="1:9" ht="15.75" customHeight="1" x14ac:dyDescent="0.25">
      <c r="A232" s="100"/>
      <c r="B232" s="100"/>
      <c r="C232" s="100"/>
      <c r="D232" s="101"/>
      <c r="E232" s="100"/>
      <c r="F232" s="100"/>
      <c r="G232" s="100"/>
      <c r="H232" s="100"/>
      <c r="I232" s="100"/>
    </row>
    <row r="233" spans="1:9" ht="15.75" customHeight="1" x14ac:dyDescent="0.25">
      <c r="A233" s="100"/>
      <c r="B233" s="100"/>
      <c r="C233" s="100"/>
      <c r="D233" s="101"/>
      <c r="E233" s="100"/>
      <c r="F233" s="100"/>
      <c r="G233" s="100"/>
      <c r="H233" s="100"/>
      <c r="I233" s="100"/>
    </row>
    <row r="234" spans="1:9" ht="15.75" customHeight="1" x14ac:dyDescent="0.25">
      <c r="A234" s="100"/>
      <c r="B234" s="100"/>
      <c r="C234" s="100"/>
      <c r="D234" s="101"/>
      <c r="E234" s="100"/>
      <c r="F234" s="100"/>
      <c r="G234" s="100"/>
      <c r="H234" s="100"/>
      <c r="I234" s="100"/>
    </row>
    <row r="235" spans="1:9" ht="15.75" customHeight="1" x14ac:dyDescent="0.25">
      <c r="A235" s="100"/>
      <c r="B235" s="100"/>
      <c r="C235" s="100"/>
      <c r="D235" s="101"/>
      <c r="E235" s="100"/>
      <c r="F235" s="100"/>
      <c r="G235" s="100"/>
      <c r="H235" s="100"/>
      <c r="I235" s="100"/>
    </row>
    <row r="236" spans="1:9" ht="15.75" customHeight="1" x14ac:dyDescent="0.25">
      <c r="A236" s="100"/>
      <c r="B236" s="100"/>
      <c r="C236" s="100"/>
      <c r="D236" s="101"/>
      <c r="E236" s="100"/>
      <c r="F236" s="100"/>
      <c r="G236" s="100"/>
      <c r="H236" s="100"/>
      <c r="I236" s="100"/>
    </row>
    <row r="237" spans="1:9" ht="15.75" customHeight="1" x14ac:dyDescent="0.25">
      <c r="A237" s="100"/>
      <c r="B237" s="100"/>
      <c r="C237" s="100"/>
      <c r="D237" s="101"/>
      <c r="E237" s="100"/>
      <c r="F237" s="100"/>
      <c r="G237" s="100"/>
      <c r="H237" s="100"/>
      <c r="I237" s="100"/>
    </row>
    <row r="238" spans="1:9" ht="15.75" customHeight="1" x14ac:dyDescent="0.25">
      <c r="A238" s="100"/>
      <c r="B238" s="100"/>
      <c r="C238" s="100"/>
      <c r="D238" s="101"/>
      <c r="E238" s="100"/>
      <c r="F238" s="100"/>
      <c r="G238" s="100"/>
      <c r="H238" s="100"/>
      <c r="I238" s="100"/>
    </row>
    <row r="239" spans="1:9" ht="15.75" customHeight="1" x14ac:dyDescent="0.25">
      <c r="A239" s="100"/>
      <c r="B239" s="100"/>
      <c r="C239" s="100"/>
      <c r="D239" s="101"/>
      <c r="E239" s="100"/>
      <c r="F239" s="100"/>
      <c r="G239" s="100"/>
      <c r="H239" s="100"/>
      <c r="I239" s="100"/>
    </row>
    <row r="240" spans="1:9" ht="15.75" customHeight="1" x14ac:dyDescent="0.25">
      <c r="A240" s="100"/>
      <c r="B240" s="100"/>
      <c r="C240" s="100"/>
      <c r="D240" s="101"/>
      <c r="E240" s="100"/>
      <c r="F240" s="100"/>
      <c r="G240" s="100"/>
      <c r="H240" s="100"/>
      <c r="I240" s="100"/>
    </row>
    <row r="241" spans="1:9" ht="15.75" customHeight="1" x14ac:dyDescent="0.25">
      <c r="A241" s="100"/>
      <c r="B241" s="100"/>
      <c r="C241" s="100"/>
      <c r="D241" s="101"/>
      <c r="E241" s="100"/>
      <c r="F241" s="100"/>
      <c r="G241" s="100"/>
      <c r="H241" s="100"/>
      <c r="I241" s="100"/>
    </row>
    <row r="242" spans="1:9" ht="15.75" customHeight="1" x14ac:dyDescent="0.25">
      <c r="A242" s="100"/>
      <c r="B242" s="100"/>
      <c r="C242" s="100"/>
      <c r="D242" s="101"/>
      <c r="E242" s="100"/>
      <c r="F242" s="100"/>
      <c r="G242" s="100"/>
      <c r="H242" s="100"/>
      <c r="I242" s="100"/>
    </row>
    <row r="247" spans="1:9" ht="15.75" customHeight="1" x14ac:dyDescent="0.25">
      <c r="A247" s="99"/>
      <c r="B247" s="99" t="s">
        <v>63</v>
      </c>
      <c r="C247" s="99" t="s">
        <v>64</v>
      </c>
      <c r="D247" s="99" t="s">
        <v>65</v>
      </c>
      <c r="E247" s="99" t="s">
        <v>19</v>
      </c>
      <c r="F247" s="99" t="s">
        <v>68</v>
      </c>
      <c r="G247" s="99" t="s">
        <v>178</v>
      </c>
      <c r="H247" s="99" t="s">
        <v>83</v>
      </c>
    </row>
    <row r="248" spans="1:9" ht="15.75" customHeight="1" x14ac:dyDescent="0.25">
      <c r="A248" s="93">
        <v>1</v>
      </c>
      <c r="B248" s="93">
        <v>1</v>
      </c>
      <c r="C248" s="94" t="s">
        <v>69</v>
      </c>
      <c r="D248" s="95">
        <v>40179</v>
      </c>
      <c r="E248" s="93">
        <v>349.17</v>
      </c>
      <c r="F248" s="93">
        <v>1.4886123662296944</v>
      </c>
      <c r="G248" s="93">
        <f>+E248/F248</f>
        <v>234.56072777654376</v>
      </c>
      <c r="H248" s="93">
        <f>3.3586*A248+294.52</f>
        <v>297.87860000000001</v>
      </c>
    </row>
    <row r="249" spans="1:9" ht="15.75" customHeight="1" x14ac:dyDescent="0.25">
      <c r="A249" s="93">
        <v>2</v>
      </c>
      <c r="B249" s="93">
        <v>2</v>
      </c>
      <c r="C249" s="94" t="s">
        <v>70</v>
      </c>
      <c r="D249" s="95">
        <v>40210</v>
      </c>
      <c r="E249" s="96">
        <v>339.07</v>
      </c>
      <c r="F249" s="93">
        <v>1.1409575824983376</v>
      </c>
      <c r="G249" s="93">
        <f t="shared" ref="G249:G283" si="15">+E249/F249</f>
        <v>297.1801977576971</v>
      </c>
      <c r="H249" s="93">
        <f t="shared" ref="H249:H295" si="16">3.3586*A249+294.52</f>
        <v>301.23719999999997</v>
      </c>
    </row>
    <row r="250" spans="1:9" ht="15.75" customHeight="1" x14ac:dyDescent="0.25">
      <c r="A250" s="93">
        <v>3</v>
      </c>
      <c r="B250" s="93">
        <v>3</v>
      </c>
      <c r="C250" s="94" t="s">
        <v>71</v>
      </c>
      <c r="D250" s="95">
        <v>40238</v>
      </c>
      <c r="E250" s="93">
        <v>334.74</v>
      </c>
      <c r="F250" s="93">
        <v>1.0265565470533771</v>
      </c>
      <c r="G250" s="93">
        <f t="shared" si="15"/>
        <v>326.08042972482724</v>
      </c>
      <c r="H250" s="93">
        <f t="shared" si="16"/>
        <v>304.5958</v>
      </c>
    </row>
    <row r="251" spans="1:9" ht="15.75" customHeight="1" x14ac:dyDescent="0.25">
      <c r="A251" s="93">
        <v>4</v>
      </c>
      <c r="B251" s="93">
        <v>4</v>
      </c>
      <c r="C251" s="94" t="s">
        <v>72</v>
      </c>
      <c r="D251" s="95">
        <v>40269</v>
      </c>
      <c r="E251" s="93">
        <v>256.82</v>
      </c>
      <c r="F251" s="93">
        <v>1.0610752040331035</v>
      </c>
      <c r="G251" s="93">
        <f t="shared" si="15"/>
        <v>242.03750971075158</v>
      </c>
      <c r="H251" s="93">
        <f t="shared" si="16"/>
        <v>307.95439999999996</v>
      </c>
    </row>
    <row r="252" spans="1:9" ht="15.75" customHeight="1" x14ac:dyDescent="0.25">
      <c r="A252" s="93">
        <v>5</v>
      </c>
      <c r="B252" s="93">
        <v>5</v>
      </c>
      <c r="C252" s="94" t="s">
        <v>73</v>
      </c>
      <c r="D252" s="95">
        <v>40299</v>
      </c>
      <c r="E252" s="93">
        <v>265.48</v>
      </c>
      <c r="F252" s="93">
        <v>0.82053407130501821</v>
      </c>
      <c r="G252" s="93">
        <f t="shared" si="15"/>
        <v>323.54537036806698</v>
      </c>
      <c r="H252" s="93">
        <f t="shared" si="16"/>
        <v>311.31299999999999</v>
      </c>
    </row>
    <row r="253" spans="1:9" ht="15.75" customHeight="1" x14ac:dyDescent="0.25">
      <c r="A253" s="93">
        <v>6</v>
      </c>
      <c r="B253" s="93">
        <v>6</v>
      </c>
      <c r="C253" s="94" t="s">
        <v>74</v>
      </c>
      <c r="D253" s="95">
        <v>40330</v>
      </c>
      <c r="E253" s="93">
        <v>202</v>
      </c>
      <c r="F253" s="93">
        <v>0.81776368194816118</v>
      </c>
      <c r="G253" s="93">
        <f t="shared" si="15"/>
        <v>247.0151273027615</v>
      </c>
      <c r="H253" s="93">
        <f t="shared" si="16"/>
        <v>314.67160000000001</v>
      </c>
    </row>
    <row r="254" spans="1:9" ht="15.75" customHeight="1" x14ac:dyDescent="0.25">
      <c r="A254" s="93">
        <v>7</v>
      </c>
      <c r="B254" s="93">
        <v>7</v>
      </c>
      <c r="C254" s="94" t="s">
        <v>75</v>
      </c>
      <c r="D254" s="95">
        <v>40360</v>
      </c>
      <c r="E254" s="93">
        <v>339.37</v>
      </c>
      <c r="F254" s="93">
        <v>0.62668302231619444</v>
      </c>
      <c r="G254" s="93">
        <f t="shared" si="15"/>
        <v>541.53373861270813</v>
      </c>
      <c r="H254" s="93">
        <f t="shared" si="16"/>
        <v>318.03019999999998</v>
      </c>
    </row>
    <row r="255" spans="1:9" ht="15.75" customHeight="1" x14ac:dyDescent="0.25">
      <c r="A255" s="93">
        <v>8</v>
      </c>
      <c r="B255" s="93">
        <v>8</v>
      </c>
      <c r="C255" s="94" t="s">
        <v>76</v>
      </c>
      <c r="D255" s="95">
        <v>40391</v>
      </c>
      <c r="E255" s="93">
        <v>355.76</v>
      </c>
      <c r="F255" s="93">
        <v>1.0562930481534434</v>
      </c>
      <c r="G255" s="93">
        <f t="shared" si="15"/>
        <v>336.80047466176279</v>
      </c>
      <c r="H255" s="93">
        <f t="shared" si="16"/>
        <v>321.3888</v>
      </c>
    </row>
    <row r="256" spans="1:9" ht="15.75" customHeight="1" x14ac:dyDescent="0.25">
      <c r="A256" s="93">
        <v>9</v>
      </c>
      <c r="B256" s="93">
        <v>9</v>
      </c>
      <c r="C256" s="93" t="s">
        <v>77</v>
      </c>
      <c r="D256" s="95">
        <v>40422</v>
      </c>
      <c r="E256" s="93">
        <v>257.45</v>
      </c>
      <c r="F256" s="93">
        <v>1.0900660369697981</v>
      </c>
      <c r="G256" s="93">
        <f t="shared" si="15"/>
        <v>236.17835183239731</v>
      </c>
      <c r="H256" s="93">
        <f t="shared" si="16"/>
        <v>324.74739999999997</v>
      </c>
    </row>
    <row r="257" spans="1:8" ht="15.75" customHeight="1" x14ac:dyDescent="0.25">
      <c r="A257" s="93">
        <v>10</v>
      </c>
      <c r="B257" s="93">
        <v>10</v>
      </c>
      <c r="C257" s="93" t="s">
        <v>78</v>
      </c>
      <c r="D257" s="95">
        <v>40452</v>
      </c>
      <c r="E257" s="93">
        <v>304.26</v>
      </c>
      <c r="F257" s="93">
        <v>0.80297501372282132</v>
      </c>
      <c r="G257" s="93">
        <f t="shared" si="15"/>
        <v>378.91589999714165</v>
      </c>
      <c r="H257" s="93">
        <f t="shared" si="16"/>
        <v>328.10599999999999</v>
      </c>
    </row>
    <row r="258" spans="1:8" ht="15.75" customHeight="1" x14ac:dyDescent="0.25">
      <c r="A258" s="93">
        <v>11</v>
      </c>
      <c r="B258" s="93">
        <v>11</v>
      </c>
      <c r="C258" s="93" t="s">
        <v>79</v>
      </c>
      <c r="D258" s="95">
        <v>40483</v>
      </c>
      <c r="E258" s="93">
        <v>355.76</v>
      </c>
      <c r="F258" s="93">
        <v>0.89734670856758103</v>
      </c>
      <c r="G258" s="93">
        <f t="shared" si="15"/>
        <v>396.45768642523188</v>
      </c>
      <c r="H258" s="93">
        <f t="shared" si="16"/>
        <v>331.46459999999996</v>
      </c>
    </row>
    <row r="259" spans="1:8" ht="15.75" customHeight="1" x14ac:dyDescent="0.25">
      <c r="A259" s="93">
        <v>12</v>
      </c>
      <c r="B259" s="93">
        <v>12</v>
      </c>
      <c r="C259" s="93" t="s">
        <v>80</v>
      </c>
      <c r="D259" s="95">
        <v>40513</v>
      </c>
      <c r="E259" s="93">
        <v>482.14</v>
      </c>
      <c r="F259" s="93">
        <v>1.0946809336353855</v>
      </c>
      <c r="G259" s="93">
        <f t="shared" si="15"/>
        <v>440.43883946972107</v>
      </c>
      <c r="H259" s="93">
        <f t="shared" si="16"/>
        <v>334.82319999999999</v>
      </c>
    </row>
    <row r="260" spans="1:8" ht="15.75" customHeight="1" x14ac:dyDescent="0.25">
      <c r="A260" s="93">
        <v>13</v>
      </c>
      <c r="B260" s="93">
        <v>1</v>
      </c>
      <c r="C260" s="94" t="s">
        <v>69</v>
      </c>
      <c r="D260" s="95">
        <v>40544</v>
      </c>
      <c r="E260" s="93">
        <v>379.46</v>
      </c>
      <c r="F260" s="93">
        <v>1.4886123662296944</v>
      </c>
      <c r="G260" s="93">
        <f t="shared" si="15"/>
        <v>254.90853670729814</v>
      </c>
      <c r="H260" s="93">
        <f t="shared" si="16"/>
        <v>338.18179999999995</v>
      </c>
    </row>
    <row r="261" spans="1:8" ht="15.75" customHeight="1" x14ac:dyDescent="0.25">
      <c r="A261" s="93">
        <v>14</v>
      </c>
      <c r="B261" s="93">
        <v>2</v>
      </c>
      <c r="C261" s="94" t="s">
        <v>70</v>
      </c>
      <c r="D261" s="95">
        <v>40575</v>
      </c>
      <c r="E261" s="93">
        <v>343.39</v>
      </c>
      <c r="F261" s="93">
        <v>1.1409575824983376</v>
      </c>
      <c r="G261" s="93">
        <f t="shared" si="15"/>
        <v>300.96649101370105</v>
      </c>
      <c r="H261" s="93">
        <f t="shared" si="16"/>
        <v>341.54039999999998</v>
      </c>
    </row>
    <row r="262" spans="1:8" ht="15.75" customHeight="1" x14ac:dyDescent="0.25">
      <c r="A262" s="93">
        <v>15</v>
      </c>
      <c r="B262" s="93">
        <v>3</v>
      </c>
      <c r="C262" s="94" t="s">
        <v>71</v>
      </c>
      <c r="D262" s="95">
        <v>40603</v>
      </c>
      <c r="E262" s="93">
        <v>356.38</v>
      </c>
      <c r="F262" s="93">
        <v>1.0265565470533771</v>
      </c>
      <c r="G262" s="93">
        <f t="shared" si="15"/>
        <v>347.1606128497757</v>
      </c>
      <c r="H262" s="93">
        <f t="shared" si="16"/>
        <v>344.899</v>
      </c>
    </row>
    <row r="263" spans="1:8" ht="15.75" customHeight="1" x14ac:dyDescent="0.25">
      <c r="A263" s="93">
        <v>16</v>
      </c>
      <c r="B263" s="93">
        <v>4</v>
      </c>
      <c r="C263" s="94" t="s">
        <v>72</v>
      </c>
      <c r="D263" s="95">
        <v>40634</v>
      </c>
      <c r="E263" s="93">
        <v>278.47000000000003</v>
      </c>
      <c r="F263" s="93">
        <v>1.0610752040331035</v>
      </c>
      <c r="G263" s="93">
        <f t="shared" si="15"/>
        <v>262.4413415199478</v>
      </c>
      <c r="H263" s="93">
        <f t="shared" si="16"/>
        <v>348.25759999999997</v>
      </c>
    </row>
    <row r="264" spans="1:8" ht="15.75" customHeight="1" x14ac:dyDescent="0.25">
      <c r="A264" s="93">
        <v>17</v>
      </c>
      <c r="B264" s="93">
        <v>5</v>
      </c>
      <c r="C264" s="94" t="s">
        <v>73</v>
      </c>
      <c r="D264" s="95">
        <v>40664</v>
      </c>
      <c r="E264" s="93">
        <v>278.47000000000003</v>
      </c>
      <c r="F264" s="93">
        <v>0.82053407130501821</v>
      </c>
      <c r="G264" s="93">
        <f t="shared" si="15"/>
        <v>339.37652285066906</v>
      </c>
      <c r="H264" s="93">
        <f t="shared" si="16"/>
        <v>351.61619999999999</v>
      </c>
    </row>
    <row r="265" spans="1:8" ht="15.75" customHeight="1" x14ac:dyDescent="0.25">
      <c r="A265" s="93">
        <v>18</v>
      </c>
      <c r="B265" s="93">
        <v>6</v>
      </c>
      <c r="C265" s="94" t="s">
        <v>74</v>
      </c>
      <c r="D265" s="95">
        <v>40695</v>
      </c>
      <c r="E265" s="93">
        <v>214.98</v>
      </c>
      <c r="F265" s="93">
        <v>0.81776368194816118</v>
      </c>
      <c r="G265" s="93">
        <f t="shared" si="15"/>
        <v>262.88768350271118</v>
      </c>
      <c r="H265" s="93">
        <f t="shared" si="16"/>
        <v>354.97479999999996</v>
      </c>
    </row>
    <row r="266" spans="1:8" ht="15.75" customHeight="1" x14ac:dyDescent="0.25">
      <c r="A266" s="93">
        <v>19</v>
      </c>
      <c r="B266" s="93">
        <v>7</v>
      </c>
      <c r="C266" s="94" t="s">
        <v>75</v>
      </c>
      <c r="D266" s="95">
        <v>40725</v>
      </c>
      <c r="E266" s="93">
        <v>367.46</v>
      </c>
      <c r="F266" s="93">
        <v>0.62668302231619444</v>
      </c>
      <c r="G266" s="93">
        <f t="shared" si="15"/>
        <v>586.35703683479903</v>
      </c>
      <c r="H266" s="93">
        <f t="shared" si="16"/>
        <v>358.33339999999998</v>
      </c>
    </row>
    <row r="267" spans="1:8" ht="15.75" customHeight="1" x14ac:dyDescent="0.25">
      <c r="A267" s="93">
        <v>20</v>
      </c>
      <c r="B267" s="93">
        <v>8</v>
      </c>
      <c r="C267" s="94" t="s">
        <v>76</v>
      </c>
      <c r="D267" s="95">
        <v>40756</v>
      </c>
      <c r="E267" s="93">
        <v>376.82</v>
      </c>
      <c r="F267" s="93">
        <v>1.0562930481534434</v>
      </c>
      <c r="G267" s="93">
        <f t="shared" si="15"/>
        <v>356.73812362841653</v>
      </c>
      <c r="H267" s="93">
        <f t="shared" si="16"/>
        <v>361.69200000000001</v>
      </c>
    </row>
    <row r="268" spans="1:8" ht="15.75" customHeight="1" x14ac:dyDescent="0.25">
      <c r="A268" s="93">
        <v>21</v>
      </c>
      <c r="B268" s="93">
        <v>9</v>
      </c>
      <c r="C268" s="93" t="s">
        <v>77</v>
      </c>
      <c r="D268" s="95">
        <v>40787</v>
      </c>
      <c r="E268" s="93">
        <v>285.54000000000002</v>
      </c>
      <c r="F268" s="93">
        <v>1.0900660369697981</v>
      </c>
      <c r="G268" s="93">
        <f t="shared" si="15"/>
        <v>261.94743283054083</v>
      </c>
      <c r="H268" s="93">
        <f t="shared" si="16"/>
        <v>365.05059999999997</v>
      </c>
    </row>
    <row r="269" spans="1:8" ht="15.75" customHeight="1" x14ac:dyDescent="0.25">
      <c r="A269" s="93">
        <v>22</v>
      </c>
      <c r="B269" s="93">
        <v>10</v>
      </c>
      <c r="C269" s="93" t="s">
        <v>78</v>
      </c>
      <c r="D269" s="95">
        <v>40817</v>
      </c>
      <c r="E269" s="93">
        <v>304.26</v>
      </c>
      <c r="F269" s="93">
        <v>0.80297501372282132</v>
      </c>
      <c r="G269" s="93">
        <f t="shared" si="15"/>
        <v>378.91589999714165</v>
      </c>
      <c r="H269" s="93">
        <f t="shared" si="16"/>
        <v>368.4092</v>
      </c>
    </row>
    <row r="270" spans="1:8" ht="15.75" customHeight="1" x14ac:dyDescent="0.25">
      <c r="A270" s="93">
        <v>23</v>
      </c>
      <c r="B270" s="93">
        <v>11</v>
      </c>
      <c r="C270" s="93" t="s">
        <v>79</v>
      </c>
      <c r="D270" s="95">
        <v>40848</v>
      </c>
      <c r="E270" s="93">
        <v>390.86</v>
      </c>
      <c r="F270" s="93">
        <v>0.89734670856758103</v>
      </c>
      <c r="G270" s="93">
        <f t="shared" si="15"/>
        <v>435.57300235036581</v>
      </c>
      <c r="H270" s="93">
        <f t="shared" si="16"/>
        <v>371.76779999999997</v>
      </c>
    </row>
    <row r="271" spans="1:8" ht="15.75" customHeight="1" x14ac:dyDescent="0.25">
      <c r="A271" s="93">
        <v>24</v>
      </c>
      <c r="B271" s="93">
        <v>12</v>
      </c>
      <c r="C271" s="93" t="s">
        <v>80</v>
      </c>
      <c r="D271" s="95">
        <v>40878</v>
      </c>
      <c r="E271" s="93">
        <v>538.30999999999995</v>
      </c>
      <c r="F271" s="93">
        <v>1.0946809336353855</v>
      </c>
      <c r="G271" s="93">
        <f t="shared" si="15"/>
        <v>491.75059458859573</v>
      </c>
      <c r="H271" s="93">
        <f t="shared" si="16"/>
        <v>375.12639999999999</v>
      </c>
    </row>
    <row r="272" spans="1:8" ht="15.75" customHeight="1" x14ac:dyDescent="0.25">
      <c r="A272" s="93">
        <v>25</v>
      </c>
      <c r="B272" s="93">
        <v>1</v>
      </c>
      <c r="C272" s="94" t="s">
        <v>69</v>
      </c>
      <c r="D272" s="95">
        <v>40909</v>
      </c>
      <c r="E272" s="93">
        <v>406.88</v>
      </c>
      <c r="F272" s="93">
        <v>1.4886123662296944</v>
      </c>
      <c r="G272" s="93">
        <f t="shared" si="15"/>
        <v>273.32837562711609</v>
      </c>
      <c r="H272" s="93">
        <f t="shared" si="16"/>
        <v>378.48500000000001</v>
      </c>
    </row>
    <row r="273" spans="1:8" ht="15.75" customHeight="1" x14ac:dyDescent="0.25">
      <c r="A273" s="93">
        <v>26</v>
      </c>
      <c r="B273" s="93">
        <v>2</v>
      </c>
      <c r="C273" s="94" t="s">
        <v>70</v>
      </c>
      <c r="D273" s="95">
        <v>40940</v>
      </c>
      <c r="E273" s="93">
        <v>367.92</v>
      </c>
      <c r="F273" s="93">
        <v>1.1409575824983376</v>
      </c>
      <c r="G273" s="93">
        <f t="shared" si="15"/>
        <v>322.46597563633446</v>
      </c>
      <c r="H273" s="93">
        <f t="shared" si="16"/>
        <v>381.84359999999998</v>
      </c>
    </row>
    <row r="274" spans="1:8" ht="15.75" customHeight="1" x14ac:dyDescent="0.25">
      <c r="A274" s="93">
        <v>27</v>
      </c>
      <c r="B274" s="93">
        <v>3</v>
      </c>
      <c r="C274" s="94" t="s">
        <v>71</v>
      </c>
      <c r="D274" s="95">
        <v>40969</v>
      </c>
      <c r="E274" s="93">
        <v>382.35</v>
      </c>
      <c r="F274" s="93">
        <v>1.0265565470533771</v>
      </c>
      <c r="G274" s="93">
        <f t="shared" si="15"/>
        <v>372.45878086063124</v>
      </c>
      <c r="H274" s="93">
        <f t="shared" si="16"/>
        <v>385.20219999999995</v>
      </c>
    </row>
    <row r="275" spans="1:8" ht="15.75" customHeight="1" x14ac:dyDescent="0.25">
      <c r="A275" s="93">
        <v>28</v>
      </c>
      <c r="B275" s="93">
        <v>4</v>
      </c>
      <c r="C275" s="94" t="s">
        <v>72</v>
      </c>
      <c r="D275" s="95">
        <v>41000</v>
      </c>
      <c r="E275" s="93">
        <v>295.77999999999997</v>
      </c>
      <c r="F275" s="93">
        <v>1.0610752040331035</v>
      </c>
      <c r="G275" s="93">
        <f t="shared" si="15"/>
        <v>278.75498256462151</v>
      </c>
      <c r="H275" s="93">
        <f t="shared" si="16"/>
        <v>388.56079999999997</v>
      </c>
    </row>
    <row r="276" spans="1:8" ht="15.75" customHeight="1" x14ac:dyDescent="0.25">
      <c r="A276" s="93">
        <v>29</v>
      </c>
      <c r="B276" s="93">
        <v>5</v>
      </c>
      <c r="C276" s="94" t="s">
        <v>73</v>
      </c>
      <c r="D276" s="95">
        <v>41030</v>
      </c>
      <c r="E276" s="93">
        <v>302.99</v>
      </c>
      <c r="F276" s="93">
        <v>0.82053407130501821</v>
      </c>
      <c r="G276" s="93">
        <f t="shared" si="15"/>
        <v>369.25949889942979</v>
      </c>
      <c r="H276" s="93">
        <f t="shared" si="16"/>
        <v>391.9194</v>
      </c>
    </row>
    <row r="277" spans="1:8" ht="15.75" customHeight="1" x14ac:dyDescent="0.25">
      <c r="A277" s="93">
        <v>30</v>
      </c>
      <c r="B277" s="93">
        <v>6</v>
      </c>
      <c r="C277" s="94" t="s">
        <v>74</v>
      </c>
      <c r="D277" s="95">
        <v>41061</v>
      </c>
      <c r="E277" s="93">
        <v>230.85</v>
      </c>
      <c r="F277" s="93">
        <v>0.81776368194816118</v>
      </c>
      <c r="G277" s="93">
        <f t="shared" si="15"/>
        <v>282.29426800912125</v>
      </c>
      <c r="H277" s="93">
        <f t="shared" si="16"/>
        <v>395.27799999999996</v>
      </c>
    </row>
    <row r="278" spans="1:8" ht="15.75" customHeight="1" x14ac:dyDescent="0.25">
      <c r="A278" s="93">
        <v>31</v>
      </c>
      <c r="B278" s="93">
        <v>7</v>
      </c>
      <c r="C278" s="94" t="s">
        <v>75</v>
      </c>
      <c r="D278" s="95">
        <v>41091</v>
      </c>
      <c r="E278" s="93">
        <v>388.52</v>
      </c>
      <c r="F278" s="93">
        <v>0.62668302231619444</v>
      </c>
      <c r="G278" s="93">
        <f t="shared" si="15"/>
        <v>619.9625427286129</v>
      </c>
      <c r="H278" s="93">
        <f t="shared" si="16"/>
        <v>398.63659999999999</v>
      </c>
    </row>
    <row r="279" spans="1:8" ht="15.75" customHeight="1" x14ac:dyDescent="0.25">
      <c r="A279" s="93">
        <v>32</v>
      </c>
      <c r="B279" s="93">
        <v>8</v>
      </c>
      <c r="C279" s="94" t="s">
        <v>76</v>
      </c>
      <c r="D279" s="95">
        <v>41122</v>
      </c>
      <c r="E279" s="93">
        <v>407.25</v>
      </c>
      <c r="F279" s="93">
        <v>1.0562930481534434</v>
      </c>
      <c r="G279" s="93">
        <f t="shared" si="15"/>
        <v>385.54641698336769</v>
      </c>
      <c r="H279" s="93">
        <f t="shared" si="16"/>
        <v>401.99519999999995</v>
      </c>
    </row>
    <row r="280" spans="1:8" ht="15.75" customHeight="1" x14ac:dyDescent="0.25">
      <c r="A280" s="93">
        <v>33</v>
      </c>
      <c r="B280" s="93">
        <v>9</v>
      </c>
      <c r="C280" s="93" t="s">
        <v>77</v>
      </c>
      <c r="D280" s="95">
        <v>41153</v>
      </c>
      <c r="E280" s="93">
        <v>294.89999999999998</v>
      </c>
      <c r="F280" s="93">
        <v>1.0900660369697981</v>
      </c>
      <c r="G280" s="93">
        <f t="shared" si="15"/>
        <v>270.53406857787519</v>
      </c>
      <c r="H280" s="93">
        <f t="shared" si="16"/>
        <v>405.35379999999998</v>
      </c>
    </row>
    <row r="281" spans="1:8" ht="15.75" customHeight="1" x14ac:dyDescent="0.25">
      <c r="A281" s="93">
        <v>34</v>
      </c>
      <c r="B281" s="93">
        <v>10</v>
      </c>
      <c r="C281" s="93" t="s">
        <v>78</v>
      </c>
      <c r="D281" s="95">
        <v>41183</v>
      </c>
      <c r="E281" s="93">
        <v>346.39</v>
      </c>
      <c r="F281" s="93">
        <v>0.80297501372282132</v>
      </c>
      <c r="G281" s="93">
        <f t="shared" si="15"/>
        <v>431.38328600542263</v>
      </c>
      <c r="H281" s="93">
        <f t="shared" si="16"/>
        <v>408.7124</v>
      </c>
    </row>
    <row r="282" spans="1:8" ht="15.75" customHeight="1" x14ac:dyDescent="0.25">
      <c r="A282" s="93">
        <v>35</v>
      </c>
      <c r="B282" s="93">
        <v>11</v>
      </c>
      <c r="C282" s="93" t="s">
        <v>79</v>
      </c>
      <c r="D282" s="95">
        <v>41214</v>
      </c>
      <c r="E282" s="93">
        <v>404.91</v>
      </c>
      <c r="F282" s="93">
        <v>0.89734670856758103</v>
      </c>
      <c r="G282" s="93">
        <f t="shared" si="15"/>
        <v>451.23027268507042</v>
      </c>
      <c r="H282" s="93">
        <f t="shared" si="16"/>
        <v>412.07099999999997</v>
      </c>
    </row>
    <row r="283" spans="1:8" ht="15.75" customHeight="1" x14ac:dyDescent="0.25">
      <c r="A283" s="93">
        <v>36</v>
      </c>
      <c r="B283" s="93">
        <v>12</v>
      </c>
      <c r="C283" s="93" t="s">
        <v>80</v>
      </c>
      <c r="D283" s="95">
        <v>41244</v>
      </c>
      <c r="E283" s="93">
        <v>550.02</v>
      </c>
      <c r="F283" s="93">
        <v>1.0946809336353855</v>
      </c>
      <c r="G283" s="93">
        <f t="shared" si="15"/>
        <v>502.44777551154436</v>
      </c>
      <c r="H283" s="93">
        <f t="shared" si="16"/>
        <v>415.42959999999999</v>
      </c>
    </row>
    <row r="284" spans="1:8" ht="15.75" customHeight="1" x14ac:dyDescent="0.25">
      <c r="A284" s="93">
        <v>37</v>
      </c>
      <c r="B284" s="93"/>
      <c r="C284" s="93"/>
      <c r="D284" s="95">
        <v>41275</v>
      </c>
      <c r="E284" s="93"/>
      <c r="F284" s="93"/>
      <c r="G284" s="93"/>
      <c r="H284" s="93">
        <f t="shared" si="16"/>
        <v>418.78819999999996</v>
      </c>
    </row>
    <row r="285" spans="1:8" ht="15.75" customHeight="1" x14ac:dyDescent="0.25">
      <c r="A285" s="93">
        <v>38</v>
      </c>
      <c r="B285" s="93"/>
      <c r="C285" s="93"/>
      <c r="D285" s="95">
        <v>41306</v>
      </c>
      <c r="E285" s="93"/>
      <c r="F285" s="93"/>
      <c r="G285" s="93"/>
      <c r="H285" s="93">
        <f t="shared" si="16"/>
        <v>422.14679999999998</v>
      </c>
    </row>
    <row r="286" spans="1:8" ht="15.75" customHeight="1" x14ac:dyDescent="0.25">
      <c r="A286" s="93">
        <v>39</v>
      </c>
      <c r="B286" s="93"/>
      <c r="C286" s="93"/>
      <c r="D286" s="95">
        <v>41334</v>
      </c>
      <c r="E286" s="93"/>
      <c r="F286" s="93"/>
      <c r="G286" s="93"/>
      <c r="H286" s="93">
        <f t="shared" si="16"/>
        <v>425.50540000000001</v>
      </c>
    </row>
    <row r="287" spans="1:8" ht="15.75" customHeight="1" x14ac:dyDescent="0.25">
      <c r="A287" s="93">
        <v>40</v>
      </c>
      <c r="B287" s="93"/>
      <c r="C287" s="93"/>
      <c r="D287" s="95">
        <v>41365</v>
      </c>
      <c r="E287" s="93"/>
      <c r="F287" s="93"/>
      <c r="G287" s="93"/>
      <c r="H287" s="93">
        <f t="shared" si="16"/>
        <v>428.86399999999998</v>
      </c>
    </row>
    <row r="288" spans="1:8" ht="15.75" customHeight="1" x14ac:dyDescent="0.25">
      <c r="A288" s="97">
        <v>41</v>
      </c>
      <c r="B288" s="97"/>
      <c r="C288" s="97"/>
      <c r="D288" s="98">
        <v>41395</v>
      </c>
      <c r="E288" s="97"/>
      <c r="F288" s="97"/>
      <c r="G288" s="97"/>
      <c r="H288" s="97">
        <f t="shared" si="16"/>
        <v>432.22259999999994</v>
      </c>
    </row>
    <row r="289" spans="1:8" ht="15.75" customHeight="1" x14ac:dyDescent="0.25">
      <c r="A289" s="93">
        <v>42</v>
      </c>
      <c r="B289" s="93"/>
      <c r="C289" s="93"/>
      <c r="D289" s="95">
        <v>41426</v>
      </c>
      <c r="E289" s="93"/>
      <c r="F289" s="93"/>
      <c r="G289" s="93"/>
      <c r="H289" s="93">
        <f t="shared" si="16"/>
        <v>435.58119999999997</v>
      </c>
    </row>
    <row r="290" spans="1:8" ht="15.75" customHeight="1" x14ac:dyDescent="0.25">
      <c r="A290" s="93">
        <v>43</v>
      </c>
      <c r="B290" s="93"/>
      <c r="C290" s="93"/>
      <c r="D290" s="95">
        <v>41456</v>
      </c>
      <c r="E290" s="93"/>
      <c r="F290" s="93"/>
      <c r="G290" s="93"/>
      <c r="H290" s="93">
        <f t="shared" si="16"/>
        <v>438.93979999999999</v>
      </c>
    </row>
    <row r="291" spans="1:8" ht="15.75" customHeight="1" x14ac:dyDescent="0.25">
      <c r="A291" s="93">
        <v>44</v>
      </c>
      <c r="B291" s="93"/>
      <c r="C291" s="93"/>
      <c r="D291" s="95">
        <v>41487</v>
      </c>
      <c r="E291" s="93"/>
      <c r="F291" s="93"/>
      <c r="G291" s="93"/>
      <c r="H291" s="93">
        <f t="shared" si="16"/>
        <v>442.29840000000002</v>
      </c>
    </row>
    <row r="292" spans="1:8" ht="15.75" customHeight="1" x14ac:dyDescent="0.25">
      <c r="A292" s="93">
        <v>45</v>
      </c>
      <c r="B292" s="93"/>
      <c r="C292" s="93"/>
      <c r="D292" s="95">
        <v>41518</v>
      </c>
      <c r="E292" s="93"/>
      <c r="F292" s="93"/>
      <c r="G292" s="93"/>
      <c r="H292" s="93">
        <f t="shared" si="16"/>
        <v>445.65699999999998</v>
      </c>
    </row>
    <row r="293" spans="1:8" ht="15.75" customHeight="1" x14ac:dyDescent="0.25">
      <c r="A293" s="93">
        <v>46</v>
      </c>
      <c r="B293" s="93"/>
      <c r="C293" s="93"/>
      <c r="D293" s="95">
        <v>41548</v>
      </c>
      <c r="E293" s="93"/>
      <c r="F293" s="93"/>
      <c r="G293" s="93"/>
      <c r="H293" s="93">
        <f t="shared" si="16"/>
        <v>449.01559999999995</v>
      </c>
    </row>
    <row r="294" spans="1:8" ht="15.75" customHeight="1" x14ac:dyDescent="0.25">
      <c r="A294" s="93">
        <v>47</v>
      </c>
      <c r="B294" s="93"/>
      <c r="C294" s="93"/>
      <c r="D294" s="95">
        <v>41579</v>
      </c>
      <c r="E294" s="93"/>
      <c r="F294" s="93"/>
      <c r="G294" s="93"/>
      <c r="H294" s="93">
        <f t="shared" si="16"/>
        <v>452.37419999999997</v>
      </c>
    </row>
    <row r="295" spans="1:8" ht="15.75" customHeight="1" x14ac:dyDescent="0.25">
      <c r="A295" s="93">
        <v>48</v>
      </c>
      <c r="B295" s="93"/>
      <c r="C295" s="93"/>
      <c r="D295" s="95">
        <v>41609</v>
      </c>
      <c r="E295" s="93"/>
      <c r="F295" s="93"/>
      <c r="G295" s="93"/>
      <c r="H295" s="93">
        <f t="shared" si="16"/>
        <v>455.7328</v>
      </c>
    </row>
  </sheetData>
  <pageMargins left="0" right="0" top="0" bottom="0" header="0" footer="0"/>
  <pageSetup paperSize="9" scale="65" fitToWidth="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269"/>
  <sheetViews>
    <sheetView topLeftCell="A103" zoomScale="60" zoomScaleNormal="60" workbookViewId="0">
      <pane xSplit="1" topLeftCell="B1" activePane="topRight" state="frozen"/>
      <selection pane="topRight" activeCell="J75" sqref="J75"/>
    </sheetView>
  </sheetViews>
  <sheetFormatPr baseColWidth="10" defaultColWidth="12.54296875" defaultRowHeight="15.75" customHeight="1" x14ac:dyDescent="0.25"/>
  <cols>
    <col min="2" max="2" width="13.81640625" customWidth="1"/>
    <col min="3" max="3" width="10.36328125" customWidth="1"/>
    <col min="4" max="4" width="12.453125" customWidth="1"/>
    <col min="5" max="5" width="9.1796875" customWidth="1"/>
    <col min="6" max="6" width="11" customWidth="1"/>
    <col min="7" max="7" width="8.7265625" customWidth="1"/>
    <col min="8" max="8" width="15.1796875" customWidth="1"/>
    <col min="9" max="9" width="14.26953125" customWidth="1"/>
    <col min="10" max="10" width="17.1796875" customWidth="1"/>
    <col min="11" max="11" width="6.54296875" customWidth="1"/>
    <col min="12" max="12" width="13.7265625" customWidth="1"/>
    <col min="19" max="19" width="15.26953125" customWidth="1"/>
    <col min="20" max="20" width="23.54296875" customWidth="1"/>
    <col min="21" max="21" width="14.1796875" customWidth="1"/>
    <col min="22" max="22" width="27.7265625" customWidth="1"/>
  </cols>
  <sheetData>
    <row r="1" spans="1:8" ht="26.5" customHeight="1" x14ac:dyDescent="0.3">
      <c r="A1" s="79" t="s">
        <v>0</v>
      </c>
      <c r="B1" s="131" t="s">
        <v>1</v>
      </c>
      <c r="C1" s="131"/>
      <c r="D1" s="102"/>
      <c r="E1" s="102"/>
      <c r="F1" s="102"/>
      <c r="G1" s="102"/>
      <c r="H1" s="102"/>
    </row>
    <row r="2" spans="1:8" ht="35" customHeight="1" x14ac:dyDescent="0.3">
      <c r="A2" s="130" t="s">
        <v>2</v>
      </c>
      <c r="B2" s="131" t="s">
        <v>3</v>
      </c>
      <c r="C2" s="131"/>
      <c r="D2" s="102"/>
      <c r="E2" s="102"/>
      <c r="F2" s="102"/>
      <c r="G2" s="102"/>
      <c r="H2" s="102"/>
    </row>
    <row r="3" spans="1:8" ht="15.75" customHeight="1" x14ac:dyDescent="0.3">
      <c r="A3" s="130" t="s">
        <v>4</v>
      </c>
      <c r="B3" s="132" t="s">
        <v>179</v>
      </c>
      <c r="C3" s="131"/>
      <c r="D3" s="102"/>
      <c r="E3" s="102"/>
      <c r="F3" s="102"/>
      <c r="G3" s="102"/>
      <c r="H3" s="102"/>
    </row>
    <row r="4" spans="1:8" ht="15.75" customHeight="1" x14ac:dyDescent="0.3">
      <c r="A4" s="131"/>
      <c r="B4" s="130" t="s">
        <v>6</v>
      </c>
      <c r="C4" s="130" t="s">
        <v>5</v>
      </c>
      <c r="D4" s="102"/>
      <c r="E4" s="102"/>
      <c r="F4" s="102"/>
      <c r="G4" s="102"/>
      <c r="H4" s="102"/>
    </row>
    <row r="5" spans="1:8" ht="15.75" customHeight="1" x14ac:dyDescent="0.3">
      <c r="A5" s="131"/>
      <c r="B5" s="132" t="s">
        <v>180</v>
      </c>
      <c r="C5" s="132">
        <v>1724083</v>
      </c>
      <c r="D5" s="102"/>
      <c r="E5" s="102"/>
      <c r="F5" s="102"/>
      <c r="G5" s="102"/>
      <c r="H5" s="102"/>
    </row>
    <row r="6" spans="1:8" ht="15.75" customHeight="1" x14ac:dyDescent="0.3">
      <c r="A6" s="131"/>
      <c r="B6" s="132" t="s">
        <v>181</v>
      </c>
      <c r="C6" s="131">
        <v>1726924</v>
      </c>
      <c r="D6" s="102"/>
      <c r="E6" s="102"/>
      <c r="F6" s="102"/>
      <c r="G6" s="102"/>
      <c r="H6" s="102"/>
    </row>
    <row r="7" spans="1:8" ht="15.75" customHeight="1" x14ac:dyDescent="0.3">
      <c r="A7" s="131"/>
      <c r="B7" s="132" t="s">
        <v>182</v>
      </c>
      <c r="C7" s="132">
        <v>1730680</v>
      </c>
      <c r="D7" s="102"/>
      <c r="E7" s="102"/>
      <c r="F7" s="102"/>
      <c r="G7" s="102"/>
      <c r="H7" s="102"/>
    </row>
    <row r="8" spans="1:8" ht="15.75" customHeight="1" x14ac:dyDescent="0.3">
      <c r="B8" s="77"/>
      <c r="C8" s="77"/>
      <c r="D8" s="102"/>
      <c r="E8" s="102"/>
      <c r="F8" s="102"/>
      <c r="G8" s="102"/>
      <c r="H8" s="102"/>
    </row>
    <row r="9" spans="1:8" ht="15.75" customHeight="1" x14ac:dyDescent="0.3">
      <c r="B9" s="77"/>
      <c r="C9" s="77"/>
      <c r="D9" s="102"/>
      <c r="E9" s="102"/>
      <c r="F9" s="102"/>
      <c r="G9" s="102"/>
      <c r="H9" s="102"/>
    </row>
    <row r="10" spans="1:8" ht="15.75" customHeight="1" x14ac:dyDescent="0.3">
      <c r="B10" s="77"/>
      <c r="C10" s="77"/>
      <c r="D10" s="102"/>
      <c r="E10" s="102"/>
      <c r="F10" s="102"/>
      <c r="G10" s="102"/>
      <c r="H10" s="102"/>
    </row>
    <row r="11" spans="1:8" ht="15.75" customHeight="1" x14ac:dyDescent="0.3">
      <c r="B11" s="77"/>
      <c r="C11" s="77"/>
      <c r="D11" s="102"/>
      <c r="E11" s="102"/>
      <c r="F11" s="102"/>
      <c r="G11" s="102"/>
      <c r="H11" s="102"/>
    </row>
    <row r="12" spans="1:8" ht="15.75" customHeight="1" x14ac:dyDescent="0.3">
      <c r="B12" s="77"/>
      <c r="C12" s="77"/>
      <c r="D12" s="102"/>
      <c r="E12" s="102"/>
      <c r="F12" s="102"/>
      <c r="G12" s="102"/>
      <c r="H12" s="102"/>
    </row>
    <row r="13" spans="1:8" ht="15.75" customHeight="1" x14ac:dyDescent="0.3">
      <c r="B13" s="77"/>
      <c r="C13" s="77"/>
      <c r="D13" s="102"/>
      <c r="E13" s="102"/>
      <c r="F13" s="102"/>
      <c r="G13" s="102"/>
      <c r="H13" s="102"/>
    </row>
    <row r="14" spans="1:8" ht="15.75" customHeight="1" x14ac:dyDescent="0.3">
      <c r="B14" s="77"/>
      <c r="C14" s="77"/>
      <c r="D14" s="102"/>
      <c r="E14" s="102"/>
      <c r="F14" s="102"/>
      <c r="G14" s="102"/>
      <c r="H14" s="102"/>
    </row>
    <row r="15" spans="1:8" ht="15.75" customHeight="1" x14ac:dyDescent="0.3">
      <c r="B15" s="77"/>
      <c r="C15" s="77"/>
      <c r="D15" s="102"/>
      <c r="E15" s="102"/>
      <c r="F15" s="102"/>
      <c r="G15" s="102"/>
      <c r="H15" s="102"/>
    </row>
    <row r="16" spans="1:8" ht="15.75" customHeight="1" x14ac:dyDescent="0.3">
      <c r="B16" s="77"/>
      <c r="C16" s="77"/>
      <c r="D16" s="102"/>
      <c r="E16" s="102"/>
      <c r="F16" s="102"/>
      <c r="G16" s="102"/>
      <c r="H16" s="102"/>
    </row>
    <row r="17" spans="2:8" ht="15.75" customHeight="1" x14ac:dyDescent="0.3">
      <c r="B17" s="77"/>
      <c r="C17" s="77"/>
      <c r="D17" s="102"/>
      <c r="E17" s="102"/>
      <c r="F17" s="102"/>
      <c r="G17" s="102"/>
      <c r="H17" s="102"/>
    </row>
    <row r="18" spans="2:8" ht="15.75" customHeight="1" x14ac:dyDescent="0.3">
      <c r="B18" s="77"/>
      <c r="C18" s="77"/>
      <c r="D18" s="102"/>
      <c r="E18" s="102"/>
      <c r="F18" s="102"/>
      <c r="G18" s="102"/>
      <c r="H18" s="102"/>
    </row>
    <row r="19" spans="2:8" ht="15.75" customHeight="1" x14ac:dyDescent="0.3">
      <c r="B19" s="77"/>
      <c r="C19" s="77"/>
      <c r="D19" s="102"/>
      <c r="E19" s="102"/>
      <c r="F19" s="102"/>
      <c r="G19" s="102"/>
      <c r="H19" s="102"/>
    </row>
    <row r="20" spans="2:8" ht="15.75" customHeight="1" x14ac:dyDescent="0.3">
      <c r="B20" s="77"/>
      <c r="C20" s="77"/>
      <c r="D20" s="102"/>
      <c r="E20" s="102"/>
      <c r="F20" s="102"/>
      <c r="G20" s="102"/>
      <c r="H20" s="102"/>
    </row>
    <row r="21" spans="2:8" ht="15.75" customHeight="1" x14ac:dyDescent="0.3">
      <c r="B21" s="77"/>
      <c r="C21" s="77"/>
      <c r="D21" s="102"/>
      <c r="E21" s="102"/>
      <c r="F21" s="102"/>
      <c r="G21" s="102"/>
      <c r="H21" s="102"/>
    </row>
    <row r="22" spans="2:8" ht="15.75" customHeight="1" x14ac:dyDescent="0.3">
      <c r="B22" s="77"/>
      <c r="C22" s="77"/>
      <c r="D22" s="102"/>
      <c r="E22" s="102"/>
      <c r="F22" s="102"/>
      <c r="G22" s="102"/>
      <c r="H22" s="102"/>
    </row>
    <row r="23" spans="2:8" ht="15.75" customHeight="1" x14ac:dyDescent="0.3">
      <c r="D23" s="42"/>
      <c r="E23" s="42"/>
      <c r="F23" s="42"/>
      <c r="G23" s="42"/>
      <c r="H23" s="42"/>
    </row>
    <row r="24" spans="2:8" ht="15.75" customHeight="1" x14ac:dyDescent="0.3">
      <c r="D24" s="42"/>
      <c r="E24" s="42"/>
      <c r="F24" s="42"/>
      <c r="G24" s="42"/>
      <c r="H24" s="42"/>
    </row>
    <row r="25" spans="2:8" ht="15.75" customHeight="1" x14ac:dyDescent="0.3">
      <c r="D25" s="42"/>
      <c r="E25" s="42"/>
      <c r="F25" s="42"/>
      <c r="G25" s="42"/>
      <c r="H25" s="42"/>
    </row>
    <row r="26" spans="2:8" ht="15.75" customHeight="1" x14ac:dyDescent="0.3">
      <c r="D26" s="42"/>
      <c r="E26" s="42"/>
      <c r="F26" s="42"/>
      <c r="G26" s="42"/>
      <c r="H26" s="42"/>
    </row>
    <row r="27" spans="2:8" ht="15.75" customHeight="1" x14ac:dyDescent="0.3">
      <c r="D27" s="42"/>
      <c r="E27" s="42"/>
      <c r="F27" s="42"/>
      <c r="G27" s="42"/>
      <c r="H27" s="42"/>
    </row>
    <row r="28" spans="2:8" ht="15.75" customHeight="1" x14ac:dyDescent="0.3">
      <c r="D28" s="42"/>
      <c r="E28" s="42"/>
      <c r="F28" s="42"/>
      <c r="G28" s="42"/>
      <c r="H28" s="42"/>
    </row>
    <row r="29" spans="2:8" ht="15.75" customHeight="1" x14ac:dyDescent="0.3">
      <c r="D29" s="42"/>
      <c r="E29" s="42"/>
      <c r="F29" s="42"/>
      <c r="G29" s="42"/>
      <c r="H29" s="42"/>
    </row>
    <row r="30" spans="2:8" ht="15.75" customHeight="1" x14ac:dyDescent="0.3">
      <c r="D30" s="42"/>
      <c r="E30" s="42"/>
      <c r="F30" s="42"/>
      <c r="G30" s="42"/>
      <c r="H30" s="42"/>
    </row>
    <row r="31" spans="2:8" ht="15.75" customHeight="1" x14ac:dyDescent="0.3">
      <c r="D31" s="42"/>
      <c r="E31" s="42"/>
      <c r="F31" s="42"/>
      <c r="G31" s="42"/>
      <c r="H31" s="42"/>
    </row>
    <row r="32" spans="2:8" ht="15.75" customHeight="1" x14ac:dyDescent="0.3">
      <c r="D32" s="42"/>
      <c r="E32" s="42"/>
      <c r="F32" s="42"/>
      <c r="G32" s="42"/>
      <c r="H32" s="42"/>
    </row>
    <row r="33" spans="2:8" ht="15.75" customHeight="1" x14ac:dyDescent="0.3">
      <c r="D33" s="42"/>
      <c r="E33" s="42"/>
      <c r="F33" s="42"/>
      <c r="G33" s="42"/>
      <c r="H33" s="42"/>
    </row>
    <row r="34" spans="2:8" ht="15.75" customHeight="1" x14ac:dyDescent="0.3">
      <c r="B34" s="115"/>
      <c r="C34" s="80" t="s">
        <v>19</v>
      </c>
      <c r="D34" s="80" t="s">
        <v>85</v>
      </c>
      <c r="E34" s="80" t="s">
        <v>86</v>
      </c>
      <c r="F34" s="80" t="s">
        <v>87</v>
      </c>
      <c r="G34" s="80" t="s">
        <v>13</v>
      </c>
      <c r="H34" s="80" t="s">
        <v>88</v>
      </c>
    </row>
    <row r="35" spans="2:8" ht="15.75" customHeight="1" x14ac:dyDescent="0.25">
      <c r="B35" s="48" t="s">
        <v>89</v>
      </c>
      <c r="C35" s="48">
        <v>242.65</v>
      </c>
      <c r="D35" s="111"/>
      <c r="E35" s="111"/>
      <c r="F35" s="111"/>
      <c r="G35" s="111"/>
      <c r="H35" s="111"/>
    </row>
    <row r="36" spans="2:8" ht="15.75" customHeight="1" x14ac:dyDescent="0.25">
      <c r="B36" s="107">
        <v>45333</v>
      </c>
      <c r="C36" s="48">
        <v>178.63</v>
      </c>
      <c r="D36" s="111"/>
      <c r="E36" s="111"/>
      <c r="F36" s="111"/>
      <c r="G36" s="111"/>
      <c r="H36" s="111"/>
    </row>
    <row r="37" spans="2:8" ht="15.75" customHeight="1" x14ac:dyDescent="0.25">
      <c r="B37" s="107">
        <v>45362</v>
      </c>
      <c r="C37" s="48">
        <v>152.82</v>
      </c>
      <c r="D37" s="111"/>
      <c r="E37" s="111"/>
      <c r="F37" s="111"/>
      <c r="G37" s="111"/>
      <c r="H37" s="111"/>
    </row>
    <row r="38" spans="2:8" ht="15.75" customHeight="1" x14ac:dyDescent="0.25">
      <c r="B38" s="48" t="s">
        <v>90</v>
      </c>
      <c r="C38" s="48">
        <v>130.1</v>
      </c>
      <c r="D38" s="111"/>
      <c r="E38" s="111"/>
      <c r="F38" s="111"/>
      <c r="G38" s="111"/>
      <c r="H38" s="111"/>
    </row>
    <row r="39" spans="2:8" ht="15.75" customHeight="1" x14ac:dyDescent="0.25">
      <c r="B39" s="107">
        <v>45423</v>
      </c>
      <c r="C39" s="48">
        <v>179.67</v>
      </c>
      <c r="D39" s="73">
        <f>AVERAGE(C35:C38)</f>
        <v>176.04999999999998</v>
      </c>
      <c r="E39" s="73">
        <f t="shared" ref="E39:E70" si="0">C39-D39</f>
        <v>3.6200000000000045</v>
      </c>
      <c r="F39" s="73">
        <f t="shared" ref="F39:F70" si="1">E39^2</f>
        <v>13.104400000000034</v>
      </c>
      <c r="G39" s="73">
        <f t="shared" ref="G39:G70" si="2">ABS(E39)</f>
        <v>3.6200000000000045</v>
      </c>
      <c r="H39" s="78">
        <f>1-D39/C39</f>
        <v>2.0148049201313523E-2</v>
      </c>
    </row>
    <row r="40" spans="2:8" ht="15.75" customHeight="1" x14ac:dyDescent="0.25">
      <c r="B40" s="107">
        <v>45454</v>
      </c>
      <c r="C40" s="48">
        <v>171.41</v>
      </c>
      <c r="D40" s="73">
        <f>AVERAGE(C36:C39)</f>
        <v>160.30499999999998</v>
      </c>
      <c r="E40" s="73">
        <f t="shared" si="0"/>
        <v>11.105000000000018</v>
      </c>
      <c r="F40" s="73">
        <f t="shared" si="1"/>
        <v>123.3210250000004</v>
      </c>
      <c r="G40" s="73">
        <f t="shared" si="2"/>
        <v>11.105000000000018</v>
      </c>
      <c r="H40" s="78">
        <f>1-D40/C40</f>
        <v>6.4786185170060184E-2</v>
      </c>
    </row>
    <row r="41" spans="2:8" ht="15.75" customHeight="1" x14ac:dyDescent="0.25">
      <c r="B41" s="48" t="s">
        <v>91</v>
      </c>
      <c r="C41" s="73">
        <v>177.58</v>
      </c>
      <c r="D41" s="73">
        <f>AVERAGE(C37:C40)</f>
        <v>158.49999999999997</v>
      </c>
      <c r="E41" s="73">
        <f t="shared" si="0"/>
        <v>19.080000000000041</v>
      </c>
      <c r="F41" s="73">
        <f t="shared" si="1"/>
        <v>364.04640000000154</v>
      </c>
      <c r="G41" s="73">
        <f t="shared" si="2"/>
        <v>19.080000000000041</v>
      </c>
      <c r="H41" s="78">
        <f>1-D41/C41</f>
        <v>0.10744453204189686</v>
      </c>
    </row>
    <row r="42" spans="2:8" ht="15.75" customHeight="1" x14ac:dyDescent="0.25">
      <c r="B42" s="48" t="s">
        <v>92</v>
      </c>
      <c r="C42" s="73">
        <v>209.77</v>
      </c>
      <c r="D42" s="73">
        <f>AVERAGE(C38:C41)</f>
        <v>164.69</v>
      </c>
      <c r="E42" s="73">
        <f t="shared" si="0"/>
        <v>45.080000000000013</v>
      </c>
      <c r="F42" s="73">
        <f t="shared" si="1"/>
        <v>2032.2064000000012</v>
      </c>
      <c r="G42" s="73">
        <f t="shared" si="2"/>
        <v>45.080000000000013</v>
      </c>
      <c r="H42" s="78">
        <f t="shared" ref="H42:H70" si="3">ABS(1-(D42/C42))</f>
        <v>0.21490203556275922</v>
      </c>
    </row>
    <row r="43" spans="2:8" ht="15.75" customHeight="1" x14ac:dyDescent="0.25">
      <c r="B43" s="48" t="s">
        <v>93</v>
      </c>
      <c r="C43" s="73">
        <v>204.77</v>
      </c>
      <c r="D43" s="73">
        <f>AVERAGE(C41:C42)</f>
        <v>193.67500000000001</v>
      </c>
      <c r="E43" s="73">
        <f t="shared" si="0"/>
        <v>11.094999999999999</v>
      </c>
      <c r="F43" s="73">
        <f t="shared" si="1"/>
        <v>123.09902499999997</v>
      </c>
      <c r="G43" s="73">
        <f t="shared" si="2"/>
        <v>11.094999999999999</v>
      </c>
      <c r="H43" s="78">
        <f t="shared" si="3"/>
        <v>5.4182741612540886E-2</v>
      </c>
    </row>
    <row r="44" spans="2:8" ht="15.75" customHeight="1" x14ac:dyDescent="0.25">
      <c r="B44" s="48" t="s">
        <v>94</v>
      </c>
      <c r="C44" s="73">
        <v>264.7</v>
      </c>
      <c r="D44" s="73">
        <f>AVERAGE(C41:C43)</f>
        <v>197.37333333333333</v>
      </c>
      <c r="E44" s="73">
        <f t="shared" si="0"/>
        <v>67.326666666666654</v>
      </c>
      <c r="F44" s="73">
        <f t="shared" si="1"/>
        <v>4532.8800444444423</v>
      </c>
      <c r="G44" s="73">
        <f t="shared" si="2"/>
        <v>67.326666666666654</v>
      </c>
      <c r="H44" s="78">
        <f t="shared" si="3"/>
        <v>0.25435083742601683</v>
      </c>
    </row>
    <row r="45" spans="2:8" ht="15.75" customHeight="1" x14ac:dyDescent="0.25">
      <c r="B45" s="48" t="s">
        <v>95</v>
      </c>
      <c r="C45" s="73">
        <v>254.72</v>
      </c>
      <c r="D45" s="73">
        <f t="shared" ref="D45:D70" si="4">AVERAGE(C41:C44)</f>
        <v>214.20499999999998</v>
      </c>
      <c r="E45" s="73">
        <f t="shared" si="0"/>
        <v>40.515000000000015</v>
      </c>
      <c r="F45" s="73">
        <f t="shared" si="1"/>
        <v>1641.4652250000013</v>
      </c>
      <c r="G45" s="73">
        <f t="shared" si="2"/>
        <v>40.515000000000015</v>
      </c>
      <c r="H45" s="78">
        <f t="shared" si="3"/>
        <v>0.15905700376884424</v>
      </c>
    </row>
    <row r="46" spans="2:8" ht="15.75" customHeight="1" x14ac:dyDescent="0.25">
      <c r="B46" s="48" t="s">
        <v>96</v>
      </c>
      <c r="C46" s="73">
        <v>281.69</v>
      </c>
      <c r="D46" s="73">
        <f t="shared" si="4"/>
        <v>233.49</v>
      </c>
      <c r="E46" s="73">
        <f t="shared" si="0"/>
        <v>48.199999999999989</v>
      </c>
      <c r="F46" s="73">
        <f t="shared" si="1"/>
        <v>2323.2399999999989</v>
      </c>
      <c r="G46" s="73">
        <f t="shared" si="2"/>
        <v>48.199999999999989</v>
      </c>
      <c r="H46" s="78">
        <f t="shared" si="3"/>
        <v>0.1711100855550427</v>
      </c>
    </row>
    <row r="47" spans="2:8" ht="15.75" customHeight="1" x14ac:dyDescent="0.25">
      <c r="B47" s="48" t="s">
        <v>97</v>
      </c>
      <c r="C47" s="73">
        <v>237.49</v>
      </c>
      <c r="D47" s="73">
        <f t="shared" si="4"/>
        <v>251.47000000000003</v>
      </c>
      <c r="E47" s="73">
        <f t="shared" si="0"/>
        <v>-13.980000000000018</v>
      </c>
      <c r="F47" s="73">
        <f t="shared" si="1"/>
        <v>195.44040000000052</v>
      </c>
      <c r="G47" s="73">
        <f t="shared" si="2"/>
        <v>13.980000000000018</v>
      </c>
      <c r="H47" s="78">
        <f t="shared" si="3"/>
        <v>5.8865636447850589E-2</v>
      </c>
    </row>
    <row r="48" spans="2:8" ht="15.75" customHeight="1" x14ac:dyDescent="0.25">
      <c r="B48" s="48" t="s">
        <v>98</v>
      </c>
      <c r="C48" s="73">
        <v>172.44</v>
      </c>
      <c r="D48" s="73">
        <f t="shared" si="4"/>
        <v>259.64999999999998</v>
      </c>
      <c r="E48" s="73">
        <f t="shared" si="0"/>
        <v>-87.20999999999998</v>
      </c>
      <c r="F48" s="73">
        <f t="shared" si="1"/>
        <v>7605.5840999999964</v>
      </c>
      <c r="G48" s="73">
        <f t="shared" si="2"/>
        <v>87.20999999999998</v>
      </c>
      <c r="H48" s="78">
        <f t="shared" si="3"/>
        <v>0.50574112734864296</v>
      </c>
    </row>
    <row r="49" spans="2:8" ht="15.75" customHeight="1" x14ac:dyDescent="0.25">
      <c r="B49" s="48" t="s">
        <v>99</v>
      </c>
      <c r="C49" s="73">
        <v>134.22999999999999</v>
      </c>
      <c r="D49" s="73">
        <f t="shared" si="4"/>
        <v>236.58499999999998</v>
      </c>
      <c r="E49" s="73">
        <f t="shared" si="0"/>
        <v>-102.35499999999999</v>
      </c>
      <c r="F49" s="73">
        <f t="shared" si="1"/>
        <v>10476.546024999998</v>
      </c>
      <c r="G49" s="73">
        <f t="shared" si="2"/>
        <v>102.35499999999999</v>
      </c>
      <c r="H49" s="78">
        <f t="shared" si="3"/>
        <v>0.7625344557848468</v>
      </c>
    </row>
    <row r="50" spans="2:8" ht="15.75" customHeight="1" x14ac:dyDescent="0.25">
      <c r="B50" s="48" t="s">
        <v>100</v>
      </c>
      <c r="C50" s="73">
        <v>125.97</v>
      </c>
      <c r="D50" s="73">
        <f t="shared" si="4"/>
        <v>206.46250000000003</v>
      </c>
      <c r="E50" s="73">
        <f t="shared" si="0"/>
        <v>-80.492500000000035</v>
      </c>
      <c r="F50" s="73">
        <f t="shared" si="1"/>
        <v>6479.0425562500059</v>
      </c>
      <c r="G50" s="73">
        <f t="shared" si="2"/>
        <v>80.492500000000035</v>
      </c>
      <c r="H50" s="78">
        <f t="shared" si="3"/>
        <v>0.63898150353258742</v>
      </c>
    </row>
    <row r="51" spans="2:8" ht="15.75" customHeight="1" x14ac:dyDescent="0.25">
      <c r="B51" s="48" t="s">
        <v>101</v>
      </c>
      <c r="C51" s="73">
        <v>166.24</v>
      </c>
      <c r="D51" s="73">
        <f t="shared" si="4"/>
        <v>167.5325</v>
      </c>
      <c r="E51" s="73">
        <f t="shared" si="0"/>
        <v>-1.2924999999999898</v>
      </c>
      <c r="F51" s="73">
        <f t="shared" si="1"/>
        <v>1.6705562499999735</v>
      </c>
      <c r="G51" s="73">
        <f t="shared" si="2"/>
        <v>1.2924999999999898</v>
      </c>
      <c r="H51" s="78">
        <f t="shared" si="3"/>
        <v>7.7749037536092303E-3</v>
      </c>
    </row>
    <row r="52" spans="2:8" ht="15.75" customHeight="1" x14ac:dyDescent="0.25">
      <c r="B52" s="48" t="s">
        <v>102</v>
      </c>
      <c r="C52" s="73">
        <v>162.11000000000001</v>
      </c>
      <c r="D52" s="73">
        <f t="shared" si="4"/>
        <v>149.72</v>
      </c>
      <c r="E52" s="73">
        <f t="shared" si="0"/>
        <v>12.390000000000015</v>
      </c>
      <c r="F52" s="73">
        <f t="shared" si="1"/>
        <v>153.51210000000037</v>
      </c>
      <c r="G52" s="73">
        <f t="shared" si="2"/>
        <v>12.390000000000015</v>
      </c>
      <c r="H52" s="78">
        <f t="shared" si="3"/>
        <v>7.6429584849793453E-2</v>
      </c>
    </row>
    <row r="53" spans="2:8" ht="15.75" customHeight="1" x14ac:dyDescent="0.25">
      <c r="B53" s="48" t="s">
        <v>103</v>
      </c>
      <c r="C53" s="73">
        <v>148.83000000000001</v>
      </c>
      <c r="D53" s="73">
        <f t="shared" si="4"/>
        <v>147.13749999999999</v>
      </c>
      <c r="E53" s="73">
        <f t="shared" si="0"/>
        <v>1.6925000000000239</v>
      </c>
      <c r="F53" s="73">
        <f t="shared" si="1"/>
        <v>2.864556250000081</v>
      </c>
      <c r="G53" s="73">
        <f t="shared" si="2"/>
        <v>1.6925000000000239</v>
      </c>
      <c r="H53" s="78">
        <f t="shared" si="3"/>
        <v>1.13720352079556E-2</v>
      </c>
    </row>
    <row r="54" spans="2:8" ht="15.75" customHeight="1" x14ac:dyDescent="0.25">
      <c r="B54" s="48" t="s">
        <v>104</v>
      </c>
      <c r="C54" s="73">
        <v>192.78</v>
      </c>
      <c r="D54" s="73">
        <f t="shared" si="4"/>
        <v>150.78750000000002</v>
      </c>
      <c r="E54" s="73">
        <f t="shared" si="0"/>
        <v>41.992499999999978</v>
      </c>
      <c r="F54" s="73">
        <f t="shared" si="1"/>
        <v>1763.3700562499982</v>
      </c>
      <c r="G54" s="73">
        <f t="shared" si="2"/>
        <v>41.992499999999978</v>
      </c>
      <c r="H54" s="78">
        <f t="shared" si="3"/>
        <v>0.21782601929660739</v>
      </c>
    </row>
    <row r="55" spans="2:8" ht="15.75" customHeight="1" x14ac:dyDescent="0.25">
      <c r="B55" s="48" t="s">
        <v>105</v>
      </c>
      <c r="C55" s="73">
        <v>192.78</v>
      </c>
      <c r="D55" s="73">
        <f t="shared" si="4"/>
        <v>167.49</v>
      </c>
      <c r="E55" s="73">
        <f t="shared" si="0"/>
        <v>25.289999999999992</v>
      </c>
      <c r="F55" s="73">
        <f t="shared" si="1"/>
        <v>639.58409999999958</v>
      </c>
      <c r="G55" s="73">
        <f t="shared" si="2"/>
        <v>25.289999999999992</v>
      </c>
      <c r="H55" s="78">
        <f t="shared" si="3"/>
        <v>0.13118580765639587</v>
      </c>
    </row>
    <row r="56" spans="2:8" ht="15.75" customHeight="1" x14ac:dyDescent="0.25">
      <c r="B56" s="48" t="s">
        <v>106</v>
      </c>
      <c r="C56" s="73">
        <v>246.72</v>
      </c>
      <c r="D56" s="73">
        <f t="shared" si="4"/>
        <v>174.125</v>
      </c>
      <c r="E56" s="73">
        <f t="shared" si="0"/>
        <v>72.594999999999999</v>
      </c>
      <c r="F56" s="73">
        <f t="shared" si="1"/>
        <v>5270.0340249999999</v>
      </c>
      <c r="G56" s="73">
        <f t="shared" si="2"/>
        <v>72.594999999999999</v>
      </c>
      <c r="H56" s="78">
        <f t="shared" si="3"/>
        <v>0.29424043450064852</v>
      </c>
    </row>
    <row r="57" spans="2:8" ht="15.75" customHeight="1" x14ac:dyDescent="0.25">
      <c r="B57" s="48" t="s">
        <v>107</v>
      </c>
      <c r="C57" s="73">
        <v>237.73</v>
      </c>
      <c r="D57" s="73">
        <f t="shared" si="4"/>
        <v>195.2775</v>
      </c>
      <c r="E57" s="73">
        <f t="shared" si="0"/>
        <v>42.452499999999986</v>
      </c>
      <c r="F57" s="73">
        <f t="shared" si="1"/>
        <v>1802.2147562499988</v>
      </c>
      <c r="G57" s="73">
        <f t="shared" si="2"/>
        <v>42.452499999999986</v>
      </c>
      <c r="H57" s="78">
        <f t="shared" si="3"/>
        <v>0.17857443318049881</v>
      </c>
    </row>
    <row r="58" spans="2:8" ht="15.75" customHeight="1" x14ac:dyDescent="0.25">
      <c r="B58" s="48" t="s">
        <v>108</v>
      </c>
      <c r="C58" s="73">
        <v>262.70999999999998</v>
      </c>
      <c r="D58" s="73">
        <f t="shared" si="4"/>
        <v>217.5025</v>
      </c>
      <c r="E58" s="73">
        <f t="shared" si="0"/>
        <v>45.207499999999982</v>
      </c>
      <c r="F58" s="73">
        <f t="shared" si="1"/>
        <v>2043.7180562499984</v>
      </c>
      <c r="G58" s="73">
        <f t="shared" si="2"/>
        <v>45.207499999999982</v>
      </c>
      <c r="H58" s="78">
        <f t="shared" si="3"/>
        <v>0.17208138251303717</v>
      </c>
    </row>
    <row r="59" spans="2:8" ht="15.75" customHeight="1" x14ac:dyDescent="0.25">
      <c r="B59" s="48" t="s">
        <v>109</v>
      </c>
      <c r="C59" s="73">
        <v>212.71</v>
      </c>
      <c r="D59" s="73">
        <f t="shared" si="4"/>
        <v>234.98500000000001</v>
      </c>
      <c r="E59" s="73">
        <f t="shared" si="0"/>
        <v>-22.275000000000006</v>
      </c>
      <c r="F59" s="73">
        <f t="shared" si="1"/>
        <v>496.17562500000025</v>
      </c>
      <c r="G59" s="73">
        <f t="shared" si="2"/>
        <v>22.275000000000006</v>
      </c>
      <c r="H59" s="78">
        <f t="shared" si="3"/>
        <v>0.10472004137088065</v>
      </c>
    </row>
    <row r="60" spans="2:8" ht="15.75" customHeight="1" x14ac:dyDescent="0.25">
      <c r="B60" s="48" t="s">
        <v>110</v>
      </c>
      <c r="C60" s="73">
        <v>156.94999999999999</v>
      </c>
      <c r="D60" s="73">
        <f t="shared" si="4"/>
        <v>239.9675</v>
      </c>
      <c r="E60" s="73">
        <f t="shared" si="0"/>
        <v>-83.017500000000013</v>
      </c>
      <c r="F60" s="73">
        <f t="shared" si="1"/>
        <v>6891.9053062500025</v>
      </c>
      <c r="G60" s="73">
        <f t="shared" si="2"/>
        <v>83.017500000000013</v>
      </c>
      <c r="H60" s="78">
        <f t="shared" si="3"/>
        <v>0.52894233832430726</v>
      </c>
    </row>
    <row r="61" spans="2:8" ht="15.75" customHeight="1" x14ac:dyDescent="0.25">
      <c r="B61" s="48" t="s">
        <v>111</v>
      </c>
      <c r="C61" s="73">
        <v>134.22999999999999</v>
      </c>
      <c r="D61" s="73">
        <f t="shared" si="4"/>
        <v>217.52499999999998</v>
      </c>
      <c r="E61" s="73">
        <f t="shared" si="0"/>
        <v>-83.294999999999987</v>
      </c>
      <c r="F61" s="73">
        <f t="shared" si="1"/>
        <v>6938.0570249999982</v>
      </c>
      <c r="G61" s="73">
        <f t="shared" si="2"/>
        <v>83.294999999999987</v>
      </c>
      <c r="H61" s="78">
        <f t="shared" si="3"/>
        <v>0.62053937271846826</v>
      </c>
    </row>
    <row r="62" spans="2:8" ht="15.75" customHeight="1" x14ac:dyDescent="0.25">
      <c r="B62" s="48" t="s">
        <v>112</v>
      </c>
      <c r="C62" s="73">
        <v>2514</v>
      </c>
      <c r="D62" s="73">
        <f t="shared" si="4"/>
        <v>191.64999999999998</v>
      </c>
      <c r="E62" s="73">
        <f t="shared" si="0"/>
        <v>2322.35</v>
      </c>
      <c r="F62" s="73">
        <f t="shared" si="1"/>
        <v>5393309.5225</v>
      </c>
      <c r="G62" s="73">
        <f t="shared" si="2"/>
        <v>2322.35</v>
      </c>
      <c r="H62" s="78">
        <f t="shared" si="3"/>
        <v>0.92376690533015116</v>
      </c>
    </row>
    <row r="63" spans="2:8" ht="15.75" customHeight="1" x14ac:dyDescent="0.25">
      <c r="B63" s="48" t="s">
        <v>113</v>
      </c>
      <c r="C63" s="73">
        <v>156.94999999999999</v>
      </c>
      <c r="D63" s="73">
        <f t="shared" si="4"/>
        <v>754.47249999999997</v>
      </c>
      <c r="E63" s="73">
        <f t="shared" si="0"/>
        <v>-597.52250000000004</v>
      </c>
      <c r="F63" s="73">
        <f t="shared" si="1"/>
        <v>357033.13800625002</v>
      </c>
      <c r="G63" s="73">
        <f t="shared" si="2"/>
        <v>597.52250000000004</v>
      </c>
      <c r="H63" s="78">
        <f t="shared" si="3"/>
        <v>3.8070882446639063</v>
      </c>
    </row>
    <row r="64" spans="2:8" ht="15.75" customHeight="1" x14ac:dyDescent="0.25">
      <c r="B64" s="48" t="s">
        <v>114</v>
      </c>
      <c r="C64" s="73">
        <v>149.72</v>
      </c>
      <c r="D64" s="73">
        <f t="shared" si="4"/>
        <v>740.53249999999991</v>
      </c>
      <c r="E64" s="73">
        <f t="shared" si="0"/>
        <v>-590.81249999999989</v>
      </c>
      <c r="F64" s="73">
        <f t="shared" si="1"/>
        <v>349059.41015624988</v>
      </c>
      <c r="G64" s="73">
        <f t="shared" si="2"/>
        <v>590.81249999999989</v>
      </c>
      <c r="H64" s="78">
        <f t="shared" si="3"/>
        <v>3.9461160833555962</v>
      </c>
    </row>
    <row r="65" spans="1:13" ht="15.75" customHeight="1" x14ac:dyDescent="0.25">
      <c r="B65" s="48" t="s">
        <v>115</v>
      </c>
      <c r="C65" s="73">
        <v>139.84</v>
      </c>
      <c r="D65" s="73">
        <f t="shared" si="4"/>
        <v>738.72499999999991</v>
      </c>
      <c r="E65" s="73">
        <f t="shared" si="0"/>
        <v>-598.88499999999988</v>
      </c>
      <c r="F65" s="73">
        <f t="shared" si="1"/>
        <v>358663.24322499987</v>
      </c>
      <c r="G65" s="73">
        <f t="shared" si="2"/>
        <v>598.88499999999988</v>
      </c>
      <c r="H65" s="78">
        <f t="shared" si="3"/>
        <v>4.2826444508009143</v>
      </c>
    </row>
    <row r="66" spans="1:13" ht="15.75" customHeight="1" x14ac:dyDescent="0.25">
      <c r="B66" s="48" t="s">
        <v>116</v>
      </c>
      <c r="C66" s="73">
        <v>183.79</v>
      </c>
      <c r="D66" s="73">
        <f t="shared" si="4"/>
        <v>740.12749999999994</v>
      </c>
      <c r="E66" s="73">
        <f t="shared" si="0"/>
        <v>-556.33749999999998</v>
      </c>
      <c r="F66" s="73">
        <f t="shared" si="1"/>
        <v>309511.41390624997</v>
      </c>
      <c r="G66" s="73">
        <f t="shared" si="2"/>
        <v>556.33749999999998</v>
      </c>
      <c r="H66" s="78">
        <f t="shared" si="3"/>
        <v>3.0270281299308994</v>
      </c>
    </row>
    <row r="67" spans="1:13" ht="15.75" customHeight="1" x14ac:dyDescent="0.25">
      <c r="B67" s="48" t="s">
        <v>117</v>
      </c>
      <c r="C67" s="73">
        <v>177.8</v>
      </c>
      <c r="D67" s="73">
        <f t="shared" si="4"/>
        <v>157.57499999999999</v>
      </c>
      <c r="E67" s="73">
        <f t="shared" si="0"/>
        <v>20.225000000000023</v>
      </c>
      <c r="F67" s="73">
        <f t="shared" si="1"/>
        <v>409.05062500000093</v>
      </c>
      <c r="G67" s="73">
        <f t="shared" si="2"/>
        <v>20.225000000000023</v>
      </c>
      <c r="H67" s="78">
        <f t="shared" si="3"/>
        <v>0.11375140607424084</v>
      </c>
    </row>
    <row r="68" spans="1:13" ht="15.75" customHeight="1" x14ac:dyDescent="0.25">
      <c r="B68" s="48" t="s">
        <v>118</v>
      </c>
      <c r="C68" s="73">
        <v>231.74</v>
      </c>
      <c r="D68" s="73">
        <f t="shared" si="4"/>
        <v>162.78750000000002</v>
      </c>
      <c r="E68" s="73">
        <f t="shared" si="0"/>
        <v>68.952499999999986</v>
      </c>
      <c r="F68" s="73">
        <f t="shared" si="1"/>
        <v>4754.4472562499977</v>
      </c>
      <c r="G68" s="73">
        <f t="shared" si="2"/>
        <v>68.952499999999986</v>
      </c>
      <c r="H68" s="78">
        <f t="shared" si="3"/>
        <v>0.29754250453093978</v>
      </c>
    </row>
    <row r="69" spans="1:13" ht="15.75" customHeight="1" x14ac:dyDescent="0.25">
      <c r="B69" s="48" t="s">
        <v>119</v>
      </c>
      <c r="C69" s="73">
        <v>234.74</v>
      </c>
      <c r="D69" s="73">
        <f t="shared" si="4"/>
        <v>183.29250000000002</v>
      </c>
      <c r="E69" s="73">
        <f t="shared" si="0"/>
        <v>51.447499999999991</v>
      </c>
      <c r="F69" s="73">
        <f t="shared" si="1"/>
        <v>2646.8452562499992</v>
      </c>
      <c r="G69" s="73">
        <f t="shared" si="2"/>
        <v>51.447499999999991</v>
      </c>
      <c r="H69" s="78">
        <f t="shared" si="3"/>
        <v>0.21916801567691913</v>
      </c>
    </row>
    <row r="70" spans="1:13" ht="15.75" customHeight="1" x14ac:dyDescent="0.25">
      <c r="B70" s="48" t="s">
        <v>120</v>
      </c>
      <c r="C70" s="73">
        <v>241.73</v>
      </c>
      <c r="D70" s="73">
        <f t="shared" si="4"/>
        <v>207.01750000000001</v>
      </c>
      <c r="E70" s="73">
        <f t="shared" si="0"/>
        <v>34.712499999999977</v>
      </c>
      <c r="F70" s="73">
        <f t="shared" si="1"/>
        <v>1204.9576562499983</v>
      </c>
      <c r="G70" s="73">
        <f t="shared" si="2"/>
        <v>34.712499999999977</v>
      </c>
      <c r="H70" s="78">
        <f t="shared" si="3"/>
        <v>0.14360029785297634</v>
      </c>
      <c r="M70" s="16"/>
    </row>
    <row r="71" spans="1:13" ht="15.75" customHeight="1" x14ac:dyDescent="0.3">
      <c r="B71" s="66" t="s">
        <v>20</v>
      </c>
      <c r="C71" s="48"/>
      <c r="D71" s="108"/>
      <c r="E71" s="73">
        <f>AVERAGE(E39:E70)</f>
        <v>5.2454427083333393</v>
      </c>
      <c r="F71" s="73">
        <f>AVERAGE(F39:F70)</f>
        <v>213703.28469845926</v>
      </c>
      <c r="G71" s="73">
        <f>AVERAGE(G39:G70)</f>
        <v>181.33763020833334</v>
      </c>
      <c r="H71" s="78">
        <f>AVERAGE(H39:H70)</f>
        <v>0.69114051828253587</v>
      </c>
      <c r="M71" s="16"/>
    </row>
    <row r="72" spans="1:13" ht="15.5" customHeight="1" x14ac:dyDescent="0.3">
      <c r="B72" s="103"/>
      <c r="C72" s="77"/>
      <c r="D72" s="104"/>
      <c r="E72" s="105"/>
      <c r="F72" s="105"/>
      <c r="G72" s="105"/>
      <c r="H72" s="106"/>
      <c r="M72" s="16"/>
    </row>
    <row r="73" spans="1:13" ht="15.75" customHeight="1" x14ac:dyDescent="0.3">
      <c r="B73" s="145" t="s">
        <v>121</v>
      </c>
      <c r="C73" s="145"/>
      <c r="D73" s="145"/>
      <c r="E73" s="145"/>
      <c r="F73" s="145"/>
      <c r="G73" s="145"/>
      <c r="H73" s="145"/>
    </row>
    <row r="74" spans="1:13" ht="15.75" customHeight="1" x14ac:dyDescent="0.3">
      <c r="A74" s="115"/>
      <c r="B74" s="116" t="s">
        <v>64</v>
      </c>
      <c r="C74" s="116" t="s">
        <v>19</v>
      </c>
      <c r="D74" s="116" t="s">
        <v>85</v>
      </c>
      <c r="E74" s="80" t="s">
        <v>12</v>
      </c>
      <c r="F74" s="116" t="s">
        <v>122</v>
      </c>
      <c r="G74" s="116" t="s">
        <v>13</v>
      </c>
      <c r="H74" s="116" t="s">
        <v>88</v>
      </c>
      <c r="I74" s="116" t="s">
        <v>123</v>
      </c>
      <c r="J74" s="116" t="s">
        <v>124</v>
      </c>
      <c r="K74" s="116" t="s">
        <v>57</v>
      </c>
      <c r="L74" s="116" t="s">
        <v>68</v>
      </c>
    </row>
    <row r="75" spans="1:13" ht="15.75" customHeight="1" x14ac:dyDescent="0.25">
      <c r="A75" s="48"/>
      <c r="B75" s="48" t="s">
        <v>89</v>
      </c>
      <c r="C75" s="73">
        <v>242.65</v>
      </c>
      <c r="D75" s="111"/>
      <c r="E75" s="111"/>
      <c r="F75" s="111"/>
      <c r="G75" s="111"/>
      <c r="H75" s="112"/>
      <c r="I75" s="112"/>
      <c r="J75" s="112"/>
      <c r="K75" s="112"/>
      <c r="L75" s="112"/>
    </row>
    <row r="76" spans="1:13" ht="15.75" customHeight="1" x14ac:dyDescent="0.25">
      <c r="A76" s="48"/>
      <c r="B76" s="48" t="s">
        <v>125</v>
      </c>
      <c r="C76" s="73">
        <v>178.63</v>
      </c>
      <c r="D76" s="111"/>
      <c r="E76" s="111"/>
      <c r="F76" s="111"/>
      <c r="G76" s="111"/>
      <c r="H76" s="112"/>
      <c r="I76" s="112"/>
      <c r="J76" s="112"/>
      <c r="K76" s="112"/>
      <c r="L76" s="112"/>
    </row>
    <row r="77" spans="1:13" ht="15.75" customHeight="1" x14ac:dyDescent="0.25">
      <c r="A77" s="48"/>
      <c r="B77" s="48" t="s">
        <v>126</v>
      </c>
      <c r="C77" s="73">
        <v>152.82</v>
      </c>
      <c r="D77" s="111"/>
      <c r="E77" s="111"/>
      <c r="F77" s="111"/>
      <c r="G77" s="111"/>
      <c r="H77" s="112"/>
      <c r="I77" s="112"/>
      <c r="J77" s="112"/>
      <c r="K77" s="112"/>
      <c r="L77" s="112"/>
    </row>
    <row r="78" spans="1:13" ht="15.75" customHeight="1" x14ac:dyDescent="0.25">
      <c r="A78" s="48"/>
      <c r="B78" s="48" t="s">
        <v>90</v>
      </c>
      <c r="C78" s="73">
        <v>130.1</v>
      </c>
      <c r="D78" s="111"/>
      <c r="E78" s="111"/>
      <c r="F78" s="111"/>
      <c r="G78" s="111"/>
      <c r="H78" s="112"/>
      <c r="I78" s="112"/>
      <c r="J78" s="112"/>
      <c r="K78" s="112"/>
      <c r="L78" s="112"/>
    </row>
    <row r="79" spans="1:13" ht="15.75" customHeight="1" x14ac:dyDescent="0.25">
      <c r="A79" s="48"/>
      <c r="B79" s="48" t="s">
        <v>127</v>
      </c>
      <c r="C79" s="73">
        <v>179.67</v>
      </c>
      <c r="D79" s="111"/>
      <c r="E79" s="111"/>
      <c r="F79" s="111"/>
      <c r="G79" s="111"/>
      <c r="H79" s="112"/>
      <c r="I79" s="112"/>
      <c r="J79" s="112"/>
      <c r="K79" s="112"/>
      <c r="L79" s="112"/>
    </row>
    <row r="80" spans="1:13" ht="15.75" customHeight="1" x14ac:dyDescent="0.25">
      <c r="A80" s="48"/>
      <c r="B80" s="48" t="s">
        <v>128</v>
      </c>
      <c r="C80" s="73">
        <v>171.41</v>
      </c>
      <c r="D80" s="111"/>
      <c r="E80" s="111"/>
      <c r="F80" s="111"/>
      <c r="G80" s="111"/>
      <c r="H80" s="112"/>
      <c r="I80" s="112"/>
      <c r="J80" s="112"/>
      <c r="K80" s="112"/>
      <c r="L80" s="112"/>
    </row>
    <row r="81" spans="1:13" ht="15.75" customHeight="1" x14ac:dyDescent="0.3">
      <c r="A81" s="50" t="s">
        <v>129</v>
      </c>
      <c r="B81" s="48" t="s">
        <v>91</v>
      </c>
      <c r="C81" s="73">
        <v>177.58</v>
      </c>
      <c r="D81" s="111"/>
      <c r="E81" s="111"/>
      <c r="F81" s="111"/>
      <c r="G81" s="111"/>
      <c r="H81" s="112"/>
      <c r="I81" s="111">
        <f>AVERAGE(C75:C86)</f>
        <v>204.04249999999999</v>
      </c>
      <c r="J81" s="111">
        <f>AVERAGE(I81:I82)</f>
        <v>203.82750000000001</v>
      </c>
      <c r="K81" s="111">
        <f>C81/J81</f>
        <v>0.87122689529136155</v>
      </c>
      <c r="L81" s="111">
        <f>AVERAGE(K81,K93)</f>
        <v>0.82940611314814161</v>
      </c>
    </row>
    <row r="82" spans="1:13" ht="15.75" customHeight="1" x14ac:dyDescent="0.3">
      <c r="A82" s="50" t="s">
        <v>130</v>
      </c>
      <c r="B82" s="48" t="s">
        <v>92</v>
      </c>
      <c r="C82" s="73">
        <v>209.77</v>
      </c>
      <c r="D82" s="111"/>
      <c r="E82" s="111"/>
      <c r="F82" s="111"/>
      <c r="G82" s="111"/>
      <c r="H82" s="112"/>
      <c r="I82" s="111">
        <f t="shared" ref="I82:I104" si="5">AVERAGE(C76:C87)</f>
        <v>203.61250000000004</v>
      </c>
      <c r="J82" s="111">
        <f t="shared" ref="J82:J104" si="6">AVERAGE(I82:I83)</f>
        <v>203.35458333333338</v>
      </c>
      <c r="K82" s="111">
        <f t="shared" ref="K82:K104" si="7">C82/J82</f>
        <v>1.0315479324906616</v>
      </c>
      <c r="L82" s="111">
        <f>AVERAGE(K82,K93,K104)</f>
        <v>0.73815351918214744</v>
      </c>
    </row>
    <row r="83" spans="1:13" ht="15.75" customHeight="1" x14ac:dyDescent="0.3">
      <c r="A83" s="50" t="s">
        <v>131</v>
      </c>
      <c r="B83" s="48" t="s">
        <v>93</v>
      </c>
      <c r="C83" s="73">
        <v>204.77</v>
      </c>
      <c r="D83" s="111"/>
      <c r="E83" s="111"/>
      <c r="F83" s="111"/>
      <c r="G83" s="111"/>
      <c r="H83" s="112"/>
      <c r="I83" s="111">
        <f t="shared" si="5"/>
        <v>203.09666666666669</v>
      </c>
      <c r="J83" s="111">
        <f t="shared" si="6"/>
        <v>202.32208333333335</v>
      </c>
      <c r="K83" s="111">
        <f t="shared" si="7"/>
        <v>1.0120991076521964</v>
      </c>
      <c r="L83" s="111">
        <f t="shared" ref="L83:L90" si="8">AVERAGE(K83,K95)</f>
        <v>1.0224798856473649</v>
      </c>
    </row>
    <row r="84" spans="1:13" ht="15.75" customHeight="1" x14ac:dyDescent="0.3">
      <c r="A84" s="50" t="s">
        <v>132</v>
      </c>
      <c r="B84" s="48" t="s">
        <v>94</v>
      </c>
      <c r="C84" s="73">
        <v>264.7</v>
      </c>
      <c r="D84" s="111"/>
      <c r="E84" s="111"/>
      <c r="F84" s="111"/>
      <c r="G84" s="111"/>
      <c r="H84" s="112"/>
      <c r="I84" s="111">
        <f t="shared" si="5"/>
        <v>201.54750000000001</v>
      </c>
      <c r="J84" s="111">
        <f t="shared" si="6"/>
        <v>201.37541666666664</v>
      </c>
      <c r="K84" s="111">
        <f t="shared" si="7"/>
        <v>1.3144603466576732</v>
      </c>
      <c r="L84" s="111">
        <f t="shared" si="8"/>
        <v>1.088335880604357</v>
      </c>
    </row>
    <row r="85" spans="1:13" ht="15.75" customHeight="1" x14ac:dyDescent="0.3">
      <c r="A85" s="50" t="s">
        <v>133</v>
      </c>
      <c r="B85" s="48" t="s">
        <v>95</v>
      </c>
      <c r="C85" s="73">
        <v>254.72</v>
      </c>
      <c r="D85" s="111"/>
      <c r="E85" s="111"/>
      <c r="F85" s="111"/>
      <c r="G85" s="111"/>
      <c r="H85" s="112"/>
      <c r="I85" s="111">
        <f t="shared" si="5"/>
        <v>201.20333333333329</v>
      </c>
      <c r="J85" s="111">
        <f t="shared" si="6"/>
        <v>200.64374999999998</v>
      </c>
      <c r="K85" s="111">
        <f t="shared" si="7"/>
        <v>1.2695137526087905</v>
      </c>
      <c r="L85" s="111">
        <f t="shared" si="8"/>
        <v>0.9432871084299288</v>
      </c>
    </row>
    <row r="86" spans="1:13" ht="15.75" customHeight="1" x14ac:dyDescent="0.3">
      <c r="A86" s="50" t="s">
        <v>134</v>
      </c>
      <c r="B86" s="48" t="s">
        <v>96</v>
      </c>
      <c r="C86" s="73">
        <v>281.69</v>
      </c>
      <c r="D86" s="111"/>
      <c r="E86" s="111"/>
      <c r="F86" s="111"/>
      <c r="G86" s="111"/>
      <c r="H86" s="112"/>
      <c r="I86" s="111">
        <f t="shared" si="5"/>
        <v>200.08416666666668</v>
      </c>
      <c r="J86" s="111">
        <f t="shared" si="6"/>
        <v>199.69666666666669</v>
      </c>
      <c r="K86" s="111">
        <f t="shared" si="7"/>
        <v>1.410589393914103</v>
      </c>
      <c r="L86" s="111">
        <f t="shared" si="8"/>
        <v>1.0470457303340723</v>
      </c>
    </row>
    <row r="87" spans="1:13" ht="15.75" customHeight="1" x14ac:dyDescent="0.3">
      <c r="A87" s="50" t="s">
        <v>135</v>
      </c>
      <c r="B87" s="48" t="s">
        <v>97</v>
      </c>
      <c r="C87" s="73">
        <v>237.49</v>
      </c>
      <c r="D87" s="111">
        <f>AVERAGE(C75:C86)</f>
        <v>204.04249999999999</v>
      </c>
      <c r="E87" s="111">
        <f t="shared" ref="E87:E110" si="9">C87-D87</f>
        <v>33.447500000000019</v>
      </c>
      <c r="F87" s="111">
        <f t="shared" ref="F87:F110" si="10">E87^2</f>
        <v>1118.7352562500014</v>
      </c>
      <c r="G87" s="111">
        <f t="shared" ref="G87:G110" si="11">ABS(E87)</f>
        <v>33.447500000000019</v>
      </c>
      <c r="H87" s="113">
        <f>ABS(1-(D87/C87))</f>
        <v>0.14083750894774527</v>
      </c>
      <c r="I87" s="111">
        <f t="shared" si="5"/>
        <v>199.3091666666667</v>
      </c>
      <c r="J87" s="111">
        <f t="shared" si="6"/>
        <v>198.11125000000004</v>
      </c>
      <c r="K87" s="111">
        <f t="shared" si="7"/>
        <v>1.198770892617153</v>
      </c>
      <c r="L87" s="111">
        <f t="shared" si="8"/>
        <v>0.87673589826946408</v>
      </c>
    </row>
    <row r="88" spans="1:13" ht="15.75" customHeight="1" x14ac:dyDescent="0.3">
      <c r="A88" s="50" t="s">
        <v>136</v>
      </c>
      <c r="B88" s="48" t="s">
        <v>98</v>
      </c>
      <c r="C88" s="73">
        <v>172.44</v>
      </c>
      <c r="D88" s="111">
        <f t="shared" ref="D88:D110" si="12">AVERAGE(C76:C87)</f>
        <v>203.61250000000004</v>
      </c>
      <c r="E88" s="111">
        <f t="shared" si="9"/>
        <v>-31.172500000000042</v>
      </c>
      <c r="F88" s="111">
        <f t="shared" si="10"/>
        <v>971.72475625000266</v>
      </c>
      <c r="G88" s="111">
        <f t="shared" si="11"/>
        <v>31.172500000000042</v>
      </c>
      <c r="H88" s="113">
        <f t="shared" ref="H88:H110" si="13">ABS(1-(D88/C88))</f>
        <v>0.18077302250058014</v>
      </c>
      <c r="I88" s="111">
        <f t="shared" si="5"/>
        <v>196.91333333333338</v>
      </c>
      <c r="J88" s="111">
        <f t="shared" si="6"/>
        <v>196.20541666666671</v>
      </c>
      <c r="K88" s="111">
        <f t="shared" si="7"/>
        <v>0.87887481869554207</v>
      </c>
      <c r="L88" s="111">
        <f t="shared" si="8"/>
        <v>0.64448354309481104</v>
      </c>
    </row>
    <row r="89" spans="1:13" ht="15.75" customHeight="1" x14ac:dyDescent="0.3">
      <c r="A89" s="50" t="s">
        <v>137</v>
      </c>
      <c r="B89" s="48" t="s">
        <v>99</v>
      </c>
      <c r="C89" s="73">
        <v>134.22999999999999</v>
      </c>
      <c r="D89" s="111">
        <f t="shared" si="12"/>
        <v>203.09666666666669</v>
      </c>
      <c r="E89" s="111">
        <f t="shared" si="9"/>
        <v>-68.866666666666703</v>
      </c>
      <c r="F89" s="111">
        <f t="shared" si="10"/>
        <v>4742.617777777783</v>
      </c>
      <c r="G89" s="111">
        <f t="shared" si="11"/>
        <v>68.866666666666703</v>
      </c>
      <c r="H89" s="113">
        <f t="shared" si="13"/>
        <v>0.51304974049517038</v>
      </c>
      <c r="I89" s="111">
        <f t="shared" si="5"/>
        <v>195.49750000000003</v>
      </c>
      <c r="J89" s="111">
        <f t="shared" si="6"/>
        <v>194.9979166666667</v>
      </c>
      <c r="K89" s="111">
        <f t="shared" si="7"/>
        <v>0.68836632870009284</v>
      </c>
      <c r="L89" s="111">
        <f t="shared" si="8"/>
        <v>0.52000575682620687</v>
      </c>
    </row>
    <row r="90" spans="1:13" ht="15.75" customHeight="1" x14ac:dyDescent="0.3">
      <c r="A90" s="50" t="s">
        <v>138</v>
      </c>
      <c r="B90" s="48" t="s">
        <v>100</v>
      </c>
      <c r="C90" s="73">
        <v>125.97</v>
      </c>
      <c r="D90" s="111">
        <f t="shared" si="12"/>
        <v>201.54750000000001</v>
      </c>
      <c r="E90" s="111">
        <f t="shared" si="9"/>
        <v>-75.577500000000015</v>
      </c>
      <c r="F90" s="111">
        <f t="shared" si="10"/>
        <v>5711.9585062500018</v>
      </c>
      <c r="G90" s="111">
        <f t="shared" si="11"/>
        <v>75.577500000000015</v>
      </c>
      <c r="H90" s="113">
        <f t="shared" si="13"/>
        <v>0.59996427720885936</v>
      </c>
      <c r="I90" s="111">
        <f t="shared" si="5"/>
        <v>194.49833333333336</v>
      </c>
      <c r="J90" s="111">
        <f t="shared" si="6"/>
        <v>193.74916666666667</v>
      </c>
      <c r="K90" s="111">
        <f t="shared" si="7"/>
        <v>0.65017053836790695</v>
      </c>
      <c r="L90" s="111">
        <f t="shared" si="8"/>
        <v>3.6288792442061846</v>
      </c>
      <c r="M90" s="16"/>
    </row>
    <row r="91" spans="1:13" ht="15.75" customHeight="1" x14ac:dyDescent="0.3">
      <c r="A91" s="50" t="s">
        <v>139</v>
      </c>
      <c r="B91" s="48" t="s">
        <v>101</v>
      </c>
      <c r="C91" s="73">
        <v>166.24</v>
      </c>
      <c r="D91" s="111">
        <f t="shared" si="12"/>
        <v>201.20333333333329</v>
      </c>
      <c r="E91" s="111">
        <f t="shared" si="9"/>
        <v>-34.963333333333281</v>
      </c>
      <c r="F91" s="111">
        <f t="shared" si="10"/>
        <v>1222.4346777777741</v>
      </c>
      <c r="G91" s="111">
        <f t="shared" si="11"/>
        <v>34.963333333333281</v>
      </c>
      <c r="H91" s="113">
        <f t="shared" si="13"/>
        <v>0.21031841514276506</v>
      </c>
      <c r="I91" s="111">
        <f t="shared" si="5"/>
        <v>192.99999999999997</v>
      </c>
      <c r="J91" s="111">
        <f t="shared" si="6"/>
        <v>192.29208333333332</v>
      </c>
      <c r="K91" s="111">
        <f t="shared" si="7"/>
        <v>0.86451817005813647</v>
      </c>
      <c r="L91" s="111">
        <f t="shared" ref="L91:L92" si="14">AVERAGE(K91,K103)</f>
        <v>0.63892293531463829</v>
      </c>
    </row>
    <row r="92" spans="1:13" ht="15.75" customHeight="1" x14ac:dyDescent="0.3">
      <c r="A92" s="50" t="s">
        <v>140</v>
      </c>
      <c r="B92" s="48" t="s">
        <v>102</v>
      </c>
      <c r="C92" s="73">
        <v>162.11000000000001</v>
      </c>
      <c r="D92" s="111">
        <f t="shared" si="12"/>
        <v>200.08416666666668</v>
      </c>
      <c r="E92" s="111">
        <f t="shared" si="9"/>
        <v>-37.974166666666662</v>
      </c>
      <c r="F92" s="111">
        <f t="shared" si="10"/>
        <v>1442.0373340277774</v>
      </c>
      <c r="G92" s="111">
        <f t="shared" si="11"/>
        <v>37.974166666666662</v>
      </c>
      <c r="H92" s="113">
        <f t="shared" si="13"/>
        <v>0.23424937799436596</v>
      </c>
      <c r="I92" s="111">
        <f t="shared" si="5"/>
        <v>191.58416666666665</v>
      </c>
      <c r="J92" s="111">
        <f t="shared" si="6"/>
        <v>190.79333333333329</v>
      </c>
      <c r="K92" s="111">
        <f t="shared" si="7"/>
        <v>0.84966281141898758</v>
      </c>
      <c r="L92" s="111">
        <f t="shared" si="14"/>
        <v>0.62249505273492345</v>
      </c>
    </row>
    <row r="93" spans="1:13" ht="15.75" customHeight="1" x14ac:dyDescent="0.3">
      <c r="A93" s="50" t="s">
        <v>129</v>
      </c>
      <c r="B93" s="48" t="s">
        <v>103</v>
      </c>
      <c r="C93" s="73">
        <v>148.83000000000001</v>
      </c>
      <c r="D93" s="111">
        <f t="shared" si="12"/>
        <v>199.3091666666667</v>
      </c>
      <c r="E93" s="111">
        <f t="shared" si="9"/>
        <v>-50.479166666666686</v>
      </c>
      <c r="F93" s="111">
        <f t="shared" si="10"/>
        <v>2548.1462673611131</v>
      </c>
      <c r="G93" s="111">
        <f t="shared" si="11"/>
        <v>50.479166666666686</v>
      </c>
      <c r="H93" s="113">
        <f t="shared" si="13"/>
        <v>0.3391733297498265</v>
      </c>
      <c r="I93" s="111">
        <f t="shared" si="5"/>
        <v>190.00249999999997</v>
      </c>
      <c r="J93" s="111">
        <f t="shared" si="6"/>
        <v>188.96999999999997</v>
      </c>
      <c r="K93" s="111">
        <f t="shared" si="7"/>
        <v>0.78758533100492156</v>
      </c>
      <c r="L93" s="112"/>
    </row>
    <row r="94" spans="1:13" ht="15.75" customHeight="1" x14ac:dyDescent="0.3">
      <c r="A94" s="50" t="s">
        <v>130</v>
      </c>
      <c r="B94" s="48" t="s">
        <v>104</v>
      </c>
      <c r="C94" s="73">
        <v>192.78</v>
      </c>
      <c r="D94" s="111">
        <f t="shared" si="12"/>
        <v>196.91333333333338</v>
      </c>
      <c r="E94" s="111">
        <f t="shared" si="9"/>
        <v>-4.1333333333333826</v>
      </c>
      <c r="F94" s="111">
        <f t="shared" si="10"/>
        <v>17.084444444444852</v>
      </c>
      <c r="G94" s="111">
        <f t="shared" si="11"/>
        <v>4.1333333333333826</v>
      </c>
      <c r="H94" s="113">
        <f t="shared" si="13"/>
        <v>2.1440675035446555E-2</v>
      </c>
      <c r="I94" s="111">
        <f t="shared" si="5"/>
        <v>187.9375</v>
      </c>
      <c r="J94" s="111">
        <f t="shared" si="6"/>
        <v>187.29208333333332</v>
      </c>
      <c r="K94" s="111">
        <f t="shared" si="7"/>
        <v>1.0293013808645588</v>
      </c>
      <c r="L94" s="112"/>
    </row>
    <row r="95" spans="1:13" ht="15.75" customHeight="1" x14ac:dyDescent="0.3">
      <c r="A95" s="50" t="s">
        <v>131</v>
      </c>
      <c r="B95" s="48" t="s">
        <v>105</v>
      </c>
      <c r="C95" s="73">
        <v>192.78</v>
      </c>
      <c r="D95" s="111">
        <f t="shared" si="12"/>
        <v>195.49750000000003</v>
      </c>
      <c r="E95" s="111">
        <f t="shared" si="9"/>
        <v>-2.7175000000000296</v>
      </c>
      <c r="F95" s="111">
        <f t="shared" si="10"/>
        <v>7.3848062500001603</v>
      </c>
      <c r="G95" s="111">
        <f t="shared" si="11"/>
        <v>2.7175000000000296</v>
      </c>
      <c r="H95" s="113">
        <f t="shared" si="13"/>
        <v>1.4096379292457772E-2</v>
      </c>
      <c r="I95" s="111">
        <f t="shared" si="5"/>
        <v>186.64666666666665</v>
      </c>
      <c r="J95" s="111">
        <f t="shared" si="6"/>
        <v>186.64666666666665</v>
      </c>
      <c r="K95" s="111">
        <f t="shared" si="7"/>
        <v>1.0328606636425333</v>
      </c>
      <c r="L95" s="112"/>
    </row>
    <row r="96" spans="1:13" ht="15.75" customHeight="1" x14ac:dyDescent="0.3">
      <c r="A96" s="50" t="s">
        <v>132</v>
      </c>
      <c r="B96" s="48" t="s">
        <v>106</v>
      </c>
      <c r="C96" s="73">
        <v>246.72</v>
      </c>
      <c r="D96" s="111">
        <f t="shared" si="12"/>
        <v>194.49833333333336</v>
      </c>
      <c r="E96" s="111">
        <f t="shared" si="9"/>
        <v>52.221666666666636</v>
      </c>
      <c r="F96" s="111">
        <f t="shared" si="10"/>
        <v>2727.1024694444413</v>
      </c>
      <c r="G96" s="111">
        <f t="shared" si="11"/>
        <v>52.221666666666636</v>
      </c>
      <c r="H96" s="113">
        <f t="shared" si="13"/>
        <v>0.21166369433635956</v>
      </c>
      <c r="I96" s="111">
        <f t="shared" si="5"/>
        <v>186.64666666666668</v>
      </c>
      <c r="J96" s="111">
        <f t="shared" si="6"/>
        <v>286.14791666666667</v>
      </c>
      <c r="K96" s="111">
        <f t="shared" si="7"/>
        <v>0.86221141455104078</v>
      </c>
      <c r="L96" s="112"/>
    </row>
    <row r="97" spans="1:12" ht="15.75" customHeight="1" x14ac:dyDescent="0.3">
      <c r="A97" s="50" t="s">
        <v>133</v>
      </c>
      <c r="B97" s="48" t="s">
        <v>107</v>
      </c>
      <c r="C97" s="73">
        <v>237.73</v>
      </c>
      <c r="D97" s="111">
        <f t="shared" si="12"/>
        <v>192.99999999999997</v>
      </c>
      <c r="E97" s="111">
        <f t="shared" si="9"/>
        <v>44.730000000000018</v>
      </c>
      <c r="F97" s="111">
        <f t="shared" si="10"/>
        <v>2000.7729000000015</v>
      </c>
      <c r="G97" s="111">
        <f t="shared" si="11"/>
        <v>44.730000000000018</v>
      </c>
      <c r="H97" s="113">
        <f t="shared" si="13"/>
        <v>0.18815462920119475</v>
      </c>
      <c r="I97" s="111">
        <f t="shared" si="5"/>
        <v>385.64916666666664</v>
      </c>
      <c r="J97" s="111">
        <f t="shared" si="6"/>
        <v>385.26208333333329</v>
      </c>
      <c r="K97" s="111">
        <f t="shared" si="7"/>
        <v>0.6170604642510672</v>
      </c>
      <c r="L97" s="112"/>
    </row>
    <row r="98" spans="1:12" ht="15.75" customHeight="1" x14ac:dyDescent="0.3">
      <c r="A98" s="50" t="s">
        <v>134</v>
      </c>
      <c r="B98" s="48" t="s">
        <v>108</v>
      </c>
      <c r="C98" s="73">
        <v>262.70999999999998</v>
      </c>
      <c r="D98" s="111">
        <f t="shared" si="12"/>
        <v>191.58416666666665</v>
      </c>
      <c r="E98" s="111">
        <f t="shared" si="9"/>
        <v>71.125833333333333</v>
      </c>
      <c r="F98" s="111">
        <f t="shared" si="10"/>
        <v>5058.8841673611114</v>
      </c>
      <c r="G98" s="111">
        <f t="shared" si="11"/>
        <v>71.125833333333333</v>
      </c>
      <c r="H98" s="113">
        <f t="shared" si="13"/>
        <v>0.27073896438404832</v>
      </c>
      <c r="I98" s="111">
        <f t="shared" si="5"/>
        <v>384.875</v>
      </c>
      <c r="J98" s="111">
        <f t="shared" si="6"/>
        <v>384.35874999999999</v>
      </c>
      <c r="K98" s="111">
        <f t="shared" si="7"/>
        <v>0.68350206675404157</v>
      </c>
      <c r="L98" s="112"/>
    </row>
    <row r="99" spans="1:12" ht="15.75" customHeight="1" x14ac:dyDescent="0.3">
      <c r="A99" s="50" t="s">
        <v>135</v>
      </c>
      <c r="B99" s="48" t="s">
        <v>109</v>
      </c>
      <c r="C99" s="73">
        <v>212.71</v>
      </c>
      <c r="D99" s="111">
        <f t="shared" si="12"/>
        <v>190.00249999999997</v>
      </c>
      <c r="E99" s="111">
        <f t="shared" si="9"/>
        <v>22.707500000000039</v>
      </c>
      <c r="F99" s="111">
        <f t="shared" si="10"/>
        <v>515.63055625000175</v>
      </c>
      <c r="G99" s="111">
        <f t="shared" si="11"/>
        <v>22.707500000000039</v>
      </c>
      <c r="H99" s="113">
        <f t="shared" si="13"/>
        <v>0.10675332612477095</v>
      </c>
      <c r="I99" s="111">
        <f t="shared" si="5"/>
        <v>383.84250000000003</v>
      </c>
      <c r="J99" s="111">
        <f t="shared" si="6"/>
        <v>383.46791666666672</v>
      </c>
      <c r="K99" s="111">
        <f t="shared" si="7"/>
        <v>0.55470090392177518</v>
      </c>
      <c r="L99" s="112"/>
    </row>
    <row r="100" spans="1:12" ht="15.75" customHeight="1" x14ac:dyDescent="0.3">
      <c r="A100" s="50" t="s">
        <v>136</v>
      </c>
      <c r="B100" s="48" t="s">
        <v>110</v>
      </c>
      <c r="C100" s="73">
        <v>156.94999999999999</v>
      </c>
      <c r="D100" s="111">
        <f t="shared" si="12"/>
        <v>187.9375</v>
      </c>
      <c r="E100" s="111">
        <f t="shared" si="9"/>
        <v>-30.987500000000011</v>
      </c>
      <c r="F100" s="111">
        <f t="shared" si="10"/>
        <v>960.22515625000074</v>
      </c>
      <c r="G100" s="111">
        <f t="shared" si="11"/>
        <v>30.987500000000011</v>
      </c>
      <c r="H100" s="113">
        <f t="shared" si="13"/>
        <v>0.19743548900923868</v>
      </c>
      <c r="I100" s="111">
        <f>AVERAGE(C94:C105)</f>
        <v>383.09333333333342</v>
      </c>
      <c r="J100" s="111">
        <f t="shared" si="6"/>
        <v>382.71875000000006</v>
      </c>
      <c r="K100" s="111">
        <f t="shared" si="7"/>
        <v>0.41009226749408006</v>
      </c>
      <c r="L100" s="112"/>
    </row>
    <row r="101" spans="1:12" ht="15.75" customHeight="1" x14ac:dyDescent="0.3">
      <c r="A101" s="50" t="s">
        <v>137</v>
      </c>
      <c r="B101" s="48" t="s">
        <v>111</v>
      </c>
      <c r="C101" s="73">
        <v>134.22999999999999</v>
      </c>
      <c r="D101" s="111">
        <f t="shared" si="12"/>
        <v>186.64666666666665</v>
      </c>
      <c r="E101" s="111">
        <f t="shared" si="9"/>
        <v>-52.416666666666657</v>
      </c>
      <c r="F101" s="111">
        <f t="shared" si="10"/>
        <v>2747.5069444444434</v>
      </c>
      <c r="G101" s="111">
        <f t="shared" si="11"/>
        <v>52.416666666666657</v>
      </c>
      <c r="H101" s="113">
        <f t="shared" si="13"/>
        <v>0.39049889493158507</v>
      </c>
      <c r="I101" s="111">
        <f t="shared" si="5"/>
        <v>382.34416666666669</v>
      </c>
      <c r="J101" s="111">
        <f t="shared" si="6"/>
        <v>381.72</v>
      </c>
      <c r="K101" s="111">
        <f t="shared" si="7"/>
        <v>0.351645184952321</v>
      </c>
      <c r="L101" s="112"/>
    </row>
    <row r="102" spans="1:12" ht="15.75" customHeight="1" x14ac:dyDescent="0.3">
      <c r="A102" s="50" t="s">
        <v>138</v>
      </c>
      <c r="B102" s="48" t="s">
        <v>112</v>
      </c>
      <c r="C102" s="73">
        <v>2514</v>
      </c>
      <c r="D102" s="111">
        <f t="shared" si="12"/>
        <v>186.64666666666668</v>
      </c>
      <c r="E102" s="111">
        <f t="shared" si="9"/>
        <v>2327.3533333333335</v>
      </c>
      <c r="F102" s="111">
        <f t="shared" si="10"/>
        <v>5416573.538177778</v>
      </c>
      <c r="G102" s="111">
        <f t="shared" si="11"/>
        <v>2327.3533333333335</v>
      </c>
      <c r="H102" s="113">
        <f t="shared" si="13"/>
        <v>0.92575709360912228</v>
      </c>
      <c r="I102" s="111">
        <f t="shared" si="5"/>
        <v>381.0958333333333</v>
      </c>
      <c r="J102" s="111">
        <f t="shared" si="6"/>
        <v>380.47166666666669</v>
      </c>
      <c r="K102" s="111">
        <f>C102/J102</f>
        <v>6.6075879500444623</v>
      </c>
      <c r="L102" s="112"/>
    </row>
    <row r="103" spans="1:12" ht="15.75" customHeight="1" x14ac:dyDescent="0.3">
      <c r="A103" s="50" t="s">
        <v>139</v>
      </c>
      <c r="B103" s="48" t="s">
        <v>113</v>
      </c>
      <c r="C103" s="73">
        <v>156.94999999999999</v>
      </c>
      <c r="D103" s="111">
        <f t="shared" si="12"/>
        <v>385.64916666666664</v>
      </c>
      <c r="E103" s="111">
        <f t="shared" si="9"/>
        <v>-228.69916666666666</v>
      </c>
      <c r="F103" s="111">
        <f t="shared" si="10"/>
        <v>52303.308834027775</v>
      </c>
      <c r="G103" s="111">
        <f t="shared" si="11"/>
        <v>228.69916666666666</v>
      </c>
      <c r="H103" s="113">
        <f t="shared" si="13"/>
        <v>1.4571466496761176</v>
      </c>
      <c r="I103" s="111">
        <f t="shared" si="5"/>
        <v>379.84750000000003</v>
      </c>
      <c r="J103" s="111">
        <f t="shared" si="6"/>
        <v>379.72291666666666</v>
      </c>
      <c r="K103" s="111">
        <f t="shared" si="7"/>
        <v>0.4133277005711401</v>
      </c>
      <c r="L103" s="112"/>
    </row>
    <row r="104" spans="1:12" ht="15.75" customHeight="1" x14ac:dyDescent="0.3">
      <c r="A104" s="50" t="s">
        <v>74</v>
      </c>
      <c r="B104" s="48" t="s">
        <v>114</v>
      </c>
      <c r="C104" s="73">
        <v>149.72</v>
      </c>
      <c r="D104" s="111">
        <f t="shared" si="12"/>
        <v>384.875</v>
      </c>
      <c r="E104" s="111">
        <f t="shared" si="9"/>
        <v>-235.155</v>
      </c>
      <c r="F104" s="111">
        <f t="shared" si="10"/>
        <v>55297.874024999997</v>
      </c>
      <c r="G104" s="111">
        <f t="shared" si="11"/>
        <v>235.155</v>
      </c>
      <c r="H104" s="113">
        <f t="shared" si="13"/>
        <v>1.570631846112744</v>
      </c>
      <c r="I104" s="111">
        <f t="shared" si="5"/>
        <v>379.5983333333333</v>
      </c>
      <c r="J104" s="111">
        <f t="shared" si="6"/>
        <v>378.72416666666663</v>
      </c>
      <c r="K104" s="111">
        <f t="shared" si="7"/>
        <v>0.39532729405085937</v>
      </c>
      <c r="L104" s="112"/>
    </row>
    <row r="105" spans="1:12" ht="15.75" customHeight="1" x14ac:dyDescent="0.25">
      <c r="A105" s="48"/>
      <c r="B105" s="48" t="s">
        <v>115</v>
      </c>
      <c r="C105" s="73">
        <v>139.84</v>
      </c>
      <c r="D105" s="111">
        <f t="shared" si="12"/>
        <v>383.84250000000003</v>
      </c>
      <c r="E105" s="111">
        <f t="shared" si="9"/>
        <v>-244.00250000000003</v>
      </c>
      <c r="F105" s="111">
        <f t="shared" si="10"/>
        <v>59537.220006250012</v>
      </c>
      <c r="G105" s="111">
        <f t="shared" si="11"/>
        <v>244.00250000000003</v>
      </c>
      <c r="H105" s="113">
        <f t="shared" si="13"/>
        <v>1.7448691361556063</v>
      </c>
      <c r="I105" s="111">
        <f>AVERAGE(C99:C110)</f>
        <v>377.84999999999991</v>
      </c>
      <c r="J105" s="111"/>
      <c r="K105" s="112"/>
      <c r="L105" s="112"/>
    </row>
    <row r="106" spans="1:12" ht="15.75" customHeight="1" x14ac:dyDescent="0.25">
      <c r="A106" s="48"/>
      <c r="B106" s="48" t="s">
        <v>116</v>
      </c>
      <c r="C106" s="73">
        <v>183.79</v>
      </c>
      <c r="D106" s="111">
        <f t="shared" si="12"/>
        <v>383.09333333333342</v>
      </c>
      <c r="E106" s="111">
        <f t="shared" si="9"/>
        <v>-199.30333333333343</v>
      </c>
      <c r="F106" s="111">
        <f t="shared" si="10"/>
        <v>39721.818677777817</v>
      </c>
      <c r="G106" s="111">
        <f t="shared" si="11"/>
        <v>199.30333333333343</v>
      </c>
      <c r="H106" s="113">
        <f t="shared" si="13"/>
        <v>1.0844079293396454</v>
      </c>
      <c r="I106" s="111"/>
      <c r="J106" s="112"/>
      <c r="K106" s="112"/>
      <c r="L106" s="112"/>
    </row>
    <row r="107" spans="1:12" ht="15.75" customHeight="1" x14ac:dyDescent="0.25">
      <c r="A107" s="48"/>
      <c r="B107" s="48" t="s">
        <v>117</v>
      </c>
      <c r="C107" s="73">
        <v>177.8</v>
      </c>
      <c r="D107" s="111">
        <f t="shared" si="12"/>
        <v>382.34416666666669</v>
      </c>
      <c r="E107" s="111">
        <f t="shared" si="9"/>
        <v>-204.54416666666668</v>
      </c>
      <c r="F107" s="111">
        <f t="shared" si="10"/>
        <v>41838.316117361115</v>
      </c>
      <c r="G107" s="111">
        <f t="shared" si="11"/>
        <v>204.54416666666668</v>
      </c>
      <c r="H107" s="113">
        <f t="shared" si="13"/>
        <v>1.1504171353580803</v>
      </c>
      <c r="I107" s="111"/>
      <c r="J107" s="112"/>
      <c r="K107" s="112"/>
      <c r="L107" s="112"/>
    </row>
    <row r="108" spans="1:12" ht="15.75" customHeight="1" x14ac:dyDescent="0.25">
      <c r="A108" s="48"/>
      <c r="B108" s="48" t="s">
        <v>118</v>
      </c>
      <c r="C108" s="73">
        <v>231.74</v>
      </c>
      <c r="D108" s="111">
        <f t="shared" si="12"/>
        <v>381.0958333333333</v>
      </c>
      <c r="E108" s="111">
        <f t="shared" si="9"/>
        <v>-149.35583333333329</v>
      </c>
      <c r="F108" s="111">
        <f t="shared" si="10"/>
        <v>22307.164950694434</v>
      </c>
      <c r="G108" s="111">
        <f t="shared" si="11"/>
        <v>149.35583333333329</v>
      </c>
      <c r="H108" s="113">
        <f t="shared" si="13"/>
        <v>0.64449742527545228</v>
      </c>
      <c r="I108" s="111"/>
      <c r="J108" s="112"/>
      <c r="K108" s="112"/>
      <c r="L108" s="112"/>
    </row>
    <row r="109" spans="1:12" ht="15.75" customHeight="1" x14ac:dyDescent="0.25">
      <c r="A109" s="48"/>
      <c r="B109" s="48" t="s">
        <v>119</v>
      </c>
      <c r="C109" s="73">
        <v>234.74</v>
      </c>
      <c r="D109" s="111">
        <f t="shared" si="12"/>
        <v>379.84750000000003</v>
      </c>
      <c r="E109" s="111">
        <f t="shared" si="9"/>
        <v>-145.10750000000002</v>
      </c>
      <c r="F109" s="111">
        <f t="shared" si="10"/>
        <v>21056.186556250006</v>
      </c>
      <c r="G109" s="111">
        <f t="shared" si="11"/>
        <v>145.10750000000002</v>
      </c>
      <c r="H109" s="113">
        <f t="shared" si="13"/>
        <v>0.61816264803612508</v>
      </c>
      <c r="I109" s="111"/>
      <c r="J109" s="112"/>
      <c r="K109" s="112"/>
      <c r="L109" s="112"/>
    </row>
    <row r="110" spans="1:12" ht="15.75" customHeight="1" x14ac:dyDescent="0.25">
      <c r="A110" s="48"/>
      <c r="B110" s="48" t="s">
        <v>120</v>
      </c>
      <c r="C110" s="73">
        <v>241.73</v>
      </c>
      <c r="D110" s="111">
        <f t="shared" si="12"/>
        <v>379.5983333333333</v>
      </c>
      <c r="E110" s="111">
        <f t="shared" si="9"/>
        <v>-137.86833333333331</v>
      </c>
      <c r="F110" s="111">
        <f t="shared" si="10"/>
        <v>19007.677336111105</v>
      </c>
      <c r="G110" s="111">
        <f t="shared" si="11"/>
        <v>137.86833333333331</v>
      </c>
      <c r="H110" s="113">
        <f t="shared" si="13"/>
        <v>0.57034018670968978</v>
      </c>
      <c r="I110" s="111"/>
      <c r="J110" s="112"/>
      <c r="K110" s="112"/>
      <c r="L110" s="112"/>
    </row>
    <row r="111" spans="1:12" ht="15.75" customHeight="1" x14ac:dyDescent="0.3">
      <c r="A111" s="48"/>
      <c r="B111" s="66" t="s">
        <v>20</v>
      </c>
      <c r="C111" s="48"/>
      <c r="D111" s="114"/>
      <c r="E111" s="111">
        <f>AVERAGE(E87:E110)</f>
        <v>25.760902777777773</v>
      </c>
      <c r="F111" s="111">
        <f>AVERAGE(F87:F110)</f>
        <v>239976.4729458912</v>
      </c>
      <c r="G111" s="111">
        <f>AVERAGE(G87:G110)</f>
        <v>186.87125</v>
      </c>
      <c r="H111" s="113">
        <f>AVERAGE(H87:H110)</f>
        <v>0.55772407394279144</v>
      </c>
      <c r="I111" s="112"/>
      <c r="J111" s="112"/>
      <c r="K111" s="112"/>
      <c r="L111" s="112"/>
    </row>
    <row r="112" spans="1:12" ht="15.75" customHeight="1" x14ac:dyDescent="0.3">
      <c r="B112" s="33" t="s">
        <v>141</v>
      </c>
    </row>
    <row r="113" spans="2:9" ht="15.75" customHeight="1" x14ac:dyDescent="0.25">
      <c r="B113" s="35"/>
    </row>
    <row r="114" spans="2:9" ht="15.75" customHeight="1" x14ac:dyDescent="0.25">
      <c r="H114" s="115" t="s">
        <v>142</v>
      </c>
      <c r="I114" s="118">
        <f>INTERCEPT(E148:E183,B148:B183)</f>
        <v>151.183619047619</v>
      </c>
    </row>
    <row r="115" spans="2:9" ht="15.75" customHeight="1" x14ac:dyDescent="0.25">
      <c r="H115" s="115" t="s">
        <v>143</v>
      </c>
      <c r="I115" s="118">
        <f>SLOPE(E148:E183,B148:B183)</f>
        <v>5.7359305019305022</v>
      </c>
    </row>
    <row r="147" spans="2:10" ht="15.75" customHeight="1" x14ac:dyDescent="0.3">
      <c r="B147" s="119" t="s">
        <v>144</v>
      </c>
      <c r="C147" s="119" t="s">
        <v>64</v>
      </c>
      <c r="D147" s="119" t="s">
        <v>23</v>
      </c>
      <c r="E147" s="119" t="s">
        <v>19</v>
      </c>
      <c r="F147" s="119" t="s">
        <v>68</v>
      </c>
      <c r="G147" s="119" t="s">
        <v>145</v>
      </c>
      <c r="H147" s="119" t="s">
        <v>146</v>
      </c>
      <c r="I147" s="120" t="s">
        <v>147</v>
      </c>
      <c r="J147" s="117"/>
    </row>
    <row r="148" spans="2:10" ht="15.75" customHeight="1" x14ac:dyDescent="0.25">
      <c r="B148" s="12">
        <v>1</v>
      </c>
      <c r="C148" s="12" t="s">
        <v>69</v>
      </c>
      <c r="D148" s="12">
        <v>2011</v>
      </c>
      <c r="E148" s="13">
        <f t="shared" ref="E148:E183" si="15">C75</f>
        <v>242.65</v>
      </c>
      <c r="F148" s="13">
        <f t="shared" ref="F148:F153" si="16">L87</f>
        <v>0.87673589826946408</v>
      </c>
      <c r="G148" s="13">
        <f t="shared" ref="G148:G183" si="17">E148*F148</f>
        <v>212.73996571508548</v>
      </c>
      <c r="H148" s="37">
        <f t="shared" ref="H148:H195" si="18">$I$114+$I$115*B148</f>
        <v>156.91954954954952</v>
      </c>
      <c r="I148" s="13">
        <f t="shared" ref="I148:I195" si="19">H148*F148</f>
        <v>137.57700223036397</v>
      </c>
    </row>
    <row r="149" spans="2:10" ht="15.75" customHeight="1" x14ac:dyDescent="0.25">
      <c r="B149" s="12">
        <v>2</v>
      </c>
      <c r="C149" s="12" t="s">
        <v>136</v>
      </c>
      <c r="D149" s="12">
        <v>2011</v>
      </c>
      <c r="E149" s="13">
        <f t="shared" si="15"/>
        <v>178.63</v>
      </c>
      <c r="F149" s="13">
        <f t="shared" si="16"/>
        <v>0.64448354309481104</v>
      </c>
      <c r="G149" s="13">
        <f t="shared" si="17"/>
        <v>115.1240953030261</v>
      </c>
      <c r="H149" s="37">
        <f t="shared" si="18"/>
        <v>162.65548005148</v>
      </c>
      <c r="I149" s="13">
        <f t="shared" si="19"/>
        <v>104.82878008736519</v>
      </c>
    </row>
    <row r="150" spans="2:10" ht="15.75" customHeight="1" x14ac:dyDescent="0.25">
      <c r="B150" s="12">
        <v>3</v>
      </c>
      <c r="C150" s="12" t="s">
        <v>137</v>
      </c>
      <c r="D150" s="12">
        <v>2011</v>
      </c>
      <c r="E150" s="13">
        <f t="shared" si="15"/>
        <v>152.82</v>
      </c>
      <c r="F150" s="13">
        <f t="shared" si="16"/>
        <v>0.52000575682620687</v>
      </c>
      <c r="G150" s="13">
        <f t="shared" si="17"/>
        <v>79.467279758180936</v>
      </c>
      <c r="H150" s="37">
        <f t="shared" si="18"/>
        <v>168.39141055341051</v>
      </c>
      <c r="I150" s="13">
        <f t="shared" si="19"/>
        <v>87.564502887858751</v>
      </c>
    </row>
    <row r="151" spans="2:10" ht="15.75" customHeight="1" x14ac:dyDescent="0.25">
      <c r="B151" s="12">
        <v>4</v>
      </c>
      <c r="C151" s="12" t="s">
        <v>138</v>
      </c>
      <c r="D151" s="12">
        <v>2011</v>
      </c>
      <c r="E151" s="13">
        <f t="shared" si="15"/>
        <v>130.1</v>
      </c>
      <c r="F151" s="13">
        <f t="shared" si="16"/>
        <v>3.6288792442061846</v>
      </c>
      <c r="G151" s="13">
        <f t="shared" si="17"/>
        <v>472.11718967122459</v>
      </c>
      <c r="H151" s="37">
        <f t="shared" si="18"/>
        <v>174.12734105534102</v>
      </c>
      <c r="I151" s="13">
        <f t="shared" si="19"/>
        <v>631.88709380453849</v>
      </c>
    </row>
    <row r="152" spans="2:10" ht="15.75" customHeight="1" x14ac:dyDescent="0.25">
      <c r="B152" s="12">
        <v>5</v>
      </c>
      <c r="C152" s="12" t="s">
        <v>139</v>
      </c>
      <c r="D152" s="12">
        <v>2011</v>
      </c>
      <c r="E152" s="13">
        <f t="shared" si="15"/>
        <v>179.67</v>
      </c>
      <c r="F152" s="13">
        <f t="shared" si="16"/>
        <v>0.63892293531463829</v>
      </c>
      <c r="G152" s="13">
        <f t="shared" si="17"/>
        <v>114.79528378798105</v>
      </c>
      <c r="H152" s="37">
        <f t="shared" si="18"/>
        <v>179.8632715572715</v>
      </c>
      <c r="I152" s="13">
        <f t="shared" si="19"/>
        <v>114.9187694186658</v>
      </c>
    </row>
    <row r="153" spans="2:10" ht="15.75" customHeight="1" x14ac:dyDescent="0.25">
      <c r="B153" s="12">
        <v>6</v>
      </c>
      <c r="C153" s="12" t="s">
        <v>140</v>
      </c>
      <c r="D153" s="12">
        <v>2011</v>
      </c>
      <c r="E153" s="13">
        <f t="shared" si="15"/>
        <v>171.41</v>
      </c>
      <c r="F153" s="13">
        <f t="shared" si="16"/>
        <v>0.62249505273492345</v>
      </c>
      <c r="G153" s="13">
        <f t="shared" si="17"/>
        <v>106.70187698929323</v>
      </c>
      <c r="H153" s="37">
        <f t="shared" si="18"/>
        <v>185.59920205920201</v>
      </c>
      <c r="I153" s="13">
        <f t="shared" si="19"/>
        <v>115.53458507340267</v>
      </c>
    </row>
    <row r="154" spans="2:10" ht="15.75" customHeight="1" x14ac:dyDescent="0.25">
      <c r="B154" s="12">
        <v>7</v>
      </c>
      <c r="C154" s="12" t="s">
        <v>129</v>
      </c>
      <c r="D154" s="12">
        <v>2011</v>
      </c>
      <c r="E154" s="13">
        <f t="shared" si="15"/>
        <v>177.58</v>
      </c>
      <c r="F154" s="13">
        <f t="shared" ref="F154:F159" si="20">L81</f>
        <v>0.82940611314814161</v>
      </c>
      <c r="G154" s="13">
        <f t="shared" si="17"/>
        <v>147.28593757284699</v>
      </c>
      <c r="H154" s="37">
        <f t="shared" si="18"/>
        <v>191.33513256113253</v>
      </c>
      <c r="I154" s="13">
        <f t="shared" si="19"/>
        <v>158.69452860621337</v>
      </c>
    </row>
    <row r="155" spans="2:10" ht="15.75" customHeight="1" x14ac:dyDescent="0.25">
      <c r="B155" s="12">
        <v>8</v>
      </c>
      <c r="C155" s="12" t="s">
        <v>130</v>
      </c>
      <c r="D155" s="12">
        <v>2011</v>
      </c>
      <c r="E155" s="13">
        <f t="shared" si="15"/>
        <v>209.77</v>
      </c>
      <c r="F155" s="13">
        <f t="shared" si="20"/>
        <v>0.73815351918214744</v>
      </c>
      <c r="G155" s="13">
        <f t="shared" si="17"/>
        <v>154.84246371883907</v>
      </c>
      <c r="H155" s="37">
        <f t="shared" si="18"/>
        <v>197.07106306306304</v>
      </c>
      <c r="I155" s="13">
        <f t="shared" si="19"/>
        <v>145.4686987289669</v>
      </c>
    </row>
    <row r="156" spans="2:10" ht="15.75" customHeight="1" x14ac:dyDescent="0.25">
      <c r="B156" s="12">
        <v>9</v>
      </c>
      <c r="C156" s="12" t="s">
        <v>131</v>
      </c>
      <c r="D156" s="12">
        <v>2011</v>
      </c>
      <c r="E156" s="13">
        <f t="shared" si="15"/>
        <v>204.77</v>
      </c>
      <c r="F156" s="13">
        <f t="shared" si="20"/>
        <v>1.0224798856473649</v>
      </c>
      <c r="G156" s="13">
        <f t="shared" si="17"/>
        <v>209.37320618401091</v>
      </c>
      <c r="H156" s="37">
        <f t="shared" si="18"/>
        <v>202.80699356499352</v>
      </c>
      <c r="I156" s="13">
        <f t="shared" si="19"/>
        <v>207.36607158882043</v>
      </c>
    </row>
    <row r="157" spans="2:10" ht="15.75" customHeight="1" x14ac:dyDescent="0.25">
      <c r="B157" s="12">
        <v>10</v>
      </c>
      <c r="C157" s="12" t="s">
        <v>132</v>
      </c>
      <c r="D157" s="12">
        <v>2011</v>
      </c>
      <c r="E157" s="13">
        <f t="shared" si="15"/>
        <v>264.7</v>
      </c>
      <c r="F157" s="13">
        <f t="shared" si="20"/>
        <v>1.088335880604357</v>
      </c>
      <c r="G157" s="13">
        <f t="shared" si="17"/>
        <v>288.08250759597331</v>
      </c>
      <c r="H157" s="37">
        <f t="shared" si="18"/>
        <v>208.54292406692403</v>
      </c>
      <c r="I157" s="13">
        <f t="shared" si="19"/>
        <v>226.96474690818332</v>
      </c>
    </row>
    <row r="158" spans="2:10" ht="15.75" customHeight="1" x14ac:dyDescent="0.25">
      <c r="B158" s="12">
        <v>11</v>
      </c>
      <c r="C158" s="12" t="s">
        <v>133</v>
      </c>
      <c r="D158" s="12">
        <v>2011</v>
      </c>
      <c r="E158" s="13">
        <f t="shared" si="15"/>
        <v>254.72</v>
      </c>
      <c r="F158" s="13">
        <f t="shared" si="20"/>
        <v>0.9432871084299288</v>
      </c>
      <c r="G158" s="13">
        <f t="shared" si="17"/>
        <v>240.27409225927147</v>
      </c>
      <c r="H158" s="37">
        <f t="shared" si="18"/>
        <v>214.27885456885451</v>
      </c>
      <c r="I158" s="13">
        <f t="shared" si="19"/>
        <v>202.12648112393202</v>
      </c>
    </row>
    <row r="159" spans="2:10" ht="15.75" customHeight="1" x14ac:dyDescent="0.25">
      <c r="B159" s="12">
        <v>12</v>
      </c>
      <c r="C159" s="12" t="s">
        <v>134</v>
      </c>
      <c r="D159" s="12">
        <v>2011</v>
      </c>
      <c r="E159" s="13">
        <f t="shared" si="15"/>
        <v>281.69</v>
      </c>
      <c r="F159" s="13">
        <f t="shared" si="20"/>
        <v>1.0470457303340723</v>
      </c>
      <c r="G159" s="13">
        <f t="shared" si="17"/>
        <v>294.94231177780483</v>
      </c>
      <c r="H159" s="37">
        <f t="shared" si="18"/>
        <v>220.01478507078502</v>
      </c>
      <c r="I159" s="13">
        <f t="shared" si="19"/>
        <v>230.36554131873405</v>
      </c>
    </row>
    <row r="160" spans="2:10" ht="15.75" customHeight="1" x14ac:dyDescent="0.25">
      <c r="B160" s="12">
        <v>13</v>
      </c>
      <c r="C160" s="12" t="s">
        <v>69</v>
      </c>
      <c r="D160" s="12">
        <v>2012</v>
      </c>
      <c r="E160" s="13">
        <f t="shared" si="15"/>
        <v>237.49</v>
      </c>
      <c r="F160" s="13">
        <f>F148</f>
        <v>0.87673589826946408</v>
      </c>
      <c r="G160" s="13">
        <f t="shared" si="17"/>
        <v>208.21600848001503</v>
      </c>
      <c r="H160" s="37">
        <f t="shared" si="18"/>
        <v>225.75071557271554</v>
      </c>
      <c r="I160" s="13">
        <f t="shared" si="19"/>
        <v>197.92375640261903</v>
      </c>
    </row>
    <row r="161" spans="2:9" ht="15.75" customHeight="1" x14ac:dyDescent="0.25">
      <c r="B161" s="12">
        <v>14</v>
      </c>
      <c r="C161" s="12" t="s">
        <v>136</v>
      </c>
      <c r="D161" s="12">
        <v>2012</v>
      </c>
      <c r="E161" s="13">
        <f t="shared" si="15"/>
        <v>172.44</v>
      </c>
      <c r="F161" s="13">
        <f t="shared" ref="F161:F171" si="21">F149</f>
        <v>0.64448354309481104</v>
      </c>
      <c r="G161" s="13">
        <f t="shared" si="17"/>
        <v>111.13474217126921</v>
      </c>
      <c r="H161" s="37">
        <f t="shared" si="18"/>
        <v>231.48664607464605</v>
      </c>
      <c r="I161" s="13">
        <f t="shared" si="19"/>
        <v>149.18933384132242</v>
      </c>
    </row>
    <row r="162" spans="2:9" ht="15.75" customHeight="1" x14ac:dyDescent="0.25">
      <c r="B162" s="12">
        <v>15</v>
      </c>
      <c r="C162" s="12" t="s">
        <v>137</v>
      </c>
      <c r="D162" s="12">
        <v>2012</v>
      </c>
      <c r="E162" s="13">
        <f t="shared" si="15"/>
        <v>134.22999999999999</v>
      </c>
      <c r="F162" s="13">
        <f t="shared" si="21"/>
        <v>0.52000575682620687</v>
      </c>
      <c r="G162" s="13">
        <f t="shared" si="17"/>
        <v>69.800372738781746</v>
      </c>
      <c r="H162" s="37">
        <f t="shared" si="18"/>
        <v>237.22257657657656</v>
      </c>
      <c r="I162" s="13">
        <f t="shared" si="19"/>
        <v>123.3571054689655</v>
      </c>
    </row>
    <row r="163" spans="2:9" ht="15.75" customHeight="1" x14ac:dyDescent="0.25">
      <c r="B163" s="12">
        <v>16</v>
      </c>
      <c r="C163" s="12" t="s">
        <v>138</v>
      </c>
      <c r="D163" s="12">
        <v>2012</v>
      </c>
      <c r="E163" s="13">
        <f t="shared" si="15"/>
        <v>125.97</v>
      </c>
      <c r="F163" s="13">
        <f t="shared" si="21"/>
        <v>3.6288792442061846</v>
      </c>
      <c r="G163" s="13">
        <f t="shared" si="17"/>
        <v>457.12991839265305</v>
      </c>
      <c r="H163" s="37">
        <f t="shared" si="18"/>
        <v>242.95850707850704</v>
      </c>
      <c r="I163" s="13">
        <f t="shared" si="19"/>
        <v>881.66708354051559</v>
      </c>
    </row>
    <row r="164" spans="2:9" ht="15.75" customHeight="1" x14ac:dyDescent="0.25">
      <c r="B164" s="12">
        <v>17</v>
      </c>
      <c r="C164" s="12" t="s">
        <v>139</v>
      </c>
      <c r="D164" s="12">
        <v>2012</v>
      </c>
      <c r="E164" s="13">
        <f t="shared" si="15"/>
        <v>166.24</v>
      </c>
      <c r="F164" s="13">
        <f t="shared" si="21"/>
        <v>0.63892293531463829</v>
      </c>
      <c r="G164" s="13">
        <f t="shared" si="17"/>
        <v>106.21454876670548</v>
      </c>
      <c r="H164" s="37">
        <f t="shared" si="18"/>
        <v>248.69443758043752</v>
      </c>
      <c r="I164" s="13">
        <f t="shared" si="19"/>
        <v>158.89658005531624</v>
      </c>
    </row>
    <row r="165" spans="2:9" ht="15.75" customHeight="1" x14ac:dyDescent="0.25">
      <c r="B165" s="12">
        <v>18</v>
      </c>
      <c r="C165" s="12" t="s">
        <v>140</v>
      </c>
      <c r="D165" s="12">
        <v>2012</v>
      </c>
      <c r="E165" s="13">
        <f t="shared" si="15"/>
        <v>162.11000000000001</v>
      </c>
      <c r="F165" s="13">
        <f t="shared" si="21"/>
        <v>0.62249505273492345</v>
      </c>
      <c r="G165" s="13">
        <f t="shared" si="17"/>
        <v>100.91267299885845</v>
      </c>
      <c r="H165" s="37">
        <f t="shared" si="18"/>
        <v>254.43036808236803</v>
      </c>
      <c r="I165" s="13">
        <f t="shared" si="19"/>
        <v>158.38164539679968</v>
      </c>
    </row>
    <row r="166" spans="2:9" ht="15.75" customHeight="1" x14ac:dyDescent="0.25">
      <c r="B166" s="12">
        <v>19</v>
      </c>
      <c r="C166" s="12" t="s">
        <v>129</v>
      </c>
      <c r="D166" s="12">
        <v>2012</v>
      </c>
      <c r="E166" s="13">
        <f t="shared" si="15"/>
        <v>148.83000000000001</v>
      </c>
      <c r="F166" s="13">
        <f t="shared" si="21"/>
        <v>0.82940611314814161</v>
      </c>
      <c r="G166" s="13">
        <f t="shared" si="17"/>
        <v>123.44051181983792</v>
      </c>
      <c r="H166" s="37">
        <f t="shared" si="18"/>
        <v>260.16629858429854</v>
      </c>
      <c r="I166" s="13">
        <f t="shared" si="19"/>
        <v>215.78351848094192</v>
      </c>
    </row>
    <row r="167" spans="2:9" ht="15.75" customHeight="1" x14ac:dyDescent="0.25">
      <c r="B167" s="12">
        <v>20</v>
      </c>
      <c r="C167" s="12" t="s">
        <v>130</v>
      </c>
      <c r="D167" s="12">
        <v>2012</v>
      </c>
      <c r="E167" s="13">
        <f t="shared" si="15"/>
        <v>192.78</v>
      </c>
      <c r="F167" s="13">
        <f t="shared" si="21"/>
        <v>0.73815351918214744</v>
      </c>
      <c r="G167" s="13">
        <f t="shared" si="17"/>
        <v>142.30123542793439</v>
      </c>
      <c r="H167" s="37">
        <f t="shared" si="18"/>
        <v>265.90222908622906</v>
      </c>
      <c r="I167" s="13">
        <f t="shared" si="19"/>
        <v>196.27666615837754</v>
      </c>
    </row>
    <row r="168" spans="2:9" ht="15.75" customHeight="1" x14ac:dyDescent="0.25">
      <c r="B168" s="12">
        <v>21</v>
      </c>
      <c r="C168" s="12" t="s">
        <v>131</v>
      </c>
      <c r="D168" s="12">
        <v>2012</v>
      </c>
      <c r="E168" s="13">
        <f t="shared" si="15"/>
        <v>192.78</v>
      </c>
      <c r="F168" s="13">
        <f t="shared" si="21"/>
        <v>1.0224798856473649</v>
      </c>
      <c r="G168" s="13">
        <f t="shared" si="17"/>
        <v>197.113672355099</v>
      </c>
      <c r="H168" s="37">
        <f t="shared" si="18"/>
        <v>271.63815958815957</v>
      </c>
      <c r="I168" s="13">
        <f t="shared" si="19"/>
        <v>277.74455435316207</v>
      </c>
    </row>
    <row r="169" spans="2:9" ht="15.75" customHeight="1" x14ac:dyDescent="0.25">
      <c r="B169" s="12">
        <v>22</v>
      </c>
      <c r="C169" s="12" t="s">
        <v>132</v>
      </c>
      <c r="D169" s="12">
        <v>2012</v>
      </c>
      <c r="E169" s="13">
        <f t="shared" si="15"/>
        <v>246.72</v>
      </c>
      <c r="F169" s="13">
        <f t="shared" si="21"/>
        <v>1.088335880604357</v>
      </c>
      <c r="G169" s="13">
        <f t="shared" si="17"/>
        <v>268.51422846270697</v>
      </c>
      <c r="H169" s="37">
        <f t="shared" si="18"/>
        <v>277.37409009009002</v>
      </c>
      <c r="I169" s="13">
        <f t="shared" si="19"/>
        <v>301.87617459503036</v>
      </c>
    </row>
    <row r="170" spans="2:9" ht="15.75" customHeight="1" x14ac:dyDescent="0.25">
      <c r="B170" s="12">
        <v>23</v>
      </c>
      <c r="C170" s="12" t="s">
        <v>133</v>
      </c>
      <c r="D170" s="12">
        <v>2012</v>
      </c>
      <c r="E170" s="13">
        <f t="shared" si="15"/>
        <v>237.73</v>
      </c>
      <c r="F170" s="13">
        <f t="shared" si="21"/>
        <v>0.9432871084299288</v>
      </c>
      <c r="G170" s="13">
        <f t="shared" si="17"/>
        <v>224.24764428704697</v>
      </c>
      <c r="H170" s="37">
        <f t="shared" si="18"/>
        <v>283.11002059202053</v>
      </c>
      <c r="I170" s="13">
        <f t="shared" si="19"/>
        <v>267.05403269178464</v>
      </c>
    </row>
    <row r="171" spans="2:9" ht="15.75" customHeight="1" x14ac:dyDescent="0.25">
      <c r="B171" s="12">
        <v>24</v>
      </c>
      <c r="C171" s="12" t="s">
        <v>134</v>
      </c>
      <c r="D171" s="12">
        <v>2012</v>
      </c>
      <c r="E171" s="13">
        <f t="shared" si="15"/>
        <v>262.70999999999998</v>
      </c>
      <c r="F171" s="13">
        <f t="shared" si="21"/>
        <v>1.0470457303340723</v>
      </c>
      <c r="G171" s="13">
        <f t="shared" si="17"/>
        <v>275.06938381606415</v>
      </c>
      <c r="H171" s="37">
        <f t="shared" si="18"/>
        <v>288.84595109395104</v>
      </c>
      <c r="I171" s="13">
        <f t="shared" si="19"/>
        <v>302.4349198172057</v>
      </c>
    </row>
    <row r="172" spans="2:9" ht="15.75" customHeight="1" x14ac:dyDescent="0.25">
      <c r="B172" s="12">
        <v>25</v>
      </c>
      <c r="C172" s="12" t="s">
        <v>69</v>
      </c>
      <c r="D172" s="12">
        <v>2013</v>
      </c>
      <c r="E172" s="13">
        <f t="shared" si="15"/>
        <v>212.71</v>
      </c>
      <c r="F172" s="13">
        <f>F148</f>
        <v>0.87673589826946408</v>
      </c>
      <c r="G172" s="13">
        <f t="shared" si="17"/>
        <v>186.49049292089771</v>
      </c>
      <c r="H172" s="37">
        <f t="shared" si="18"/>
        <v>294.58188159588155</v>
      </c>
      <c r="I172" s="13">
        <f t="shared" si="19"/>
        <v>258.27051057487409</v>
      </c>
    </row>
    <row r="173" spans="2:9" ht="15.75" customHeight="1" x14ac:dyDescent="0.25">
      <c r="B173" s="12">
        <v>26</v>
      </c>
      <c r="C173" s="12" t="s">
        <v>136</v>
      </c>
      <c r="D173" s="12">
        <v>2013</v>
      </c>
      <c r="E173" s="13">
        <f t="shared" si="15"/>
        <v>156.94999999999999</v>
      </c>
      <c r="F173" s="13">
        <f t="shared" ref="F173:F183" si="22">F149</f>
        <v>0.64448354309481104</v>
      </c>
      <c r="G173" s="13">
        <f t="shared" si="17"/>
        <v>101.15169208873058</v>
      </c>
      <c r="H173" s="37">
        <f t="shared" si="18"/>
        <v>300.31781209781207</v>
      </c>
      <c r="I173" s="13">
        <f t="shared" si="19"/>
        <v>193.54988759527961</v>
      </c>
    </row>
    <row r="174" spans="2:9" ht="15.75" customHeight="1" x14ac:dyDescent="0.25">
      <c r="B174" s="12">
        <v>27</v>
      </c>
      <c r="C174" s="12" t="s">
        <v>137</v>
      </c>
      <c r="D174" s="12">
        <v>2013</v>
      </c>
      <c r="E174" s="13">
        <f t="shared" si="15"/>
        <v>134.22999999999999</v>
      </c>
      <c r="F174" s="13">
        <f t="shared" si="22"/>
        <v>0.52000575682620687</v>
      </c>
      <c r="G174" s="13">
        <f t="shared" si="17"/>
        <v>69.800372738781746</v>
      </c>
      <c r="H174" s="37">
        <f t="shared" si="18"/>
        <v>306.05374259974258</v>
      </c>
      <c r="I174" s="13">
        <f t="shared" si="19"/>
        <v>159.14970805007223</v>
      </c>
    </row>
    <row r="175" spans="2:9" ht="15.75" customHeight="1" x14ac:dyDescent="0.25">
      <c r="B175" s="12">
        <v>28</v>
      </c>
      <c r="C175" s="12" t="s">
        <v>138</v>
      </c>
      <c r="D175" s="12">
        <v>2013</v>
      </c>
      <c r="E175" s="13">
        <f t="shared" si="15"/>
        <v>2514</v>
      </c>
      <c r="F175" s="13">
        <f t="shared" si="22"/>
        <v>3.6288792442061846</v>
      </c>
      <c r="G175" s="13">
        <f t="shared" si="17"/>
        <v>9123.0024199343479</v>
      </c>
      <c r="H175" s="37">
        <f t="shared" si="18"/>
        <v>311.78967310167309</v>
      </c>
      <c r="I175" s="13">
        <f t="shared" si="19"/>
        <v>1131.4470732764928</v>
      </c>
    </row>
    <row r="176" spans="2:9" ht="15.75" customHeight="1" x14ac:dyDescent="0.25">
      <c r="B176" s="12">
        <v>29</v>
      </c>
      <c r="C176" s="12" t="s">
        <v>139</v>
      </c>
      <c r="D176" s="12">
        <v>2013</v>
      </c>
      <c r="E176" s="13">
        <f t="shared" si="15"/>
        <v>156.94999999999999</v>
      </c>
      <c r="F176" s="13">
        <f t="shared" si="22"/>
        <v>0.63892293531463829</v>
      </c>
      <c r="G176" s="13">
        <f t="shared" si="17"/>
        <v>100.27895469763247</v>
      </c>
      <c r="H176" s="37">
        <f t="shared" si="18"/>
        <v>317.5256036036036</v>
      </c>
      <c r="I176" s="13">
        <f t="shared" si="19"/>
        <v>202.87439069196671</v>
      </c>
    </row>
    <row r="177" spans="2:9" ht="15.75" customHeight="1" x14ac:dyDescent="0.25">
      <c r="B177" s="12">
        <v>30</v>
      </c>
      <c r="C177" s="12" t="s">
        <v>140</v>
      </c>
      <c r="D177" s="12">
        <v>2013</v>
      </c>
      <c r="E177" s="13">
        <f t="shared" si="15"/>
        <v>149.72</v>
      </c>
      <c r="F177" s="13">
        <f t="shared" si="22"/>
        <v>0.62249505273492345</v>
      </c>
      <c r="G177" s="13">
        <f t="shared" si="17"/>
        <v>93.199959295472738</v>
      </c>
      <c r="H177" s="37">
        <f t="shared" si="18"/>
        <v>323.26153410553411</v>
      </c>
      <c r="I177" s="13">
        <f t="shared" si="19"/>
        <v>201.2287057201967</v>
      </c>
    </row>
    <row r="178" spans="2:9" ht="15.75" customHeight="1" x14ac:dyDescent="0.25">
      <c r="B178" s="12">
        <v>31</v>
      </c>
      <c r="C178" s="12" t="s">
        <v>129</v>
      </c>
      <c r="D178" s="12">
        <v>2013</v>
      </c>
      <c r="E178" s="13">
        <f t="shared" si="15"/>
        <v>139.84</v>
      </c>
      <c r="F178" s="13">
        <f t="shared" si="22"/>
        <v>0.82940611314814161</v>
      </c>
      <c r="G178" s="13">
        <f t="shared" si="17"/>
        <v>115.98415086263613</v>
      </c>
      <c r="H178" s="37">
        <f t="shared" si="18"/>
        <v>328.99746460746456</v>
      </c>
      <c r="I178" s="13">
        <f t="shared" si="19"/>
        <v>272.87250835567045</v>
      </c>
    </row>
    <row r="179" spans="2:9" ht="15.75" customHeight="1" x14ac:dyDescent="0.25">
      <c r="B179" s="12">
        <v>32</v>
      </c>
      <c r="C179" s="12" t="s">
        <v>130</v>
      </c>
      <c r="D179" s="12">
        <v>2013</v>
      </c>
      <c r="E179" s="13">
        <f t="shared" si="15"/>
        <v>183.79</v>
      </c>
      <c r="F179" s="13">
        <f t="shared" si="22"/>
        <v>0.73815351918214744</v>
      </c>
      <c r="G179" s="13">
        <f t="shared" si="17"/>
        <v>135.66523529048686</v>
      </c>
      <c r="H179" s="37">
        <f t="shared" si="18"/>
        <v>334.73339510939508</v>
      </c>
      <c r="I179" s="13">
        <f t="shared" si="19"/>
        <v>247.0846335877882</v>
      </c>
    </row>
    <row r="180" spans="2:9" ht="15.75" customHeight="1" x14ac:dyDescent="0.25">
      <c r="B180" s="12">
        <v>33</v>
      </c>
      <c r="C180" s="12" t="s">
        <v>131</v>
      </c>
      <c r="D180" s="12">
        <v>2013</v>
      </c>
      <c r="E180" s="13">
        <f t="shared" si="15"/>
        <v>177.8</v>
      </c>
      <c r="F180" s="13">
        <f t="shared" si="22"/>
        <v>1.0224798856473649</v>
      </c>
      <c r="G180" s="13">
        <f t="shared" si="17"/>
        <v>181.7969236681015</v>
      </c>
      <c r="H180" s="37">
        <f t="shared" si="18"/>
        <v>340.46932561132559</v>
      </c>
      <c r="I180" s="13">
        <f t="shared" si="19"/>
        <v>348.12303711750366</v>
      </c>
    </row>
    <row r="181" spans="2:9" ht="15.75" customHeight="1" x14ac:dyDescent="0.25">
      <c r="B181" s="12">
        <v>34</v>
      </c>
      <c r="C181" s="12" t="s">
        <v>132</v>
      </c>
      <c r="D181" s="12">
        <v>2013</v>
      </c>
      <c r="E181" s="13">
        <f t="shared" si="15"/>
        <v>231.74</v>
      </c>
      <c r="F181" s="13">
        <f t="shared" si="22"/>
        <v>1.088335880604357</v>
      </c>
      <c r="G181" s="13">
        <f t="shared" si="17"/>
        <v>252.21095697125372</v>
      </c>
      <c r="H181" s="37">
        <f t="shared" si="18"/>
        <v>346.20525611325604</v>
      </c>
      <c r="I181" s="13">
        <f t="shared" si="19"/>
        <v>376.78760228187747</v>
      </c>
    </row>
    <row r="182" spans="2:9" ht="15.75" customHeight="1" x14ac:dyDescent="0.25">
      <c r="B182" s="12">
        <v>35</v>
      </c>
      <c r="C182" s="12" t="s">
        <v>133</v>
      </c>
      <c r="D182" s="12">
        <v>2013</v>
      </c>
      <c r="E182" s="13">
        <f t="shared" si="15"/>
        <v>234.74</v>
      </c>
      <c r="F182" s="13">
        <f t="shared" si="22"/>
        <v>0.9432871084299288</v>
      </c>
      <c r="G182" s="13">
        <f t="shared" si="17"/>
        <v>221.42721583284148</v>
      </c>
      <c r="H182" s="37">
        <f t="shared" si="18"/>
        <v>351.94118661518655</v>
      </c>
      <c r="I182" s="13">
        <f t="shared" si="19"/>
        <v>331.98158425963726</v>
      </c>
    </row>
    <row r="183" spans="2:9" ht="15.75" customHeight="1" x14ac:dyDescent="0.25">
      <c r="B183" s="12">
        <v>36</v>
      </c>
      <c r="C183" s="12" t="s">
        <v>134</v>
      </c>
      <c r="D183" s="12">
        <v>2013</v>
      </c>
      <c r="E183" s="13">
        <f t="shared" si="15"/>
        <v>241.73</v>
      </c>
      <c r="F183" s="13">
        <f t="shared" si="22"/>
        <v>1.0470457303340723</v>
      </c>
      <c r="G183" s="13">
        <f t="shared" si="17"/>
        <v>253.10236439365531</v>
      </c>
      <c r="H183" s="37">
        <f t="shared" si="18"/>
        <v>357.67711711711706</v>
      </c>
      <c r="I183" s="13">
        <f t="shared" si="19"/>
        <v>374.50429831567737</v>
      </c>
    </row>
    <row r="184" spans="2:9" ht="15.75" customHeight="1" x14ac:dyDescent="0.25">
      <c r="B184" s="12">
        <v>37</v>
      </c>
      <c r="C184" s="12" t="s">
        <v>69</v>
      </c>
      <c r="D184" s="12">
        <v>2014</v>
      </c>
      <c r="E184" s="109"/>
      <c r="F184" s="109">
        <f>F148</f>
        <v>0.87673589826946408</v>
      </c>
      <c r="G184" s="110"/>
      <c r="H184" s="37">
        <f t="shared" si="18"/>
        <v>363.41304761904757</v>
      </c>
      <c r="I184" s="13">
        <f t="shared" si="19"/>
        <v>318.61726474712918</v>
      </c>
    </row>
    <row r="185" spans="2:9" ht="15.75" customHeight="1" x14ac:dyDescent="0.25">
      <c r="B185" s="12">
        <v>38</v>
      </c>
      <c r="C185" s="12" t="s">
        <v>136</v>
      </c>
      <c r="D185" s="12">
        <v>2014</v>
      </c>
      <c r="E185" s="109"/>
      <c r="F185" s="109">
        <f t="shared" ref="F185:F195" si="23">F149</f>
        <v>0.64448354309481104</v>
      </c>
      <c r="G185" s="110"/>
      <c r="H185" s="37">
        <f t="shared" si="18"/>
        <v>369.14897812097809</v>
      </c>
      <c r="I185" s="13">
        <f t="shared" si="19"/>
        <v>237.91044134923683</v>
      </c>
    </row>
    <row r="186" spans="2:9" ht="15.75" customHeight="1" x14ac:dyDescent="0.25">
      <c r="B186" s="12">
        <v>39</v>
      </c>
      <c r="C186" s="12" t="s">
        <v>137</v>
      </c>
      <c r="D186" s="12">
        <v>2014</v>
      </c>
      <c r="E186" s="109"/>
      <c r="F186" s="109">
        <f t="shared" si="23"/>
        <v>0.52000575682620687</v>
      </c>
      <c r="G186" s="110"/>
      <c r="H186" s="37">
        <f t="shared" si="18"/>
        <v>374.8849086229086</v>
      </c>
      <c r="I186" s="13">
        <f t="shared" si="19"/>
        <v>194.942310631179</v>
      </c>
    </row>
    <row r="187" spans="2:9" ht="15.75" customHeight="1" x14ac:dyDescent="0.25">
      <c r="B187" s="12">
        <v>40</v>
      </c>
      <c r="C187" s="12" t="s">
        <v>138</v>
      </c>
      <c r="D187" s="12">
        <v>2014</v>
      </c>
      <c r="E187" s="109"/>
      <c r="F187" s="109">
        <f t="shared" si="23"/>
        <v>3.6288792442061846</v>
      </c>
      <c r="G187" s="110"/>
      <c r="H187" s="37">
        <f t="shared" si="18"/>
        <v>380.62083912483911</v>
      </c>
      <c r="I187" s="13">
        <f t="shared" si="19"/>
        <v>1381.2270630124699</v>
      </c>
    </row>
    <row r="188" spans="2:9" ht="15.75" customHeight="1" x14ac:dyDescent="0.25">
      <c r="B188" s="12">
        <v>41</v>
      </c>
      <c r="C188" s="12" t="s">
        <v>139</v>
      </c>
      <c r="D188" s="12">
        <v>2014</v>
      </c>
      <c r="E188" s="109"/>
      <c r="F188" s="109">
        <f t="shared" si="23"/>
        <v>0.63892293531463829</v>
      </c>
      <c r="G188" s="110"/>
      <c r="H188" s="37">
        <f t="shared" si="18"/>
        <v>386.35676962676962</v>
      </c>
      <c r="I188" s="13">
        <f t="shared" si="19"/>
        <v>246.85220132861713</v>
      </c>
    </row>
    <row r="189" spans="2:9" ht="15.75" customHeight="1" x14ac:dyDescent="0.25">
      <c r="B189" s="12">
        <v>42</v>
      </c>
      <c r="C189" s="12" t="s">
        <v>140</v>
      </c>
      <c r="D189" s="12">
        <v>2014</v>
      </c>
      <c r="E189" s="109"/>
      <c r="F189" s="109">
        <f t="shared" si="23"/>
        <v>0.62249505273492345</v>
      </c>
      <c r="G189" s="110"/>
      <c r="H189" s="37">
        <f t="shared" si="18"/>
        <v>392.09270012870013</v>
      </c>
      <c r="I189" s="13">
        <f t="shared" si="19"/>
        <v>244.07576604359372</v>
      </c>
    </row>
    <row r="190" spans="2:9" ht="15.75" customHeight="1" x14ac:dyDescent="0.25">
      <c r="B190" s="12">
        <v>43</v>
      </c>
      <c r="C190" s="12" t="s">
        <v>129</v>
      </c>
      <c r="D190" s="12">
        <v>2014</v>
      </c>
      <c r="E190" s="109"/>
      <c r="F190" s="109">
        <f t="shared" si="23"/>
        <v>0.82940611314814161</v>
      </c>
      <c r="G190" s="110"/>
      <c r="H190" s="37">
        <f t="shared" si="18"/>
        <v>397.82863063063064</v>
      </c>
      <c r="I190" s="13">
        <f t="shared" si="19"/>
        <v>329.96149823039906</v>
      </c>
    </row>
    <row r="191" spans="2:9" ht="15.75" customHeight="1" x14ac:dyDescent="0.25">
      <c r="B191" s="12">
        <v>44</v>
      </c>
      <c r="C191" s="12" t="s">
        <v>130</v>
      </c>
      <c r="D191" s="12">
        <v>2014</v>
      </c>
      <c r="E191" s="109"/>
      <c r="F191" s="109">
        <f t="shared" si="23"/>
        <v>0.73815351918214744</v>
      </c>
      <c r="G191" s="110"/>
      <c r="H191" s="37">
        <f t="shared" si="18"/>
        <v>403.5645611325611</v>
      </c>
      <c r="I191" s="13">
        <f t="shared" si="19"/>
        <v>297.89260101719884</v>
      </c>
    </row>
    <row r="192" spans="2:9" ht="15.75" customHeight="1" x14ac:dyDescent="0.3">
      <c r="B192" s="15">
        <v>45</v>
      </c>
      <c r="C192" s="15" t="s">
        <v>131</v>
      </c>
      <c r="D192" s="15">
        <v>2014</v>
      </c>
      <c r="E192" s="121"/>
      <c r="F192" s="121">
        <f t="shared" si="23"/>
        <v>1.0224798856473649</v>
      </c>
      <c r="G192" s="122"/>
      <c r="H192" s="39">
        <f t="shared" si="18"/>
        <v>409.30049163449161</v>
      </c>
      <c r="I192" s="38">
        <f t="shared" si="19"/>
        <v>418.50151988184524</v>
      </c>
    </row>
    <row r="193" spans="2:9" ht="15.75" customHeight="1" x14ac:dyDescent="0.25">
      <c r="B193" s="12">
        <v>46</v>
      </c>
      <c r="C193" s="12" t="s">
        <v>132</v>
      </c>
      <c r="D193" s="12">
        <v>2014</v>
      </c>
      <c r="E193" s="109"/>
      <c r="F193" s="109">
        <f t="shared" si="23"/>
        <v>1.088335880604357</v>
      </c>
      <c r="G193" s="110"/>
      <c r="H193" s="37">
        <f t="shared" si="18"/>
        <v>415.03642213642212</v>
      </c>
      <c r="I193" s="13">
        <f t="shared" si="19"/>
        <v>451.69902996872463</v>
      </c>
    </row>
    <row r="194" spans="2:9" ht="15.75" customHeight="1" x14ac:dyDescent="0.25">
      <c r="B194" s="12">
        <v>47</v>
      </c>
      <c r="C194" s="12" t="s">
        <v>133</v>
      </c>
      <c r="D194" s="12">
        <v>2014</v>
      </c>
      <c r="E194" s="109"/>
      <c r="F194" s="109">
        <f t="shared" si="23"/>
        <v>0.9432871084299288</v>
      </c>
      <c r="G194" s="110"/>
      <c r="H194" s="37">
        <f t="shared" si="18"/>
        <v>420.77235263835263</v>
      </c>
      <c r="I194" s="13">
        <f t="shared" si="19"/>
        <v>396.90913582748999</v>
      </c>
    </row>
    <row r="195" spans="2:9" ht="15.75" customHeight="1" x14ac:dyDescent="0.25">
      <c r="B195" s="12">
        <v>48</v>
      </c>
      <c r="C195" s="12" t="s">
        <v>134</v>
      </c>
      <c r="D195" s="12">
        <v>2014</v>
      </c>
      <c r="E195" s="109"/>
      <c r="F195" s="109">
        <f t="shared" si="23"/>
        <v>1.0470457303340723</v>
      </c>
      <c r="G195" s="110"/>
      <c r="H195" s="37">
        <f t="shared" si="18"/>
        <v>426.50828314028308</v>
      </c>
      <c r="I195" s="13">
        <f t="shared" si="19"/>
        <v>446.573676814149</v>
      </c>
    </row>
    <row r="221" spans="2:9" ht="15.75" customHeight="1" x14ac:dyDescent="0.3">
      <c r="B221" s="91" t="s">
        <v>144</v>
      </c>
      <c r="C221" s="91" t="s">
        <v>64</v>
      </c>
      <c r="D221" s="91" t="s">
        <v>23</v>
      </c>
      <c r="E221" s="91" t="s">
        <v>19</v>
      </c>
      <c r="F221" s="91" t="s">
        <v>145</v>
      </c>
      <c r="G221" s="91" t="s">
        <v>146</v>
      </c>
      <c r="H221" s="91" t="s">
        <v>147</v>
      </c>
      <c r="I221" s="123"/>
    </row>
    <row r="222" spans="2:9" ht="15.75" customHeight="1" x14ac:dyDescent="0.25">
      <c r="B222" s="48">
        <v>1</v>
      </c>
      <c r="C222" s="48" t="s">
        <v>69</v>
      </c>
      <c r="D222" s="48">
        <v>2011</v>
      </c>
      <c r="E222" s="48">
        <v>242.65</v>
      </c>
      <c r="F222" s="48">
        <v>212.73996571508548</v>
      </c>
      <c r="G222" s="48">
        <v>156.91954954954952</v>
      </c>
      <c r="H222" s="48">
        <v>137.57700223036397</v>
      </c>
    </row>
    <row r="223" spans="2:9" ht="15.75" customHeight="1" x14ac:dyDescent="0.25">
      <c r="B223" s="48">
        <v>2</v>
      </c>
      <c r="C223" s="48" t="s">
        <v>136</v>
      </c>
      <c r="D223" s="48">
        <v>2011</v>
      </c>
      <c r="E223" s="48">
        <v>178.63</v>
      </c>
      <c r="F223" s="48">
        <v>115.1240953030261</v>
      </c>
      <c r="G223" s="48">
        <v>162.65548005148</v>
      </c>
      <c r="H223" s="48">
        <v>104.82878008736519</v>
      </c>
    </row>
    <row r="224" spans="2:9" ht="15.75" customHeight="1" x14ac:dyDescent="0.25">
      <c r="B224" s="48">
        <v>3</v>
      </c>
      <c r="C224" s="48" t="s">
        <v>137</v>
      </c>
      <c r="D224" s="48">
        <v>2011</v>
      </c>
      <c r="E224" s="48">
        <v>152.82</v>
      </c>
      <c r="F224" s="48">
        <v>79.467279758180936</v>
      </c>
      <c r="G224" s="48">
        <v>168.39141055341051</v>
      </c>
      <c r="H224" s="48">
        <v>87.564502887858751</v>
      </c>
    </row>
    <row r="225" spans="2:8" ht="15.75" customHeight="1" x14ac:dyDescent="0.25">
      <c r="B225" s="48">
        <v>4</v>
      </c>
      <c r="C225" s="48" t="s">
        <v>138</v>
      </c>
      <c r="D225" s="48">
        <v>2011</v>
      </c>
      <c r="E225" s="48">
        <v>130.1</v>
      </c>
      <c r="F225" s="48">
        <v>472.11718967122459</v>
      </c>
      <c r="G225" s="48">
        <v>174.12734105534102</v>
      </c>
      <c r="H225" s="48">
        <v>631.88709380453849</v>
      </c>
    </row>
    <row r="226" spans="2:8" ht="15.75" customHeight="1" x14ac:dyDescent="0.25">
      <c r="B226" s="48">
        <v>5</v>
      </c>
      <c r="C226" s="48" t="s">
        <v>139</v>
      </c>
      <c r="D226" s="48">
        <v>2011</v>
      </c>
      <c r="E226" s="48">
        <v>179.67</v>
      </c>
      <c r="F226" s="48">
        <v>114.79528378798105</v>
      </c>
      <c r="G226" s="48">
        <v>179.8632715572715</v>
      </c>
      <c r="H226" s="48">
        <v>114.9187694186658</v>
      </c>
    </row>
    <row r="227" spans="2:8" ht="15.75" customHeight="1" x14ac:dyDescent="0.25">
      <c r="B227" s="48">
        <v>6</v>
      </c>
      <c r="C227" s="48" t="s">
        <v>140</v>
      </c>
      <c r="D227" s="48">
        <v>2011</v>
      </c>
      <c r="E227" s="48">
        <v>171.41</v>
      </c>
      <c r="F227" s="48">
        <v>106.70187698929323</v>
      </c>
      <c r="G227" s="48">
        <v>185.59920205920201</v>
      </c>
      <c r="H227" s="48">
        <v>115.53458507340267</v>
      </c>
    </row>
    <row r="228" spans="2:8" ht="15.75" customHeight="1" x14ac:dyDescent="0.25">
      <c r="B228" s="48">
        <v>7</v>
      </c>
      <c r="C228" s="48" t="s">
        <v>129</v>
      </c>
      <c r="D228" s="48">
        <v>2011</v>
      </c>
      <c r="E228" s="48">
        <v>177.58</v>
      </c>
      <c r="F228" s="48">
        <v>147.28593757284699</v>
      </c>
      <c r="G228" s="48">
        <v>191.33513256113253</v>
      </c>
      <c r="H228" s="48">
        <v>158.69452860621337</v>
      </c>
    </row>
    <row r="229" spans="2:8" ht="15.75" customHeight="1" x14ac:dyDescent="0.25">
      <c r="B229" s="48">
        <v>8</v>
      </c>
      <c r="C229" s="48" t="s">
        <v>130</v>
      </c>
      <c r="D229" s="48">
        <v>2011</v>
      </c>
      <c r="E229" s="48">
        <v>209.77</v>
      </c>
      <c r="F229" s="48">
        <v>154.84246371883907</v>
      </c>
      <c r="G229" s="48">
        <v>197.07106306306304</v>
      </c>
      <c r="H229" s="48">
        <v>145.4686987289669</v>
      </c>
    </row>
    <row r="230" spans="2:8" ht="15.75" customHeight="1" x14ac:dyDescent="0.25">
      <c r="B230" s="48">
        <v>9</v>
      </c>
      <c r="C230" s="48" t="s">
        <v>131</v>
      </c>
      <c r="D230" s="48">
        <v>2011</v>
      </c>
      <c r="E230" s="48">
        <v>204.77</v>
      </c>
      <c r="F230" s="48">
        <v>209.37320618401091</v>
      </c>
      <c r="G230" s="48">
        <v>202.80699356499352</v>
      </c>
      <c r="H230" s="48">
        <v>207.36607158882043</v>
      </c>
    </row>
    <row r="231" spans="2:8" ht="15.75" customHeight="1" x14ac:dyDescent="0.25">
      <c r="B231" s="48">
        <v>10</v>
      </c>
      <c r="C231" s="48" t="s">
        <v>132</v>
      </c>
      <c r="D231" s="48">
        <v>2011</v>
      </c>
      <c r="E231" s="48">
        <v>264.7</v>
      </c>
      <c r="F231" s="48">
        <v>288.08250759597331</v>
      </c>
      <c r="G231" s="48">
        <v>208.54292406692403</v>
      </c>
      <c r="H231" s="48">
        <v>226.96474690818332</v>
      </c>
    </row>
    <row r="232" spans="2:8" ht="15.75" customHeight="1" x14ac:dyDescent="0.25">
      <c r="B232" s="48">
        <v>11</v>
      </c>
      <c r="C232" s="48" t="s">
        <v>133</v>
      </c>
      <c r="D232" s="48">
        <v>2011</v>
      </c>
      <c r="E232" s="48">
        <v>254.72</v>
      </c>
      <c r="F232" s="48">
        <v>240.27409225927147</v>
      </c>
      <c r="G232" s="48">
        <v>214.27885456885451</v>
      </c>
      <c r="H232" s="48">
        <v>202.12648112393202</v>
      </c>
    </row>
    <row r="233" spans="2:8" ht="15.75" customHeight="1" x14ac:dyDescent="0.25">
      <c r="B233" s="48">
        <v>12</v>
      </c>
      <c r="C233" s="48" t="s">
        <v>134</v>
      </c>
      <c r="D233" s="48">
        <v>2011</v>
      </c>
      <c r="E233" s="48">
        <v>281.69</v>
      </c>
      <c r="F233" s="48">
        <v>294.94231177780483</v>
      </c>
      <c r="G233" s="48">
        <v>220.01478507078502</v>
      </c>
      <c r="H233" s="48">
        <v>230.36554131873405</v>
      </c>
    </row>
    <row r="234" spans="2:8" ht="15.75" customHeight="1" x14ac:dyDescent="0.25">
      <c r="B234" s="48">
        <v>13</v>
      </c>
      <c r="C234" s="48" t="s">
        <v>69</v>
      </c>
      <c r="D234" s="48">
        <v>2012</v>
      </c>
      <c r="E234" s="48">
        <v>237.49</v>
      </c>
      <c r="F234" s="48">
        <v>208.21600848001503</v>
      </c>
      <c r="G234" s="48">
        <v>225.75071557271554</v>
      </c>
      <c r="H234" s="48">
        <v>197.92375640261903</v>
      </c>
    </row>
    <row r="235" spans="2:8" ht="15.75" customHeight="1" x14ac:dyDescent="0.25">
      <c r="B235" s="48">
        <v>14</v>
      </c>
      <c r="C235" s="48" t="s">
        <v>136</v>
      </c>
      <c r="D235" s="48">
        <v>2012</v>
      </c>
      <c r="E235" s="48">
        <v>172.44</v>
      </c>
      <c r="F235" s="48">
        <v>111.13474217126921</v>
      </c>
      <c r="G235" s="48">
        <v>231.48664607464605</v>
      </c>
      <c r="H235" s="48">
        <v>149.18933384132242</v>
      </c>
    </row>
    <row r="236" spans="2:8" ht="15.75" customHeight="1" x14ac:dyDescent="0.25">
      <c r="B236" s="48">
        <v>15</v>
      </c>
      <c r="C236" s="48" t="s">
        <v>137</v>
      </c>
      <c r="D236" s="48">
        <v>2012</v>
      </c>
      <c r="E236" s="48">
        <v>134.22999999999999</v>
      </c>
      <c r="F236" s="48">
        <v>69.800372738781746</v>
      </c>
      <c r="G236" s="48">
        <v>237.22257657657656</v>
      </c>
      <c r="H236" s="48">
        <v>123.3571054689655</v>
      </c>
    </row>
    <row r="237" spans="2:8" ht="15.75" customHeight="1" x14ac:dyDescent="0.25">
      <c r="B237" s="48">
        <v>16</v>
      </c>
      <c r="C237" s="48" t="s">
        <v>138</v>
      </c>
      <c r="D237" s="48">
        <v>2012</v>
      </c>
      <c r="E237" s="48">
        <v>125.97</v>
      </c>
      <c r="F237" s="48">
        <v>457.12991839265305</v>
      </c>
      <c r="G237" s="48">
        <v>242.95850707850704</v>
      </c>
      <c r="H237" s="48">
        <v>881.66708354051559</v>
      </c>
    </row>
    <row r="238" spans="2:8" ht="15.75" customHeight="1" x14ac:dyDescent="0.25">
      <c r="B238" s="48">
        <v>17</v>
      </c>
      <c r="C238" s="48" t="s">
        <v>139</v>
      </c>
      <c r="D238" s="48">
        <v>2012</v>
      </c>
      <c r="E238" s="48">
        <v>166.24</v>
      </c>
      <c r="F238" s="48">
        <v>106.21454876670548</v>
      </c>
      <c r="G238" s="48">
        <v>248.69443758043752</v>
      </c>
      <c r="H238" s="48">
        <v>158.89658005531624</v>
      </c>
    </row>
    <row r="239" spans="2:8" ht="15.75" customHeight="1" x14ac:dyDescent="0.25">
      <c r="B239" s="48">
        <v>18</v>
      </c>
      <c r="C239" s="48" t="s">
        <v>140</v>
      </c>
      <c r="D239" s="48">
        <v>2012</v>
      </c>
      <c r="E239" s="48">
        <v>162.11000000000001</v>
      </c>
      <c r="F239" s="48">
        <v>100.91267299885845</v>
      </c>
      <c r="G239" s="48">
        <v>254.43036808236803</v>
      </c>
      <c r="H239" s="48">
        <v>158.38164539679968</v>
      </c>
    </row>
    <row r="240" spans="2:8" ht="15.75" customHeight="1" x14ac:dyDescent="0.25">
      <c r="B240" s="48">
        <v>19</v>
      </c>
      <c r="C240" s="48" t="s">
        <v>129</v>
      </c>
      <c r="D240" s="48">
        <v>2012</v>
      </c>
      <c r="E240" s="48">
        <v>148.83000000000001</v>
      </c>
      <c r="F240" s="48">
        <v>123.44051181983792</v>
      </c>
      <c r="G240" s="48">
        <v>260.16629858429854</v>
      </c>
      <c r="H240" s="48">
        <v>215.78351848094192</v>
      </c>
    </row>
    <row r="241" spans="2:8" ht="15.75" customHeight="1" x14ac:dyDescent="0.25">
      <c r="B241" s="48">
        <v>20</v>
      </c>
      <c r="C241" s="48" t="s">
        <v>130</v>
      </c>
      <c r="D241" s="48">
        <v>2012</v>
      </c>
      <c r="E241" s="48">
        <v>192.78</v>
      </c>
      <c r="F241" s="48">
        <v>142.30123542793439</v>
      </c>
      <c r="G241" s="48">
        <v>265.90222908622906</v>
      </c>
      <c r="H241" s="48">
        <v>196.27666615837754</v>
      </c>
    </row>
    <row r="242" spans="2:8" ht="15.75" customHeight="1" x14ac:dyDescent="0.25">
      <c r="B242" s="48">
        <v>21</v>
      </c>
      <c r="C242" s="48" t="s">
        <v>131</v>
      </c>
      <c r="D242" s="48">
        <v>2012</v>
      </c>
      <c r="E242" s="48">
        <v>192.78</v>
      </c>
      <c r="F242" s="48">
        <v>197.113672355099</v>
      </c>
      <c r="G242" s="48">
        <v>271.63815958815957</v>
      </c>
      <c r="H242" s="48">
        <v>277.74455435316207</v>
      </c>
    </row>
    <row r="243" spans="2:8" ht="15.75" customHeight="1" x14ac:dyDescent="0.25">
      <c r="B243" s="48">
        <v>22</v>
      </c>
      <c r="C243" s="48" t="s">
        <v>132</v>
      </c>
      <c r="D243" s="48">
        <v>2012</v>
      </c>
      <c r="E243" s="48">
        <v>246.72</v>
      </c>
      <c r="F243" s="48">
        <v>268.51422846270697</v>
      </c>
      <c r="G243" s="48">
        <v>277.37409009009002</v>
      </c>
      <c r="H243" s="48">
        <v>301.87617459503036</v>
      </c>
    </row>
    <row r="244" spans="2:8" ht="15.75" customHeight="1" x14ac:dyDescent="0.25">
      <c r="B244" s="48">
        <v>23</v>
      </c>
      <c r="C244" s="48" t="s">
        <v>133</v>
      </c>
      <c r="D244" s="48">
        <v>2012</v>
      </c>
      <c r="E244" s="48">
        <v>237.73</v>
      </c>
      <c r="F244" s="48">
        <v>224.24764428704697</v>
      </c>
      <c r="G244" s="48">
        <v>283.11002059202053</v>
      </c>
      <c r="H244" s="48">
        <v>267.05403269178464</v>
      </c>
    </row>
    <row r="245" spans="2:8" ht="15.75" customHeight="1" x14ac:dyDescent="0.25">
      <c r="B245" s="48">
        <v>24</v>
      </c>
      <c r="C245" s="48" t="s">
        <v>134</v>
      </c>
      <c r="D245" s="48">
        <v>2012</v>
      </c>
      <c r="E245" s="48">
        <v>262.70999999999998</v>
      </c>
      <c r="F245" s="48">
        <v>275.06938381606415</v>
      </c>
      <c r="G245" s="48">
        <v>288.84595109395104</v>
      </c>
      <c r="H245" s="48">
        <v>302.4349198172057</v>
      </c>
    </row>
    <row r="246" spans="2:8" ht="15.75" customHeight="1" x14ac:dyDescent="0.25">
      <c r="B246" s="48">
        <v>25</v>
      </c>
      <c r="C246" s="48" t="s">
        <v>69</v>
      </c>
      <c r="D246" s="48">
        <v>2013</v>
      </c>
      <c r="E246" s="48">
        <v>212.71</v>
      </c>
      <c r="F246" s="48">
        <v>186.49049292089771</v>
      </c>
      <c r="G246" s="48">
        <v>294.58188159588155</v>
      </c>
      <c r="H246" s="48">
        <v>258.27051057487409</v>
      </c>
    </row>
    <row r="247" spans="2:8" ht="15.75" customHeight="1" x14ac:dyDescent="0.25">
      <c r="B247" s="48">
        <v>26</v>
      </c>
      <c r="C247" s="48" t="s">
        <v>136</v>
      </c>
      <c r="D247" s="48">
        <v>2013</v>
      </c>
      <c r="E247" s="48">
        <v>156.94999999999999</v>
      </c>
      <c r="F247" s="48">
        <v>101.15169208873058</v>
      </c>
      <c r="G247" s="48">
        <v>300.31781209781207</v>
      </c>
      <c r="H247" s="48">
        <v>193.54988759527961</v>
      </c>
    </row>
    <row r="248" spans="2:8" ht="15.75" customHeight="1" x14ac:dyDescent="0.25">
      <c r="B248" s="48">
        <v>27</v>
      </c>
      <c r="C248" s="48" t="s">
        <v>137</v>
      </c>
      <c r="D248" s="48">
        <v>2013</v>
      </c>
      <c r="E248" s="48">
        <v>134.22999999999999</v>
      </c>
      <c r="F248" s="48">
        <v>69.800372738781746</v>
      </c>
      <c r="G248" s="48">
        <v>306.05374259974258</v>
      </c>
      <c r="H248" s="48">
        <v>159.14970805007223</v>
      </c>
    </row>
    <row r="249" spans="2:8" ht="15.75" customHeight="1" x14ac:dyDescent="0.25">
      <c r="B249" s="48">
        <v>28</v>
      </c>
      <c r="C249" s="48" t="s">
        <v>138</v>
      </c>
      <c r="D249" s="48">
        <v>2013</v>
      </c>
      <c r="E249" s="48">
        <v>2514</v>
      </c>
      <c r="F249" s="48">
        <v>9123.0024199343479</v>
      </c>
      <c r="G249" s="48">
        <v>311.78967310167309</v>
      </c>
      <c r="H249" s="48">
        <v>1131.4470732764928</v>
      </c>
    </row>
    <row r="250" spans="2:8" ht="15.75" customHeight="1" x14ac:dyDescent="0.25">
      <c r="B250" s="48">
        <v>29</v>
      </c>
      <c r="C250" s="48" t="s">
        <v>139</v>
      </c>
      <c r="D250" s="48">
        <v>2013</v>
      </c>
      <c r="E250" s="48">
        <v>156.94999999999999</v>
      </c>
      <c r="F250" s="48">
        <v>100.27895469763247</v>
      </c>
      <c r="G250" s="48">
        <v>317.5256036036036</v>
      </c>
      <c r="H250" s="48">
        <v>202.87439069196671</v>
      </c>
    </row>
    <row r="251" spans="2:8" ht="15.75" customHeight="1" x14ac:dyDescent="0.25">
      <c r="B251" s="48">
        <v>30</v>
      </c>
      <c r="C251" s="48" t="s">
        <v>140</v>
      </c>
      <c r="D251" s="48">
        <v>2013</v>
      </c>
      <c r="E251" s="48">
        <v>149.72</v>
      </c>
      <c r="F251" s="48">
        <v>93.199959295472738</v>
      </c>
      <c r="G251" s="48">
        <v>323.26153410553411</v>
      </c>
      <c r="H251" s="48">
        <v>201.2287057201967</v>
      </c>
    </row>
    <row r="252" spans="2:8" ht="15.75" customHeight="1" x14ac:dyDescent="0.25">
      <c r="B252" s="48">
        <v>31</v>
      </c>
      <c r="C252" s="48" t="s">
        <v>129</v>
      </c>
      <c r="D252" s="48">
        <v>2013</v>
      </c>
      <c r="E252" s="48">
        <v>139.84</v>
      </c>
      <c r="F252" s="48">
        <v>115.98415086263613</v>
      </c>
      <c r="G252" s="48">
        <v>328.99746460746456</v>
      </c>
      <c r="H252" s="48">
        <v>272.87250835567045</v>
      </c>
    </row>
    <row r="253" spans="2:8" ht="15.75" customHeight="1" x14ac:dyDescent="0.25">
      <c r="B253" s="48">
        <v>32</v>
      </c>
      <c r="C253" s="48" t="s">
        <v>130</v>
      </c>
      <c r="D253" s="48">
        <v>2013</v>
      </c>
      <c r="E253" s="48">
        <v>183.79</v>
      </c>
      <c r="F253" s="48">
        <v>135.66523529048686</v>
      </c>
      <c r="G253" s="48">
        <v>334.73339510939508</v>
      </c>
      <c r="H253" s="48">
        <v>247.0846335877882</v>
      </c>
    </row>
    <row r="254" spans="2:8" ht="15.75" customHeight="1" x14ac:dyDescent="0.25">
      <c r="B254" s="48">
        <v>33</v>
      </c>
      <c r="C254" s="48" t="s">
        <v>131</v>
      </c>
      <c r="D254" s="48">
        <v>2013</v>
      </c>
      <c r="E254" s="48">
        <v>177.8</v>
      </c>
      <c r="F254" s="48">
        <v>181.7969236681015</v>
      </c>
      <c r="G254" s="48">
        <v>340.46932561132559</v>
      </c>
      <c r="H254" s="48">
        <v>348.12303711750366</v>
      </c>
    </row>
    <row r="255" spans="2:8" ht="15.75" customHeight="1" x14ac:dyDescent="0.25">
      <c r="B255" s="48">
        <v>34</v>
      </c>
      <c r="C255" s="48" t="s">
        <v>132</v>
      </c>
      <c r="D255" s="48">
        <v>2013</v>
      </c>
      <c r="E255" s="48">
        <v>231.74</v>
      </c>
      <c r="F255" s="48">
        <v>252.21095697125372</v>
      </c>
      <c r="G255" s="48">
        <v>346.20525611325604</v>
      </c>
      <c r="H255" s="48">
        <v>376.78760228187747</v>
      </c>
    </row>
    <row r="256" spans="2:8" ht="15.75" customHeight="1" x14ac:dyDescent="0.25">
      <c r="B256" s="48">
        <v>35</v>
      </c>
      <c r="C256" s="48" t="s">
        <v>133</v>
      </c>
      <c r="D256" s="48">
        <v>2013</v>
      </c>
      <c r="E256" s="48">
        <v>234.74</v>
      </c>
      <c r="F256" s="48">
        <v>221.42721583284148</v>
      </c>
      <c r="G256" s="48">
        <v>351.94118661518655</v>
      </c>
      <c r="H256" s="48">
        <v>331.98158425963726</v>
      </c>
    </row>
    <row r="257" spans="2:8" ht="15.75" customHeight="1" x14ac:dyDescent="0.25">
      <c r="B257" s="48">
        <v>36</v>
      </c>
      <c r="C257" s="48" t="s">
        <v>134</v>
      </c>
      <c r="D257" s="48">
        <v>2013</v>
      </c>
      <c r="E257" s="48">
        <v>241.73</v>
      </c>
      <c r="F257" s="48">
        <v>253.10236439365531</v>
      </c>
      <c r="G257" s="48">
        <v>357.67711711711706</v>
      </c>
      <c r="H257" s="48">
        <v>374.50429831567737</v>
      </c>
    </row>
    <row r="258" spans="2:8" ht="15.75" customHeight="1" x14ac:dyDescent="0.25">
      <c r="B258" s="48">
        <v>37</v>
      </c>
      <c r="C258" s="48" t="s">
        <v>69</v>
      </c>
      <c r="D258" s="48">
        <v>2014</v>
      </c>
      <c r="E258" s="48"/>
      <c r="F258" s="48"/>
      <c r="G258" s="48">
        <v>363.41304761904757</v>
      </c>
      <c r="H258" s="48">
        <v>318.61726474712918</v>
      </c>
    </row>
    <row r="259" spans="2:8" ht="15.75" customHeight="1" x14ac:dyDescent="0.25">
      <c r="B259" s="48">
        <v>38</v>
      </c>
      <c r="C259" s="48" t="s">
        <v>136</v>
      </c>
      <c r="D259" s="48">
        <v>2014</v>
      </c>
      <c r="E259" s="48"/>
      <c r="F259" s="48"/>
      <c r="G259" s="48">
        <v>369.14897812097809</v>
      </c>
      <c r="H259" s="48">
        <v>237.91044134923683</v>
      </c>
    </row>
    <row r="260" spans="2:8" ht="15.75" customHeight="1" x14ac:dyDescent="0.25">
      <c r="B260" s="48">
        <v>39</v>
      </c>
      <c r="C260" s="48" t="s">
        <v>137</v>
      </c>
      <c r="D260" s="48">
        <v>2014</v>
      </c>
      <c r="E260" s="48"/>
      <c r="F260" s="48"/>
      <c r="G260" s="48">
        <v>374.8849086229086</v>
      </c>
      <c r="H260" s="48">
        <v>194.942310631179</v>
      </c>
    </row>
    <row r="261" spans="2:8" ht="15.75" customHeight="1" x14ac:dyDescent="0.25">
      <c r="B261" s="48">
        <v>40</v>
      </c>
      <c r="C261" s="48" t="s">
        <v>138</v>
      </c>
      <c r="D261" s="48">
        <v>2014</v>
      </c>
      <c r="E261" s="48"/>
      <c r="F261" s="48"/>
      <c r="G261" s="48">
        <v>380.62083912483911</v>
      </c>
      <c r="H261" s="48">
        <v>1381.2270630124699</v>
      </c>
    </row>
    <row r="262" spans="2:8" ht="15.75" customHeight="1" x14ac:dyDescent="0.25">
      <c r="B262" s="48">
        <v>41</v>
      </c>
      <c r="C262" s="48" t="s">
        <v>139</v>
      </c>
      <c r="D262" s="48">
        <v>2014</v>
      </c>
      <c r="E262" s="48"/>
      <c r="F262" s="48"/>
      <c r="G262" s="48">
        <v>386.35676962676962</v>
      </c>
      <c r="H262" s="48">
        <v>246.85220132861713</v>
      </c>
    </row>
    <row r="263" spans="2:8" ht="15.75" customHeight="1" x14ac:dyDescent="0.25">
      <c r="B263" s="48">
        <v>42</v>
      </c>
      <c r="C263" s="48" t="s">
        <v>140</v>
      </c>
      <c r="D263" s="48">
        <v>2014</v>
      </c>
      <c r="E263" s="48"/>
      <c r="F263" s="48"/>
      <c r="G263" s="48">
        <v>392.09270012870013</v>
      </c>
      <c r="H263" s="48">
        <v>244.07576604359372</v>
      </c>
    </row>
    <row r="264" spans="2:8" ht="15.75" customHeight="1" x14ac:dyDescent="0.25">
      <c r="B264" s="48">
        <v>43</v>
      </c>
      <c r="C264" s="48" t="s">
        <v>129</v>
      </c>
      <c r="D264" s="48">
        <v>2014</v>
      </c>
      <c r="E264" s="48"/>
      <c r="F264" s="48"/>
      <c r="G264" s="48">
        <v>397.82863063063064</v>
      </c>
      <c r="H264" s="48">
        <v>329.96149823039906</v>
      </c>
    </row>
    <row r="265" spans="2:8" ht="15.75" customHeight="1" x14ac:dyDescent="0.25">
      <c r="B265" s="48">
        <v>44</v>
      </c>
      <c r="C265" s="48" t="s">
        <v>130</v>
      </c>
      <c r="D265" s="48">
        <v>2014</v>
      </c>
      <c r="E265" s="48"/>
      <c r="F265" s="48"/>
      <c r="G265" s="48">
        <v>403.5645611325611</v>
      </c>
      <c r="H265" s="48">
        <v>297.89260101719884</v>
      </c>
    </row>
    <row r="266" spans="2:8" ht="15.75" customHeight="1" x14ac:dyDescent="0.25">
      <c r="B266" s="48">
        <v>45</v>
      </c>
      <c r="C266" s="48" t="s">
        <v>131</v>
      </c>
      <c r="D266" s="48">
        <v>2014</v>
      </c>
      <c r="E266" s="48"/>
      <c r="F266" s="48"/>
      <c r="G266" s="48">
        <v>409.30049163449161</v>
      </c>
      <c r="H266" s="48">
        <v>418.50151988184524</v>
      </c>
    </row>
    <row r="267" spans="2:8" ht="15.75" customHeight="1" x14ac:dyDescent="0.25">
      <c r="B267" s="48">
        <v>46</v>
      </c>
      <c r="C267" s="48" t="s">
        <v>132</v>
      </c>
      <c r="D267" s="48">
        <v>2014</v>
      </c>
      <c r="E267" s="48"/>
      <c r="F267" s="48"/>
      <c r="G267" s="48">
        <v>415.03642213642212</v>
      </c>
      <c r="H267" s="48">
        <v>451.69902996872463</v>
      </c>
    </row>
    <row r="268" spans="2:8" ht="15.75" customHeight="1" x14ac:dyDescent="0.25">
      <c r="B268" s="48">
        <v>47</v>
      </c>
      <c r="C268" s="48" t="s">
        <v>133</v>
      </c>
      <c r="D268" s="48">
        <v>2014</v>
      </c>
      <c r="E268" s="48"/>
      <c r="F268" s="48"/>
      <c r="G268" s="48">
        <v>420.77235263835263</v>
      </c>
      <c r="H268" s="48">
        <v>396.90913582748999</v>
      </c>
    </row>
    <row r="269" spans="2:8" ht="15.75" customHeight="1" x14ac:dyDescent="0.25">
      <c r="B269" s="48">
        <v>48</v>
      </c>
      <c r="C269" s="48" t="s">
        <v>134</v>
      </c>
      <c r="D269" s="48">
        <v>2014</v>
      </c>
      <c r="E269" s="48"/>
      <c r="F269" s="48"/>
      <c r="G269" s="48">
        <v>426.50828314028308</v>
      </c>
      <c r="H269" s="48">
        <v>446.573676814149</v>
      </c>
    </row>
  </sheetData>
  <mergeCells count="1">
    <mergeCell ref="B73:H73"/>
  </mergeCells>
  <printOptions horizontalCentered="1"/>
  <pageMargins left="0" right="0" top="0" bottom="0" header="0" footer="0"/>
  <pageSetup paperSize="9" scale="73" fitToWidth="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71"/>
  <sheetViews>
    <sheetView topLeftCell="A22" zoomScale="70" zoomScaleNormal="70" workbookViewId="0">
      <selection sqref="A1:C7"/>
    </sheetView>
  </sheetViews>
  <sheetFormatPr baseColWidth="10" defaultColWidth="12.54296875" defaultRowHeight="15.75" customHeight="1" x14ac:dyDescent="0.25"/>
  <cols>
    <col min="2" max="2" width="20.453125" customWidth="1"/>
    <col min="3" max="3" width="29.90625" customWidth="1"/>
    <col min="4" max="4" width="19" customWidth="1"/>
  </cols>
  <sheetData>
    <row r="1" spans="1:3" ht="15.75" customHeight="1" x14ac:dyDescent="0.3">
      <c r="A1" s="79" t="s">
        <v>0</v>
      </c>
      <c r="B1" s="68"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29" spans="4:4" ht="15.75" customHeight="1" x14ac:dyDescent="0.25">
      <c r="D29" t="s">
        <v>148</v>
      </c>
    </row>
    <row r="33" spans="1:7" ht="15.75" customHeight="1" x14ac:dyDescent="0.3">
      <c r="A33" s="116" t="s">
        <v>149</v>
      </c>
      <c r="B33" s="116" t="s">
        <v>150</v>
      </c>
      <c r="C33" s="116" t="s">
        <v>151</v>
      </c>
      <c r="D33" s="116" t="s">
        <v>152</v>
      </c>
    </row>
    <row r="34" spans="1:7" ht="15.75" customHeight="1" x14ac:dyDescent="0.25">
      <c r="A34" s="48">
        <v>1</v>
      </c>
      <c r="B34" s="48">
        <v>4.5</v>
      </c>
      <c r="C34" s="48">
        <v>2.2879999999999998</v>
      </c>
      <c r="D34" s="48">
        <f>$G$42+$F$42*B34</f>
        <v>2.6025999999999994</v>
      </c>
    </row>
    <row r="35" spans="1:7" ht="15.75" customHeight="1" x14ac:dyDescent="0.25">
      <c r="A35" s="48">
        <v>2</v>
      </c>
      <c r="B35" s="48">
        <v>4.5</v>
      </c>
      <c r="C35" s="48">
        <v>3.1459999999999999</v>
      </c>
      <c r="D35" s="48">
        <f t="shared" ref="D35:D45" si="0">$G$42+$F$42*B35</f>
        <v>2.6025999999999994</v>
      </c>
    </row>
    <row r="36" spans="1:7" ht="15.75" customHeight="1" x14ac:dyDescent="0.25">
      <c r="A36" s="48">
        <v>3</v>
      </c>
      <c r="B36" s="48">
        <v>4.5</v>
      </c>
      <c r="C36" s="48">
        <v>2.0019999999999998</v>
      </c>
      <c r="D36" s="48">
        <f t="shared" si="0"/>
        <v>2.6025999999999994</v>
      </c>
    </row>
    <row r="37" spans="1:7" ht="15.75" customHeight="1" x14ac:dyDescent="0.25">
      <c r="A37" s="48">
        <v>4</v>
      </c>
      <c r="B37" s="48">
        <v>9</v>
      </c>
      <c r="C37" s="48">
        <v>2.7170000000000001</v>
      </c>
      <c r="D37" s="48">
        <f t="shared" si="0"/>
        <v>3.1316999999999995</v>
      </c>
    </row>
    <row r="38" spans="1:7" ht="15.75" customHeight="1" x14ac:dyDescent="0.25">
      <c r="A38" s="48">
        <v>5</v>
      </c>
      <c r="B38" s="48">
        <v>9</v>
      </c>
      <c r="C38" s="48">
        <v>3.4319999999999999</v>
      </c>
      <c r="D38" s="48">
        <f t="shared" si="0"/>
        <v>3.1316999999999995</v>
      </c>
    </row>
    <row r="39" spans="1:7" ht="15.75" customHeight="1" x14ac:dyDescent="0.25">
      <c r="A39" s="48">
        <v>6</v>
      </c>
      <c r="B39" s="48">
        <v>9</v>
      </c>
      <c r="C39" s="48">
        <v>3.718</v>
      </c>
      <c r="D39" s="48">
        <f t="shared" si="0"/>
        <v>3.1316999999999995</v>
      </c>
    </row>
    <row r="40" spans="1:7" ht="15.75" customHeight="1" x14ac:dyDescent="0.25">
      <c r="A40" s="48">
        <v>7</v>
      </c>
      <c r="B40" s="48">
        <v>13.5</v>
      </c>
      <c r="C40" s="48">
        <v>3.2890000000000001</v>
      </c>
      <c r="D40" s="48">
        <f t="shared" si="0"/>
        <v>3.6608000000000001</v>
      </c>
    </row>
    <row r="41" spans="1:7" ht="15.75" customHeight="1" x14ac:dyDescent="0.25">
      <c r="A41" s="48">
        <v>8</v>
      </c>
      <c r="B41" s="48">
        <v>13.5</v>
      </c>
      <c r="C41" s="48">
        <v>3.8610000000000002</v>
      </c>
      <c r="D41" s="48">
        <f t="shared" si="0"/>
        <v>3.6608000000000001</v>
      </c>
    </row>
    <row r="42" spans="1:7" ht="15.75" customHeight="1" x14ac:dyDescent="0.3">
      <c r="A42" s="48">
        <v>9</v>
      </c>
      <c r="B42" s="48">
        <v>13.5</v>
      </c>
      <c r="C42" s="48">
        <v>4.0039999999999996</v>
      </c>
      <c r="D42" s="48">
        <f t="shared" si="0"/>
        <v>3.6608000000000001</v>
      </c>
      <c r="F42" s="15" cm="1">
        <f t="array" ref="F42:G46">LINEST(C34:C45,B34:B45,TRUE,TRUE)</f>
        <v>0.11757777777777782</v>
      </c>
      <c r="G42" s="15">
        <v>2.0734999999999992</v>
      </c>
    </row>
    <row r="43" spans="1:7" ht="15.75" customHeight="1" x14ac:dyDescent="0.3">
      <c r="A43" s="48">
        <v>10</v>
      </c>
      <c r="B43" s="48">
        <v>18</v>
      </c>
      <c r="C43" s="48">
        <v>3.718</v>
      </c>
      <c r="D43" s="48">
        <f t="shared" si="0"/>
        <v>4.1898999999999997</v>
      </c>
      <c r="F43" s="15">
        <v>2.5276154445229494E-2</v>
      </c>
      <c r="G43" s="15">
        <v>0.3114971990243251</v>
      </c>
    </row>
    <row r="44" spans="1:7" ht="15.75" customHeight="1" x14ac:dyDescent="0.3">
      <c r="A44" s="48">
        <v>11</v>
      </c>
      <c r="B44" s="48">
        <v>18</v>
      </c>
      <c r="C44" s="48">
        <v>4.1470000000000002</v>
      </c>
      <c r="D44" s="48">
        <f t="shared" si="0"/>
        <v>4.1898999999999997</v>
      </c>
      <c r="F44" s="15">
        <v>0.68393005828476272</v>
      </c>
      <c r="G44" s="15">
        <v>0.44052356350143174</v>
      </c>
    </row>
    <row r="45" spans="1:7" ht="15.75" customHeight="1" x14ac:dyDescent="0.3">
      <c r="A45" s="48">
        <v>12</v>
      </c>
      <c r="B45" s="48">
        <v>18</v>
      </c>
      <c r="C45" s="48">
        <v>4.4329999999999998</v>
      </c>
      <c r="D45" s="48">
        <f t="shared" si="0"/>
        <v>4.1898999999999997</v>
      </c>
      <c r="F45" s="15">
        <v>21.638566912539517</v>
      </c>
      <c r="G45" s="15">
        <v>10</v>
      </c>
    </row>
    <row r="46" spans="1:7" ht="15.75" customHeight="1" x14ac:dyDescent="0.3">
      <c r="A46" s="48" t="s">
        <v>153</v>
      </c>
      <c r="B46" s="48">
        <f>0.1/2</f>
        <v>0.05</v>
      </c>
      <c r="E46" s="38">
        <f>G42+11.5*F42</f>
        <v>3.425644444444444</v>
      </c>
      <c r="F46" s="41">
        <v>4.1992021499999996</v>
      </c>
      <c r="G46" s="15">
        <v>1.9406100999999998</v>
      </c>
    </row>
    <row r="47" spans="1:7" ht="15.75" customHeight="1" x14ac:dyDescent="0.3">
      <c r="A47" s="48" t="s">
        <v>154</v>
      </c>
      <c r="B47" s="48">
        <v>2.2281</v>
      </c>
      <c r="E47" s="40"/>
    </row>
    <row r="48" spans="1:7" ht="15.75" customHeight="1" x14ac:dyDescent="0.3">
      <c r="A48" s="43" t="s">
        <v>155</v>
      </c>
      <c r="B48" s="124">
        <f>$E$46+$B$47*($G$44/(SQRT($A$45)))</f>
        <v>3.7089879086050668</v>
      </c>
    </row>
    <row r="49" spans="1:2" ht="15.75" customHeight="1" x14ac:dyDescent="0.3">
      <c r="A49" s="15" t="s">
        <v>156</v>
      </c>
      <c r="B49" s="38">
        <f>$E$46-$B$47*($G$44/(SQRT($A$45)))</f>
        <v>3.1423009802838213</v>
      </c>
    </row>
    <row r="69" spans="1:7" ht="15.75" customHeight="1" x14ac:dyDescent="0.25">
      <c r="A69" s="146" t="s">
        <v>157</v>
      </c>
      <c r="B69" s="146"/>
      <c r="C69" s="146"/>
      <c r="D69" s="146"/>
      <c r="E69" s="146"/>
      <c r="F69" s="146"/>
      <c r="G69" s="146"/>
    </row>
    <row r="70" spans="1:7" ht="15.75" customHeight="1" x14ac:dyDescent="0.25">
      <c r="A70" s="146"/>
      <c r="B70" s="146"/>
      <c r="C70" s="146"/>
      <c r="D70" s="146"/>
      <c r="E70" s="146"/>
      <c r="F70" s="146"/>
      <c r="G70" s="146"/>
    </row>
    <row r="71" spans="1:7" ht="15.75" customHeight="1" x14ac:dyDescent="0.25">
      <c r="A71" s="146"/>
      <c r="B71" s="146"/>
      <c r="C71" s="146"/>
      <c r="D71" s="146"/>
      <c r="E71" s="146"/>
      <c r="F71" s="146"/>
      <c r="G71" s="146"/>
    </row>
  </sheetData>
  <mergeCells count="1">
    <mergeCell ref="A69:G71"/>
  </mergeCells>
  <pageMargins left="0" right="0" top="0" bottom="0" header="0" footer="0"/>
  <pageSetup paperSize="9" scale="76" fitToWidth="0"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F61"/>
  <sheetViews>
    <sheetView zoomScale="80" zoomScaleNormal="80" workbookViewId="0">
      <selection activeCell="G66" sqref="G66"/>
    </sheetView>
  </sheetViews>
  <sheetFormatPr baseColWidth="10" defaultColWidth="12.54296875" defaultRowHeight="15.75" customHeight="1" x14ac:dyDescent="0.25"/>
  <cols>
    <col min="1" max="1" width="32.453125" customWidth="1"/>
    <col min="2" max="2" width="32.54296875" customWidth="1"/>
    <col min="3" max="3" width="21.26953125" customWidth="1"/>
    <col min="4" max="4" width="20.7265625" customWidth="1"/>
    <col min="5" max="5" width="18.453125" customWidth="1"/>
    <col min="6" max="6" width="16" customWidth="1"/>
  </cols>
  <sheetData>
    <row r="1" spans="1:3" ht="15.75" customHeight="1" x14ac:dyDescent="0.3">
      <c r="A1" s="79" t="s">
        <v>0</v>
      </c>
      <c r="B1" s="68" t="s">
        <v>1</v>
      </c>
      <c r="C1" s="131"/>
    </row>
    <row r="2" spans="1:3" ht="15.75" customHeight="1" x14ac:dyDescent="0.3">
      <c r="A2" s="130" t="s">
        <v>2</v>
      </c>
      <c r="B2" s="68" t="s">
        <v>3</v>
      </c>
      <c r="C2" s="131"/>
    </row>
    <row r="3" spans="1:3" ht="15.75" customHeight="1" x14ac:dyDescent="0.3">
      <c r="A3" s="130" t="s">
        <v>4</v>
      </c>
      <c r="B3" s="132" t="s">
        <v>179</v>
      </c>
      <c r="C3" s="131"/>
    </row>
    <row r="4" spans="1:3" ht="15.75" customHeight="1" x14ac:dyDescent="0.3">
      <c r="A4" s="131"/>
      <c r="B4" s="130" t="s">
        <v>6</v>
      </c>
      <c r="C4" s="130" t="s">
        <v>5</v>
      </c>
    </row>
    <row r="5" spans="1:3" ht="15.75" customHeight="1" x14ac:dyDescent="0.25">
      <c r="A5" s="131"/>
      <c r="B5" s="132" t="s">
        <v>180</v>
      </c>
      <c r="C5" s="132">
        <v>1724083</v>
      </c>
    </row>
    <row r="6" spans="1:3" ht="15.75" customHeight="1" x14ac:dyDescent="0.25">
      <c r="A6" s="131"/>
      <c r="B6" s="132" t="s">
        <v>181</v>
      </c>
      <c r="C6" s="131">
        <v>1726924</v>
      </c>
    </row>
    <row r="7" spans="1:3" ht="15.75" customHeight="1" x14ac:dyDescent="0.25">
      <c r="A7" s="131"/>
      <c r="B7" s="132" t="s">
        <v>182</v>
      </c>
      <c r="C7" s="132">
        <v>1730680</v>
      </c>
    </row>
    <row r="25" spans="1:3" ht="15.75" customHeight="1" x14ac:dyDescent="0.25">
      <c r="A25" s="126" t="s">
        <v>158</v>
      </c>
      <c r="B25" s="126" t="s">
        <v>159</v>
      </c>
      <c r="C25" s="126" t="s">
        <v>160</v>
      </c>
    </row>
    <row r="26" spans="1:3" ht="15.75" customHeight="1" x14ac:dyDescent="0.25">
      <c r="A26" s="125">
        <v>1</v>
      </c>
      <c r="B26" s="125">
        <v>14.68</v>
      </c>
      <c r="C26" s="125">
        <v>3.8450000000000002</v>
      </c>
    </row>
    <row r="27" spans="1:3" ht="15.75" customHeight="1" x14ac:dyDescent="0.25">
      <c r="A27" s="125">
        <v>2</v>
      </c>
      <c r="B27" s="125">
        <v>22.93</v>
      </c>
      <c r="C27" s="125">
        <v>5.54</v>
      </c>
    </row>
    <row r="28" spans="1:3" ht="15.75" customHeight="1" x14ac:dyDescent="0.25">
      <c r="A28" s="125">
        <v>3</v>
      </c>
      <c r="B28" s="125">
        <v>16.649999999999999</v>
      </c>
      <c r="C28" s="125">
        <v>5.0990000000000002</v>
      </c>
    </row>
    <row r="29" spans="1:3" ht="15.75" customHeight="1" x14ac:dyDescent="0.25">
      <c r="A29" s="125">
        <v>4</v>
      </c>
      <c r="B29" s="125">
        <v>35.99</v>
      </c>
      <c r="C29" s="125">
        <v>8.89</v>
      </c>
    </row>
    <row r="30" spans="1:3" ht="15.75" customHeight="1" x14ac:dyDescent="0.25">
      <c r="A30" s="125">
        <v>5</v>
      </c>
      <c r="B30" s="125">
        <v>32.479999999999997</v>
      </c>
      <c r="C30" s="125">
        <v>6.681</v>
      </c>
    </row>
    <row r="31" spans="1:3" ht="15.75" customHeight="1" x14ac:dyDescent="0.25">
      <c r="A31" s="125">
        <v>6</v>
      </c>
      <c r="B31" s="125">
        <v>38.770000000000003</v>
      </c>
      <c r="C31" s="125">
        <v>9.6780000000000008</v>
      </c>
    </row>
    <row r="32" spans="1:3" ht="15.75" customHeight="1" x14ac:dyDescent="0.25">
      <c r="A32" s="125">
        <v>7</v>
      </c>
      <c r="B32" s="125">
        <v>10.029999999999999</v>
      </c>
      <c r="C32" s="125">
        <v>4.5419999999999998</v>
      </c>
    </row>
    <row r="33" spans="1:3" ht="15.75" customHeight="1" x14ac:dyDescent="0.25">
      <c r="A33" s="125">
        <v>8</v>
      </c>
      <c r="B33" s="125">
        <v>24.26</v>
      </c>
      <c r="C33" s="125">
        <v>4.5570000000000004</v>
      </c>
    </row>
    <row r="34" spans="1:3" ht="15.75" customHeight="1" x14ac:dyDescent="0.25">
      <c r="A34" s="125">
        <v>9</v>
      </c>
      <c r="B34" s="125">
        <v>52.46</v>
      </c>
      <c r="C34" s="125">
        <v>13.289</v>
      </c>
    </row>
    <row r="35" spans="1:3" ht="15.75" customHeight="1" x14ac:dyDescent="0.25">
      <c r="A35" s="125">
        <v>10</v>
      </c>
      <c r="B35" s="125">
        <v>36.799999999999997</v>
      </c>
      <c r="C35" s="125">
        <v>10.506</v>
      </c>
    </row>
    <row r="36" spans="1:3" ht="15.75" customHeight="1" x14ac:dyDescent="0.25">
      <c r="A36" s="125">
        <v>11</v>
      </c>
      <c r="B36" s="125">
        <v>17.34</v>
      </c>
      <c r="C36" s="125">
        <v>5.1340000000000003</v>
      </c>
    </row>
    <row r="37" spans="1:3" ht="15.75" customHeight="1" x14ac:dyDescent="0.25">
      <c r="A37" s="125">
        <v>12</v>
      </c>
      <c r="B37" s="125">
        <v>43.668999999999997</v>
      </c>
      <c r="C37" s="125">
        <v>9.0660000000000007</v>
      </c>
    </row>
    <row r="54" spans="1:6" ht="15.75" customHeight="1" x14ac:dyDescent="0.3">
      <c r="A54" s="69" t="s">
        <v>159</v>
      </c>
      <c r="B54" s="69" t="s">
        <v>161</v>
      </c>
      <c r="C54" s="69" t="s">
        <v>26</v>
      </c>
      <c r="D54" s="69" t="s">
        <v>160</v>
      </c>
    </row>
    <row r="55" spans="1:6" ht="15.75" customHeight="1" x14ac:dyDescent="0.3">
      <c r="A55" s="15">
        <v>50</v>
      </c>
      <c r="B55" s="12">
        <v>1.1276999999999999</v>
      </c>
      <c r="C55" s="12">
        <v>0.22117999999999999</v>
      </c>
      <c r="D55" s="15">
        <f>(C55*A55)+B55</f>
        <v>12.186699999999998</v>
      </c>
    </row>
    <row r="57" spans="1:6" ht="15.75" customHeight="1" x14ac:dyDescent="0.3">
      <c r="A57" s="139" t="s">
        <v>162</v>
      </c>
      <c r="B57" s="139" t="s">
        <v>163</v>
      </c>
      <c r="C57" s="139" t="s">
        <v>164</v>
      </c>
      <c r="D57" s="139" t="s">
        <v>165</v>
      </c>
      <c r="E57" s="139" t="s">
        <v>166</v>
      </c>
      <c r="F57" s="139" t="s">
        <v>167</v>
      </c>
    </row>
    <row r="58" spans="1:6" ht="15.75" customHeight="1" x14ac:dyDescent="0.25">
      <c r="A58" s="12">
        <v>0.95</v>
      </c>
      <c r="B58" s="12">
        <v>0.05</v>
      </c>
      <c r="C58" s="12">
        <v>2.5000000000000001E-2</v>
      </c>
      <c r="D58" s="12">
        <v>10</v>
      </c>
      <c r="E58" s="12">
        <v>2.6337999999999999</v>
      </c>
      <c r="F58" s="12">
        <f>STEYX(C26:C37,B26:B37)</f>
        <v>1.1165887738514122</v>
      </c>
    </row>
    <row r="60" spans="1:6" ht="15.75" customHeight="1" x14ac:dyDescent="0.3">
      <c r="A60" s="127" t="s">
        <v>168</v>
      </c>
      <c r="B60" s="128" t="s">
        <v>169</v>
      </c>
      <c r="C60" s="147" t="s">
        <v>170</v>
      </c>
      <c r="D60" s="147"/>
      <c r="E60" s="147"/>
    </row>
    <row r="61" spans="1:6" ht="15.75" customHeight="1" x14ac:dyDescent="0.3">
      <c r="A61" s="127">
        <f>D55+((F58/SQRT(12))*E58)</f>
        <v>13.035656479717151</v>
      </c>
      <c r="B61" s="128">
        <f>D55-((F58/SQRT(12))*E58)</f>
        <v>11.337743520282846</v>
      </c>
      <c r="C61" s="147"/>
      <c r="D61" s="147"/>
      <c r="E61" s="147"/>
    </row>
  </sheetData>
  <mergeCells count="1">
    <mergeCell ref="C60:E61"/>
  </mergeCells>
  <pageMargins left="0" right="0" top="0" bottom="0" header="0" footer="0"/>
  <pageSetup paperSize="9" scale="7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Caratula</vt:lpstr>
      <vt:lpstr>FOR 11</vt:lpstr>
      <vt:lpstr>FOR 12</vt:lpstr>
      <vt:lpstr>FOR 13</vt:lpstr>
      <vt:lpstr>FOR 14</vt:lpstr>
      <vt:lpstr>FOR 15</vt:lpstr>
      <vt:lpstr>FOR 16</vt:lpstr>
      <vt:lpstr>FOR 17</vt:lpstr>
      <vt:lpstr>FOR 18</vt:lpstr>
      <vt:lpstr>FOR 19</vt:lpstr>
      <vt:lpstr>FOR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Gina Casado</dc:creator>
  <cp:keywords/>
  <dc:description/>
  <cp:lastModifiedBy>Gina Casado</cp:lastModifiedBy>
  <cp:revision/>
  <cp:lastPrinted>2024-08-22T16:58:40Z</cp:lastPrinted>
  <dcterms:created xsi:type="dcterms:W3CDTF">2024-04-04T16:16:50Z</dcterms:created>
  <dcterms:modified xsi:type="dcterms:W3CDTF">2024-11-01T14:30:36Z</dcterms:modified>
  <cp:category/>
  <cp:contentStatus/>
</cp:coreProperties>
</file>