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atula" sheetId="1" r:id="rId5"/>
    <sheet state="visible" name="FOR11" sheetId="2" r:id="rId6"/>
    <sheet state="visible" name="FOR12" sheetId="3" r:id="rId7"/>
    <sheet state="visible" name="FOR13" sheetId="4" r:id="rId8"/>
    <sheet state="visible" name="FOR14" sheetId="5" r:id="rId9"/>
    <sheet state="visible" name="FOR15" sheetId="6" r:id="rId10"/>
    <sheet state="visible" name="FOR16" sheetId="7" r:id="rId11"/>
    <sheet state="visible" name="FOR17" sheetId="8" r:id="rId12"/>
    <sheet state="visible" name="FOR18" sheetId="9" r:id="rId13"/>
    <sheet state="visible" name="FOR19" sheetId="10" r:id="rId14"/>
    <sheet state="visible" name="FOR20" sheetId="11" r:id="rId15"/>
    <sheet state="visible" name="FOR21" sheetId="12" r:id="rId1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2">
      <text>
        <t xml:space="preserve">Se usa n=4 para desestacionalizar, leer a partir del slide 339</t>
      </text>
    </comment>
    <comment authorId="0" ref="G35">
      <text>
        <t xml:space="preserve">Promedio de los índices del mismo Q.
La suma de los promedios tiene que dar 1.
</t>
      </text>
    </comment>
    <comment authorId="0" ref="M32">
      <text>
        <t xml:space="preserve">Averiguar porqué en (d) se divide por el índice y acá se multiplica.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13">
      <text>
        <t xml:space="preserve">Averiguar porqué en (d) se divide por el índice y acá se multiplica.
</t>
      </text>
    </comment>
    <comment authorId="0" ref="E13">
      <text>
        <t xml:space="preserve">Se usa n=4 para desestacionalizar, leer a partir del slide 339</t>
      </text>
    </comment>
    <comment authorId="0" ref="I13">
      <text>
        <t xml:space="preserve">Se usa n=4 para desestacionalizar, leer a partir del slide 339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13">
      <text>
        <t xml:space="preserve">Averiguar porqué en (d) se divide por el índice y acá se multiplica.
</t>
      </text>
    </comment>
    <comment authorId="0" ref="E13">
      <text>
        <t xml:space="preserve">Se usa n=4 para desestacionalizar, leer a partir del slide 339</t>
      </text>
    </comment>
    <comment authorId="0" ref="I13">
      <text>
        <t xml:space="preserve">Se usa n=4 para desestacionalizar, leer a partir del slide 339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5">
      <text>
        <t xml:space="preserve">Se usa n=4 para desestacionalizar, leer a partir del slide 339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7">
      <text>
        <t xml:space="preserve">Se usa n=4 para desestacionalizar, leer a partir del slide 339</t>
      </text>
    </comment>
  </commentList>
</comments>
</file>

<file path=xl/sharedStrings.xml><?xml version="1.0" encoding="utf-8"?>
<sst xmlns="http://schemas.openxmlformats.org/spreadsheetml/2006/main" count="359" uniqueCount="181">
  <si>
    <t>Asignatura</t>
  </si>
  <si>
    <t>Control de gestión</t>
  </si>
  <si>
    <t>Docente</t>
  </si>
  <si>
    <t>Ing. Diego Pelaccini</t>
  </si>
  <si>
    <t>Curso</t>
  </si>
  <si>
    <t>I5052 VIERNES</t>
  </si>
  <si>
    <t>Integrantes</t>
  </si>
  <si>
    <t>Legajos</t>
  </si>
  <si>
    <t>Greco, Santiago</t>
  </si>
  <si>
    <t>177980-1</t>
  </si>
  <si>
    <t>Castro, Leandro</t>
  </si>
  <si>
    <t>167285-0</t>
  </si>
  <si>
    <t>Rodriguez, Brenda</t>
  </si>
  <si>
    <t>164269-8</t>
  </si>
  <si>
    <t>Albarracin, Mateo</t>
  </si>
  <si>
    <t>164403-8</t>
  </si>
  <si>
    <t>TRABAJO PRÁCTICO  — FORECAST</t>
  </si>
  <si>
    <t>a)</t>
  </si>
  <si>
    <t>Semana</t>
  </si>
  <si>
    <t>Valor</t>
  </si>
  <si>
    <t>media movil 3 sem</t>
  </si>
  <si>
    <t>Ventas</t>
  </si>
  <si>
    <t>Error</t>
  </si>
  <si>
    <t>Error absoluto</t>
  </si>
  <si>
    <t>media movil 4 sem</t>
  </si>
  <si>
    <t>Error ^2</t>
  </si>
  <si>
    <t>Error %</t>
  </si>
  <si>
    <t>Año</t>
  </si>
  <si>
    <t>Coto unitario</t>
  </si>
  <si>
    <t>X2</t>
  </si>
  <si>
    <t>X*Y</t>
  </si>
  <si>
    <t>pronostico semana 7</t>
  </si>
  <si>
    <t>MAD</t>
  </si>
  <si>
    <t>MSE</t>
  </si>
  <si>
    <t>MAPE</t>
  </si>
  <si>
    <t>b)</t>
  </si>
  <si>
    <t>N</t>
  </si>
  <si>
    <t>X</t>
  </si>
  <si>
    <t>a</t>
  </si>
  <si>
    <t>y</t>
  </si>
  <si>
    <t>c)</t>
  </si>
  <si>
    <t>b</t>
  </si>
  <si>
    <t>xy</t>
  </si>
  <si>
    <t>media movil 2 sem</t>
  </si>
  <si>
    <t>pronostico semana 13</t>
  </si>
  <si>
    <t>(EMC)</t>
  </si>
  <si>
    <t xml:space="preserve">Por cuadrado minimos: </t>
  </si>
  <si>
    <t>media movil 5 sem</t>
  </si>
  <si>
    <t>9a + 45b = 776,3</t>
  </si>
  <si>
    <t>45a + 285b = 4203,6</t>
  </si>
  <si>
    <t>a=</t>
  </si>
  <si>
    <t>b=</t>
  </si>
  <si>
    <t>ec. recta.</t>
  </si>
  <si>
    <t>y = 59,41 + 5,368 año</t>
  </si>
  <si>
    <t>Costo unitario</t>
  </si>
  <si>
    <t>Tendencia lineal</t>
  </si>
  <si>
    <t>d) Eligiriamos media movil 2, debido a que la reacción es más rapida dada la volatilidad de la muestra. Además, el error de ambos modelos es similar.</t>
  </si>
  <si>
    <t>c) Al tener una muestra con mayor cantidad de datos y valores homogéneos, es preferible seleccionar n=5 (seguirá mejor la curva real). Posee un menor MSE y también un menor Error %.</t>
  </si>
  <si>
    <t>Venta</t>
  </si>
  <si>
    <t>XY</t>
  </si>
  <si>
    <t>b) Regresión lineal</t>
  </si>
  <si>
    <t>x</t>
  </si>
  <si>
    <t>x2</t>
  </si>
  <si>
    <t>Ec. Recta</t>
  </si>
  <si>
    <t>Venta = 28 + 14,36 Año</t>
  </si>
  <si>
    <t>Q1</t>
  </si>
  <si>
    <t>Q2</t>
  </si>
  <si>
    <t>Q3</t>
  </si>
  <si>
    <t>Q4</t>
  </si>
  <si>
    <t>Total</t>
  </si>
  <si>
    <t>Promedio trimestral</t>
  </si>
  <si>
    <t>Y</t>
  </si>
  <si>
    <t>a= 10,86</t>
  </si>
  <si>
    <t xml:space="preserve">                   =</t>
  </si>
  <si>
    <t>b=  2,35</t>
  </si>
  <si>
    <t>d)</t>
  </si>
  <si>
    <t>c) Q4 = 0,69</t>
  </si>
  <si>
    <t>Y = 10,86 + 2,35 X</t>
  </si>
  <si>
    <t>Quarter</t>
  </si>
  <si>
    <t>Media Móvil (n=4)</t>
  </si>
  <si>
    <t>Media Móvil (Centrado)</t>
  </si>
  <si>
    <t>Índice</t>
  </si>
  <si>
    <t>Índice Adoptado</t>
  </si>
  <si>
    <t>Ventas Desestacionalizadas</t>
  </si>
  <si>
    <t>Período (Trim.)</t>
  </si>
  <si>
    <t>Proyección Tendencia (calculada)</t>
  </si>
  <si>
    <t>Proyección Tendencia c/Estacionalidad</t>
  </si>
  <si>
    <t>YX</t>
  </si>
  <si>
    <t>Y=309,54 + 1,76X</t>
  </si>
  <si>
    <t>Nº</t>
  </si>
  <si>
    <t>Período</t>
  </si>
  <si>
    <t>Ventas (mill.)</t>
  </si>
  <si>
    <t>Estación</t>
  </si>
  <si>
    <t>Media Móvil n=4(Centrado)</t>
  </si>
  <si>
    <t>índice</t>
  </si>
  <si>
    <t>Índice Adoptado n=4</t>
  </si>
  <si>
    <t>Media Móvil (n=12)</t>
  </si>
  <si>
    <t>Media Móvil n=12(Centrado)</t>
  </si>
  <si>
    <t>Índice N=12</t>
  </si>
  <si>
    <t>Índice Adoptado N=12</t>
  </si>
  <si>
    <t>Período (Mes)</t>
  </si>
  <si>
    <t>Ene-2022</t>
  </si>
  <si>
    <t>Y=1,01 + 1,86X</t>
  </si>
  <si>
    <t>|Error|</t>
  </si>
  <si>
    <t>Error²</t>
  </si>
  <si>
    <t>|Error%|</t>
  </si>
  <si>
    <t>Feb-2022</t>
  </si>
  <si>
    <t>Mar-2022</t>
  </si>
  <si>
    <t>Abr-2022</t>
  </si>
  <si>
    <t>May-2022</t>
  </si>
  <si>
    <t>Jun-2022</t>
  </si>
  <si>
    <t>Jul-2022</t>
  </si>
  <si>
    <t>Ago-2022</t>
  </si>
  <si>
    <t>Sep-2022</t>
  </si>
  <si>
    <t>Oct-2022</t>
  </si>
  <si>
    <t>Nov-2022</t>
  </si>
  <si>
    <t>Dic-2022</t>
  </si>
  <si>
    <t>c)  Elegiría N más grande cuando la serie tiene mucho ruido aleatorio y una media estable, ya que se promedian más datos, suaviza mejor y reduce el impacto de valores atípicos, pero reacciona lento a cambios reales de nivel/tendencia.
Elegiría N más chico cuando la serie cambia de nivel o tendencia con frecuencia, ya que el pronóstico sigue más rápido los cambios recientes, pero es más sensible al ruido y a los valores atípicos.</t>
  </si>
  <si>
    <t>Ene-2023</t>
  </si>
  <si>
    <t>Feb-2023</t>
  </si>
  <si>
    <t>Mar-2023</t>
  </si>
  <si>
    <t>Abr-2023</t>
  </si>
  <si>
    <t>May-2023</t>
  </si>
  <si>
    <t>Jun-2023</t>
  </si>
  <si>
    <t>Jul-2023</t>
  </si>
  <si>
    <t>Ago-2023</t>
  </si>
  <si>
    <t>Sep-2023</t>
  </si>
  <si>
    <t>Oct-2023</t>
  </si>
  <si>
    <t>Nov-2023</t>
  </si>
  <si>
    <t>Dic-2023</t>
  </si>
  <si>
    <t>Ene-2024</t>
  </si>
  <si>
    <t>Feb-2024</t>
  </si>
  <si>
    <t>Mar-2024</t>
  </si>
  <si>
    <t>Abr-2024</t>
  </si>
  <si>
    <t>May-2024</t>
  </si>
  <si>
    <t>Jun-2024</t>
  </si>
  <si>
    <t>Jul-2024</t>
  </si>
  <si>
    <t>Ago-2024</t>
  </si>
  <si>
    <t>Sep-2024</t>
  </si>
  <si>
    <t>Oct-2024</t>
  </si>
  <si>
    <t>Nov-2024</t>
  </si>
  <si>
    <t>Media Móvil (n=5)</t>
  </si>
  <si>
    <t>Dic-2024</t>
  </si>
  <si>
    <t>Ene-2025</t>
  </si>
  <si>
    <t>Feb-2025</t>
  </si>
  <si>
    <t>Mar-2025</t>
  </si>
  <si>
    <t>Abr-2025</t>
  </si>
  <si>
    <t>May-2025</t>
  </si>
  <si>
    <t>Jun-2025</t>
  </si>
  <si>
    <t>Jul-2025</t>
  </si>
  <si>
    <t>Ago-2025</t>
  </si>
  <si>
    <t>Sep-2025</t>
  </si>
  <si>
    <t>Oct-2025</t>
  </si>
  <si>
    <t>Nov-2025</t>
  </si>
  <si>
    <t>Dic-2025</t>
  </si>
  <si>
    <t>b) El suavizamiento mas adecuado es el que corresponde a n=12 porque el objetivo es suavizar para revelar la tendencia a largo plazo</t>
  </si>
  <si>
    <t>c) Utilizaría métodos cualitativos cuando no hay datos históricos confiables o suficientes (producto nuevo, mercado nuevo, horizonte largo). Se basan en juicio experto.
Utilizaría métodos de regresion o causales cuando la variable a pronosticar depende de otras variables explicativas medibles.
Elegiria tecnicas de suavizamiento cuando se trata de series de tiempo estables o con patrones regulares, de horizontes cortos y sin quiebres bruscos. Con atípicos como los de este ejercicio, conviene depurarlos primero.</t>
  </si>
  <si>
    <t>Nº Período</t>
  </si>
  <si>
    <t>Trimestre</t>
  </si>
  <si>
    <t>Ventas (miles)</t>
  </si>
  <si>
    <t>Índice adopt.</t>
  </si>
  <si>
    <t>Ventas desestac.</t>
  </si>
  <si>
    <t>a) Serie = Tendencia × Estacionalidad × (Ciclo) × Irregular  →  Ŷ = (a + b·t) × Iₑ.  Tendencia (a+b·t) es componente de LARGO plazo; la estacionalidad (Iₑ) es de CORTO plazo (patrón que se repite dentro del año); el ciclo es de largo plazo y el componente irregular/aleatorio es de corto plazo.</t>
  </si>
  <si>
    <t>b) Son las ventas a las que se les quitó el efecto estacional (Ventas / índice adoptado). Muestran la evolución 'limpia' de la serie, permitiendo ver la tendencia y comparar trimestres sin la distorsión estacional.</t>
  </si>
  <si>
    <t>c) a (ordenada al origen = 5,100): nivel base de la serie desestacionalizada en t=0. 
    b (pendiente = 0,147): incremento promedio de ventas desestacionalizadas por cada trimestre que pasa (crecimiento tendencial). Como b&gt;0, la tendencia es creciente.</t>
  </si>
  <si>
    <t>d)Pronosticos de los trimestres 17, 19 y 20</t>
  </si>
  <si>
    <t>Estacion</t>
  </si>
  <si>
    <t>Tendencia</t>
  </si>
  <si>
    <t>Indice adopt</t>
  </si>
  <si>
    <t>Pronostico c/ estac</t>
  </si>
  <si>
    <t xml:space="preserve">a) Significado de 23,01 y 1,93    </t>
  </si>
  <si>
    <t xml:space="preserve">                                            
23,01 (ordenada al origen): costo total de producción fijo estimado cuando Q=0, es decir ≈ 23.010 US$ de costos que no dependen del volumen. 1,93 (pendiente): costo variable unitario ≈ 1.930 US$ por cada dispositivo adicional producido (cuánto sube el CTP por unidad de Q).                                                
                                                </t>
  </si>
  <si>
    <t>b) ¿el ajuste de los valores por la recta es adecuado? justificar</t>
  </si>
  <si>
    <t>R²=83,20% indica que el 83,2% de la variabilidad del CTP queda explicada por la recta en función de Q. Es un ajuste bueno/adecuado (&gt;0,80): la relación lineal es fuerte. El 16,8% restante se debe a otros factores.</t>
  </si>
  <si>
    <t>c) Coeficiente de Pearson</t>
  </si>
  <si>
    <t xml:space="preserve">r = √R² </t>
  </si>
  <si>
    <t xml:space="preserve">Como la pendiente b es positiva, r es positivo: r ≈ 0,9121. Indica correlación lineal positiva y fuerte entre Q y CTP (a mayor volumen, mayor costo total). r varía entre -1 y 1; cercano a 1 = relación directa fuerte.						
						</t>
  </si>
  <si>
    <t>d) Volumen Q para CTP = 1.505.333 US$</t>
  </si>
  <si>
    <t xml:space="preserve">CTP objetivo </t>
  </si>
  <si>
    <t>Q = (CTP − a) / b</t>
  </si>
  <si>
    <t>Q (redondeado)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</si>
</sst>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11">
    <font>
      <sz val="10.0"/>
      <color rgb="FF000000"/>
      <name val="Arial"/>
      <scheme val="minor"/>
    </font>
    <font>
      <b/>
      <sz val="10.0"/>
      <color theme="1"/>
      <name val="Nunito"/>
    </font>
    <font>
      <sz val="10.0"/>
      <color theme="1"/>
      <name val="Nunito"/>
    </font>
    <font>
      <sz val="11.0"/>
      <color theme="1"/>
      <name val="Nunito"/>
    </font>
    <font>
      <b/>
      <sz val="9.0"/>
      <color theme="1"/>
      <name val="Nunito"/>
    </font>
    <font>
      <color theme="1"/>
      <name val="Nunito"/>
    </font>
    <font>
      <b/>
      <color theme="1"/>
      <name val="Nunito"/>
    </font>
    <font>
      <color theme="1"/>
      <name val="Arial"/>
      <scheme val="minor"/>
    </font>
    <font>
      <b/>
      <color theme="1"/>
      <name val="Arial"/>
      <scheme val="minor"/>
    </font>
    <font>
      <b/>
      <sz val="9.0"/>
      <color theme="1"/>
      <name val="Montserrat"/>
    </font>
    <font>
      <sz val="9.0"/>
      <color theme="1"/>
      <name val="Montserrat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00FF00"/>
        <bgColor rgb="FF00FF00"/>
      </patternFill>
    </fill>
  </fills>
  <borders count="6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thick">
        <color rgb="FF000000"/>
      </bottom>
    </border>
    <border>
      <top style="medium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bottom style="medium">
        <color rgb="FF000000"/>
      </bottom>
    </border>
    <border>
      <left style="thin">
        <color rgb="FF000000"/>
      </left>
      <top style="thick">
        <color rgb="FF000000"/>
      </top>
    </border>
    <border>
      <top style="thick">
        <color rgb="FF000000"/>
      </top>
    </border>
    <border>
      <left style="thin">
        <color rgb="FF000000"/>
      </left>
      <bottom style="thick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borderId="0" fillId="0" fontId="0" numFmtId="0" applyAlignment="1" applyFont="1"/>
  </cellStyleXfs>
  <cellXfs count="2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Font="1"/>
    <xf borderId="0" fillId="0" fontId="6" numFmtId="0" xfId="0" applyAlignment="1" applyFont="1">
      <alignment readingOrder="0"/>
    </xf>
    <xf borderId="1" fillId="0" fontId="6" numFmtId="0" xfId="0" applyAlignment="1" applyBorder="1" applyFont="1">
      <alignment readingOrder="0"/>
    </xf>
    <xf borderId="2" fillId="0" fontId="6" numFmtId="0" xfId="0" applyAlignment="1" applyBorder="1" applyFont="1">
      <alignment readingOrder="0"/>
    </xf>
    <xf borderId="3" fillId="0" fontId="6" numFmtId="0" xfId="0" applyAlignment="1" applyBorder="1" applyFont="1">
      <alignment readingOrder="0"/>
    </xf>
    <xf borderId="4" fillId="0" fontId="6" numFmtId="0" xfId="0" applyAlignment="1" applyBorder="1" applyFont="1">
      <alignment readingOrder="0"/>
    </xf>
    <xf borderId="5" fillId="0" fontId="6" numFmtId="0" xfId="0" applyAlignment="1" applyBorder="1" applyFont="1">
      <alignment readingOrder="0"/>
    </xf>
    <xf borderId="4" fillId="0" fontId="6" numFmtId="0" xfId="0" applyAlignment="1" applyBorder="1" applyFont="1">
      <alignment horizontal="center" readingOrder="0"/>
    </xf>
    <xf borderId="3" fillId="0" fontId="6" numFmtId="0" xfId="0" applyAlignment="1" applyBorder="1" applyFont="1">
      <alignment horizontal="center" readingOrder="0"/>
    </xf>
    <xf borderId="4" fillId="0" fontId="6" numFmtId="0" xfId="0" applyAlignment="1" applyBorder="1" applyFont="1">
      <alignment horizontal="center" readingOrder="0"/>
    </xf>
    <xf borderId="3" fillId="0" fontId="6" numFmtId="0" xfId="0" applyAlignment="1" applyBorder="1" applyFont="1">
      <alignment horizontal="center" readingOrder="0"/>
    </xf>
    <xf borderId="0" fillId="0" fontId="6" numFmtId="0" xfId="0" applyAlignment="1" applyFont="1">
      <alignment horizontal="center" readingOrder="0"/>
    </xf>
    <xf borderId="6" fillId="0" fontId="5" numFmtId="0" xfId="0" applyAlignment="1" applyBorder="1" applyFont="1">
      <alignment readingOrder="0"/>
    </xf>
    <xf borderId="7" fillId="0" fontId="5" numFmtId="0" xfId="0" applyAlignment="1" applyBorder="1" applyFont="1">
      <alignment readingOrder="0"/>
    </xf>
    <xf borderId="0" fillId="0" fontId="5" numFmtId="0" xfId="0" applyFont="1"/>
    <xf borderId="0" fillId="0" fontId="5" numFmtId="0" xfId="0" applyAlignment="1" applyFont="1">
      <alignment horizontal="center"/>
    </xf>
    <xf borderId="2" fillId="0" fontId="5" numFmtId="0" xfId="0" applyAlignment="1" applyBorder="1" applyFont="1">
      <alignment readingOrder="0"/>
    </xf>
    <xf borderId="7" fillId="0" fontId="5" numFmtId="0" xfId="0" applyAlignment="1" applyBorder="1" applyFont="1">
      <alignment horizontal="center"/>
    </xf>
    <xf borderId="3" fillId="0" fontId="5" numFmtId="0" xfId="0" applyAlignment="1" applyBorder="1" applyFont="1">
      <alignment readingOrder="0"/>
    </xf>
    <xf borderId="2" fillId="0" fontId="5" numFmtId="0" xfId="0" applyBorder="1" applyFont="1"/>
    <xf borderId="4" fillId="0" fontId="5" numFmtId="0" xfId="0" applyAlignment="1" applyBorder="1" applyFont="1">
      <alignment horizontal="center"/>
    </xf>
    <xf borderId="3" fillId="0" fontId="5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6" fillId="0" fontId="5" numFmtId="0" xfId="0" applyBorder="1" applyFont="1"/>
    <xf borderId="7" fillId="0" fontId="5" numFmtId="0" xfId="0" applyAlignment="1" applyBorder="1" applyFont="1">
      <alignment horizontal="center"/>
    </xf>
    <xf borderId="6" fillId="0" fontId="5" numFmtId="2" xfId="0" applyBorder="1" applyFont="1" applyNumberFormat="1"/>
    <xf borderId="7" fillId="0" fontId="5" numFmtId="10" xfId="0" applyAlignment="1" applyBorder="1" applyFont="1" applyNumberFormat="1">
      <alignment horizontal="center"/>
    </xf>
    <xf borderId="0" fillId="0" fontId="5" numFmtId="2" xfId="0" applyFont="1" applyNumberFormat="1"/>
    <xf borderId="0" fillId="0" fontId="5" numFmtId="2" xfId="0" applyAlignment="1" applyFont="1" applyNumberFormat="1">
      <alignment horizontal="center"/>
    </xf>
    <xf borderId="0" fillId="0" fontId="5" numFmtId="2" xfId="0" applyAlignment="1" applyFont="1" applyNumberFormat="1">
      <alignment horizontal="center"/>
    </xf>
    <xf borderId="7" fillId="0" fontId="5" numFmtId="10" xfId="0" applyAlignment="1" applyBorder="1" applyFont="1" applyNumberFormat="1">
      <alignment horizontal="center"/>
    </xf>
    <xf borderId="1" fillId="0" fontId="5" numFmtId="0" xfId="0" applyAlignment="1" applyBorder="1" applyFont="1">
      <alignment readingOrder="0"/>
    </xf>
    <xf borderId="8" fillId="0" fontId="5" numFmtId="0" xfId="0" applyBorder="1" applyFont="1"/>
    <xf borderId="0" fillId="0" fontId="5" numFmtId="0" xfId="0" applyAlignment="1" applyFont="1">
      <alignment readingOrder="0"/>
    </xf>
    <xf borderId="8" fillId="2" fontId="5" numFmtId="2" xfId="0" applyBorder="1" applyFill="1" applyFont="1" applyNumberFormat="1"/>
    <xf borderId="8" fillId="0" fontId="7" numFmtId="2" xfId="0" applyAlignment="1" applyBorder="1" applyFont="1" applyNumberFormat="1">
      <alignment horizontal="center"/>
    </xf>
    <xf borderId="8" fillId="0" fontId="8" numFmtId="10" xfId="0" applyAlignment="1" applyBorder="1" applyFont="1" applyNumberFormat="1">
      <alignment horizontal="center"/>
    </xf>
    <xf borderId="0" fillId="0" fontId="5" numFmtId="0" xfId="0" applyAlignment="1" applyFont="1">
      <alignment readingOrder="0"/>
    </xf>
    <xf borderId="0" fillId="0" fontId="7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9" fillId="0" fontId="5" numFmtId="0" xfId="0" applyAlignment="1" applyBorder="1" applyFont="1">
      <alignment readingOrder="0"/>
    </xf>
    <xf borderId="10" fillId="0" fontId="5" numFmtId="0" xfId="0" applyAlignment="1" applyBorder="1" applyFont="1">
      <alignment readingOrder="0"/>
    </xf>
    <xf borderId="9" fillId="0" fontId="5" numFmtId="2" xfId="0" applyBorder="1" applyFont="1" applyNumberFormat="1"/>
    <xf borderId="11" fillId="0" fontId="5" numFmtId="2" xfId="0" applyAlignment="1" applyBorder="1" applyFont="1" applyNumberFormat="1">
      <alignment horizontal="center"/>
    </xf>
    <xf borderId="10" fillId="0" fontId="5" numFmtId="10" xfId="0" applyAlignment="1" applyBorder="1" applyFont="1" applyNumberFormat="1">
      <alignment horizontal="center"/>
    </xf>
    <xf borderId="0" fillId="0" fontId="5" numFmtId="0" xfId="0" applyAlignment="1" applyFont="1">
      <alignment readingOrder="0"/>
    </xf>
    <xf borderId="0" fillId="2" fontId="6" numFmtId="2" xfId="0" applyFill="1" applyFont="1" applyNumberFormat="1"/>
    <xf borderId="0" fillId="0" fontId="5" numFmtId="10" xfId="0" applyAlignment="1" applyFont="1" applyNumberFormat="1">
      <alignment horizontal="center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7" fillId="0" fontId="5" numFmtId="0" xfId="0" applyBorder="1" applyFont="1"/>
    <xf borderId="8" fillId="2" fontId="6" numFmtId="2" xfId="0" applyBorder="1" applyFill="1" applyFont="1" applyNumberFormat="1"/>
    <xf borderId="8" fillId="0" fontId="5" numFmtId="2" xfId="0" applyAlignment="1" applyBorder="1" applyFont="1" applyNumberFormat="1">
      <alignment horizontal="center"/>
    </xf>
    <xf borderId="5" fillId="0" fontId="5" numFmtId="10" xfId="0" applyAlignment="1" applyBorder="1" applyFont="1" applyNumberFormat="1">
      <alignment horizontal="center"/>
    </xf>
    <xf borderId="4" fillId="0" fontId="5" numFmtId="0" xfId="0" applyBorder="1" applyFont="1"/>
    <xf borderId="3" fillId="0" fontId="6" numFmtId="0" xfId="0" applyBorder="1" applyFont="1"/>
    <xf borderId="9" fillId="0" fontId="6" numFmtId="0" xfId="0" applyAlignment="1" applyBorder="1" applyFont="1">
      <alignment readingOrder="0"/>
    </xf>
    <xf borderId="11" fillId="0" fontId="5" numFmtId="0" xfId="0" applyBorder="1" applyFont="1"/>
    <xf borderId="10" fillId="0" fontId="6" numFmtId="0" xfId="0" applyBorder="1" applyFont="1"/>
    <xf borderId="0" fillId="0" fontId="6" numFmtId="0" xfId="0" applyAlignment="1" applyFont="1">
      <alignment readingOrder="0"/>
    </xf>
    <xf borderId="0" fillId="2" fontId="5" numFmtId="0" xfId="0" applyAlignment="1" applyFill="1" applyFont="1">
      <alignment readingOrder="0"/>
    </xf>
    <xf borderId="0" fillId="2" fontId="5" numFmtId="0" xfId="0" applyFill="1" applyFont="1"/>
    <xf borderId="0" fillId="0" fontId="7" numFmtId="0" xfId="0" applyAlignment="1" applyFont="1">
      <alignment readingOrder="0"/>
    </xf>
    <xf borderId="8" fillId="0" fontId="5" numFmtId="0" xfId="0" applyAlignment="1" applyBorder="1" applyFont="1">
      <alignment readingOrder="0"/>
    </xf>
    <xf borderId="5" fillId="2" fontId="5" numFmtId="0" xfId="0" applyBorder="1" applyFill="1" applyFont="1"/>
    <xf borderId="12" fillId="0" fontId="6" numFmtId="0" xfId="0" applyAlignment="1" applyBorder="1" applyFont="1">
      <alignment readingOrder="0"/>
    </xf>
    <xf borderId="8" fillId="0" fontId="6" numFmtId="0" xfId="0" applyAlignment="1" applyBorder="1" applyFont="1">
      <alignment readingOrder="0"/>
    </xf>
    <xf borderId="13" fillId="0" fontId="5" numFmtId="0" xfId="0" applyAlignment="1" applyBorder="1" applyFont="1">
      <alignment readingOrder="0"/>
    </xf>
    <xf borderId="14" fillId="0" fontId="7" numFmtId="0" xfId="0" applyAlignment="1" applyBorder="1" applyFont="1">
      <alignment readingOrder="0"/>
    </xf>
    <xf borderId="15" fillId="0" fontId="7" numFmtId="0" xfId="0" applyAlignment="1" applyBorder="1" applyFont="1">
      <alignment readingOrder="0"/>
    </xf>
    <xf borderId="15" fillId="0" fontId="7" numFmtId="0" xfId="0" applyBorder="1" applyFont="1"/>
    <xf borderId="16" fillId="0" fontId="7" numFmtId="0" xfId="0" applyBorder="1" applyFont="1"/>
    <xf borderId="6" fillId="0" fontId="7" numFmtId="3" xfId="0" applyAlignment="1" applyBorder="1" applyFont="1" applyNumberFormat="1">
      <alignment horizontal="left"/>
    </xf>
    <xf borderId="0" fillId="0" fontId="7" numFmtId="3" xfId="0" applyAlignment="1" applyFont="1" applyNumberFormat="1">
      <alignment horizontal="left"/>
    </xf>
    <xf borderId="7" fillId="0" fontId="7" numFmtId="4" xfId="0" applyAlignment="1" applyBorder="1" applyFont="1" applyNumberFormat="1">
      <alignment horizontal="left"/>
    </xf>
    <xf borderId="9" fillId="0" fontId="7" numFmtId="3" xfId="0" applyAlignment="1" applyBorder="1" applyFont="1" applyNumberFormat="1">
      <alignment horizontal="left"/>
    </xf>
    <xf borderId="11" fillId="0" fontId="7" numFmtId="4" xfId="0" applyAlignment="1" applyBorder="1" applyFont="1" applyNumberFormat="1">
      <alignment horizontal="left"/>
    </xf>
    <xf borderId="11" fillId="0" fontId="7" numFmtId="0" xfId="0" applyAlignment="1" applyBorder="1" applyFont="1">
      <alignment readingOrder="0"/>
    </xf>
    <xf borderId="10" fillId="0" fontId="7" numFmtId="4" xfId="0" applyAlignment="1" applyBorder="1" applyFont="1" applyNumberFormat="1">
      <alignment horizontal="left"/>
    </xf>
    <xf borderId="17" fillId="0" fontId="5" numFmtId="0" xfId="0" applyAlignment="1" applyBorder="1" applyFont="1">
      <alignment readingOrder="0"/>
    </xf>
    <xf borderId="11" fillId="0" fontId="5" numFmtId="0" xfId="0" applyAlignment="1" applyBorder="1" applyFont="1">
      <alignment readingOrder="0"/>
    </xf>
    <xf borderId="0" fillId="0" fontId="8" numFmtId="0" xfId="0" applyAlignment="1" applyFont="1">
      <alignment readingOrder="0"/>
    </xf>
    <xf borderId="18" fillId="0" fontId="7" numFmtId="0" xfId="0" applyAlignment="1" applyBorder="1" applyFont="1">
      <alignment horizontal="center" readingOrder="0"/>
    </xf>
    <xf borderId="19" fillId="0" fontId="7" numFmtId="4" xfId="0" applyAlignment="1" applyBorder="1" applyFont="1" applyNumberFormat="1">
      <alignment horizontal="center"/>
    </xf>
    <xf borderId="19" fillId="0" fontId="7" numFmtId="3" xfId="0" applyAlignment="1" applyBorder="1" applyFont="1" applyNumberFormat="1">
      <alignment horizontal="center"/>
    </xf>
    <xf borderId="20" fillId="0" fontId="6" numFmtId="0" xfId="0" applyAlignment="1" applyBorder="1" applyFont="1">
      <alignment horizontal="center" readingOrder="0" vertical="center"/>
    </xf>
    <xf borderId="21" fillId="0" fontId="6" numFmtId="0" xfId="0" applyAlignment="1" applyBorder="1" applyFont="1">
      <alignment horizontal="center" readingOrder="0" vertical="center"/>
    </xf>
    <xf borderId="22" fillId="0" fontId="6" numFmtId="0" xfId="0" applyAlignment="1" applyBorder="1" applyFont="1">
      <alignment horizontal="center" readingOrder="0" vertical="center"/>
    </xf>
    <xf borderId="23" fillId="0" fontId="6" numFmtId="0" xfId="0" applyAlignment="1" applyBorder="1" applyFont="1">
      <alignment horizontal="center" readingOrder="0" shrinkToFit="0" vertical="center" wrapText="1"/>
    </xf>
    <xf borderId="23" fillId="0" fontId="6" numFmtId="2" xfId="0" applyAlignment="1" applyBorder="1" applyFont="1" applyNumberFormat="1">
      <alignment horizontal="center" readingOrder="0" shrinkToFit="0" vertical="center" wrapText="1"/>
    </xf>
    <xf borderId="22" fillId="2" fontId="6" numFmtId="0" xfId="0" applyAlignment="1" applyBorder="1" applyFill="1" applyFont="1">
      <alignment horizontal="center" readingOrder="0" shrinkToFit="0" vertical="center" wrapText="1"/>
    </xf>
    <xf borderId="24" fillId="0" fontId="6" numFmtId="0" xfId="0" applyAlignment="1" applyBorder="1" applyFont="1">
      <alignment horizontal="center" readingOrder="0" shrinkToFit="0" vertical="center" wrapText="1"/>
    </xf>
    <xf borderId="25" fillId="0" fontId="6" numFmtId="0" xfId="0" applyAlignment="1" applyBorder="1" applyFont="1">
      <alignment horizontal="center" readingOrder="0" shrinkToFit="0" vertical="center" wrapText="1"/>
    </xf>
    <xf borderId="26" fillId="0" fontId="5" numFmtId="0" xfId="0" applyAlignment="1" applyBorder="1" applyFont="1">
      <alignment horizontal="center" readingOrder="0"/>
    </xf>
    <xf borderId="27" fillId="0" fontId="5" numFmtId="0" xfId="0" applyAlignment="1" applyBorder="1" applyFont="1">
      <alignment horizontal="center" readingOrder="0"/>
    </xf>
    <xf borderId="28" fillId="0" fontId="5" numFmtId="0" xfId="0" applyAlignment="1" applyBorder="1" applyFont="1">
      <alignment readingOrder="0"/>
    </xf>
    <xf borderId="0" fillId="0" fontId="5" numFmtId="4" xfId="0" applyAlignment="1" applyFont="1" applyNumberFormat="1">
      <alignment readingOrder="0"/>
    </xf>
    <xf borderId="29" fillId="2" fontId="5" numFmtId="4" xfId="0" applyAlignment="1" applyBorder="1" applyFill="1" applyFont="1" applyNumberFormat="1">
      <alignment readingOrder="0"/>
    </xf>
    <xf borderId="30" fillId="0" fontId="5" numFmtId="3" xfId="0" applyAlignment="1" applyBorder="1" applyFont="1" applyNumberFormat="1">
      <alignment horizontal="center" readingOrder="0"/>
    </xf>
    <xf borderId="31" fillId="0" fontId="5" numFmtId="4" xfId="0" applyAlignment="1" applyBorder="1" applyFont="1" applyNumberFormat="1">
      <alignment readingOrder="0"/>
    </xf>
    <xf borderId="29" fillId="0" fontId="5" numFmtId="4" xfId="0" applyAlignment="1" applyBorder="1" applyFont="1" applyNumberFormat="1">
      <alignment readingOrder="0"/>
    </xf>
    <xf borderId="28" fillId="0" fontId="5" numFmtId="0" xfId="0" applyAlignment="1" applyBorder="1" applyFont="1">
      <alignment readingOrder="0"/>
    </xf>
    <xf borderId="28" fillId="2" fontId="5" numFmtId="4" xfId="0" applyAlignment="1" applyBorder="1" applyFill="1" applyFont="1" applyNumberFormat="1">
      <alignment readingOrder="0"/>
    </xf>
    <xf borderId="32" fillId="0" fontId="5" numFmtId="3" xfId="0" applyAlignment="1" applyBorder="1" applyFont="1" applyNumberFormat="1">
      <alignment horizontal="center" readingOrder="0"/>
    </xf>
    <xf borderId="33" fillId="0" fontId="5" numFmtId="4" xfId="0" applyAlignment="1" applyBorder="1" applyFont="1" applyNumberFormat="1">
      <alignment readingOrder="0"/>
    </xf>
    <xf borderId="28" fillId="0" fontId="5" numFmtId="4" xfId="0" applyAlignment="1" applyBorder="1" applyFont="1" applyNumberFormat="1">
      <alignment readingOrder="0"/>
    </xf>
    <xf borderId="0" fillId="0" fontId="5" numFmtId="2" xfId="0" applyFont="1" applyNumberFormat="1"/>
    <xf borderId="0" fillId="2" fontId="6" numFmtId="4" xfId="0" applyAlignment="1" applyFill="1" applyFont="1" applyNumberFormat="1">
      <alignment readingOrder="0"/>
    </xf>
    <xf borderId="34" fillId="0" fontId="6" numFmtId="0" xfId="0" applyAlignment="1" applyBorder="1" applyFont="1">
      <alignment horizontal="center" readingOrder="0" vertical="center"/>
    </xf>
    <xf borderId="35" fillId="0" fontId="6" numFmtId="0" xfId="0" applyAlignment="1" applyBorder="1" applyFont="1">
      <alignment horizontal="center" readingOrder="0" vertical="center"/>
    </xf>
    <xf borderId="36" fillId="0" fontId="6" numFmtId="0" xfId="0" applyAlignment="1" applyBorder="1" applyFont="1">
      <alignment horizontal="center" readingOrder="0" vertical="center"/>
    </xf>
    <xf borderId="37" fillId="0" fontId="6" numFmtId="0" xfId="0" applyAlignment="1" applyBorder="1" applyFont="1">
      <alignment horizontal="center" readingOrder="0" shrinkToFit="0" vertical="center" wrapText="1"/>
    </xf>
    <xf borderId="38" fillId="0" fontId="6" numFmtId="0" xfId="0" applyAlignment="1" applyBorder="1" applyFont="1">
      <alignment horizontal="center" readingOrder="0" shrinkToFit="0" vertical="center" wrapText="1"/>
    </xf>
    <xf borderId="39" fillId="0" fontId="6" numFmtId="0" xfId="0" applyAlignment="1" applyBorder="1" applyFont="1">
      <alignment horizontal="center" readingOrder="0" shrinkToFit="0" vertical="center" wrapText="1"/>
    </xf>
    <xf borderId="39" fillId="0" fontId="6" numFmtId="2" xfId="0" applyAlignment="1" applyBorder="1" applyFont="1" applyNumberFormat="1">
      <alignment horizontal="center" readingOrder="0" shrinkToFit="0" vertical="center" wrapText="1"/>
    </xf>
    <xf borderId="40" fillId="0" fontId="6" numFmtId="2" xfId="0" applyAlignment="1" applyBorder="1" applyFont="1" applyNumberFormat="1">
      <alignment horizontal="center" readingOrder="0" shrinkToFit="0" vertical="center" wrapText="1"/>
    </xf>
    <xf borderId="41" fillId="2" fontId="6" numFmtId="0" xfId="0" applyAlignment="1" applyBorder="1" applyFill="1" applyFont="1">
      <alignment horizontal="center" readingOrder="0" shrinkToFit="0" vertical="center" wrapText="1"/>
    </xf>
    <xf borderId="41" fillId="0" fontId="6" numFmtId="0" xfId="0" applyAlignment="1" applyBorder="1" applyFont="1">
      <alignment horizontal="center" readingOrder="0" shrinkToFit="0" vertical="center" wrapText="1"/>
    </xf>
    <xf borderId="29" fillId="2" fontId="6" numFmtId="0" xfId="0" applyAlignment="1" applyBorder="1" applyFill="1" applyFont="1">
      <alignment horizontal="center" readingOrder="0" shrinkToFit="0" vertical="center" wrapText="1"/>
    </xf>
    <xf borderId="42" fillId="0" fontId="5" numFmtId="0" xfId="0" applyAlignment="1" applyBorder="1" applyFont="1">
      <alignment horizontal="center" readingOrder="0"/>
    </xf>
    <xf borderId="43" fillId="0" fontId="5" numFmtId="0" xfId="0" applyAlignment="1" applyBorder="1" applyFont="1">
      <alignment horizontal="center" readingOrder="0"/>
    </xf>
    <xf borderId="44" fillId="0" fontId="5" numFmtId="2" xfId="0" applyBorder="1" applyFont="1" applyNumberFormat="1"/>
    <xf borderId="45" fillId="0" fontId="5" numFmtId="0" xfId="0" applyBorder="1" applyFont="1"/>
    <xf borderId="0" fillId="0" fontId="6" numFmtId="2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34" fillId="0" fontId="6" numFmtId="0" xfId="0" applyAlignment="1" applyBorder="1" applyFont="1">
      <alignment readingOrder="0"/>
    </xf>
    <xf borderId="0" fillId="0" fontId="5" numFmtId="0" xfId="0" applyAlignment="1" applyFont="1">
      <alignment horizontal="center" readingOrder="0" shrinkToFit="0" vertical="center" wrapText="1"/>
    </xf>
    <xf borderId="35" fillId="0" fontId="6" numFmtId="0" xfId="0" applyAlignment="1" applyBorder="1" applyFont="1">
      <alignment readingOrder="0"/>
    </xf>
    <xf borderId="0" fillId="0" fontId="5" numFmtId="2" xfId="0" applyAlignment="1" applyFont="1" applyNumberFormat="1">
      <alignment horizontal="center" readingOrder="0" shrinkToFit="0" vertical="center" wrapText="1"/>
    </xf>
    <xf borderId="34" fillId="0" fontId="6" numFmtId="0" xfId="0" applyAlignment="1" applyBorder="1" applyFont="1">
      <alignment horizontal="center" readingOrder="0" shrinkToFit="0" vertical="center" wrapText="1"/>
    </xf>
    <xf borderId="36" fillId="0" fontId="6" numFmtId="0" xfId="0" applyAlignment="1" applyBorder="1" applyFont="1">
      <alignment readingOrder="0"/>
    </xf>
    <xf borderId="45" fillId="0" fontId="5" numFmtId="0" xfId="0" applyAlignment="1" applyBorder="1" applyFont="1">
      <alignment readingOrder="0"/>
    </xf>
    <xf borderId="44" fillId="0" fontId="5" numFmtId="0" xfId="0" applyAlignment="1" applyBorder="1" applyFont="1">
      <alignment readingOrder="0"/>
    </xf>
    <xf borderId="18" fillId="0" fontId="5" numFmtId="2" xfId="0" applyAlignment="1" applyBorder="1" applyFont="1" applyNumberFormat="1">
      <alignment horizontal="center" readingOrder="0" shrinkToFit="0" vertical="center" wrapText="1"/>
    </xf>
    <xf borderId="44" fillId="0" fontId="5" numFmtId="0" xfId="0" applyBorder="1" applyFont="1"/>
    <xf borderId="46" fillId="0" fontId="5" numFmtId="0" xfId="0" applyAlignment="1" applyBorder="1" applyFont="1">
      <alignment horizontal="center" readingOrder="0"/>
    </xf>
    <xf borderId="47" fillId="0" fontId="5" numFmtId="0" xfId="0" applyAlignment="1" applyBorder="1" applyFont="1">
      <alignment horizontal="center" readingOrder="0"/>
    </xf>
    <xf borderId="26" fillId="3" fontId="5" numFmtId="0" xfId="0" applyAlignment="1" applyBorder="1" applyFill="1" applyFont="1">
      <alignment horizontal="center" readingOrder="0" vertical="bottom"/>
    </xf>
    <xf borderId="27" fillId="3" fontId="5" numFmtId="0" xfId="0" applyAlignment="1" applyBorder="1" applyFill="1" applyFont="1">
      <alignment horizontal="center" vertical="bottom"/>
    </xf>
    <xf borderId="48" fillId="0" fontId="5" numFmtId="2" xfId="0" applyAlignment="1" applyBorder="1" applyFont="1" applyNumberFormat="1">
      <alignment horizontal="center" readingOrder="0" shrinkToFit="0" vertical="center" wrapText="1"/>
    </xf>
    <xf borderId="45" fillId="0" fontId="5" numFmtId="2" xfId="0" applyBorder="1" applyFont="1" applyNumberFormat="1"/>
    <xf borderId="0" fillId="0" fontId="5" numFmtId="2" xfId="0" applyAlignment="1" applyFont="1" applyNumberFormat="1">
      <alignment readingOrder="0"/>
    </xf>
    <xf borderId="26" fillId="4" fontId="5" numFmtId="0" xfId="0" applyAlignment="1" applyBorder="1" applyFill="1" applyFont="1">
      <alignment horizontal="center" readingOrder="0" vertical="bottom"/>
    </xf>
    <xf borderId="27" fillId="4" fontId="5" numFmtId="0" xfId="0" applyAlignment="1" applyBorder="1" applyFill="1" applyFont="1">
      <alignment horizontal="center" vertical="bottom"/>
    </xf>
    <xf borderId="44" fillId="0" fontId="5" numFmtId="10" xfId="0" applyBorder="1" applyFont="1" applyNumberFormat="1"/>
    <xf borderId="44" fillId="2" fontId="5" numFmtId="2" xfId="0" applyBorder="1" applyFill="1" applyFont="1" applyNumberFormat="1"/>
    <xf borderId="0" fillId="3" fontId="5" numFmtId="4" xfId="0" applyAlignment="1" applyFill="1" applyFont="1" applyNumberFormat="1">
      <alignment horizontal="right" vertical="bottom"/>
    </xf>
    <xf borderId="33" fillId="3" fontId="5" numFmtId="4" xfId="0" applyAlignment="1" applyBorder="1" applyFill="1" applyFont="1" applyNumberFormat="1">
      <alignment horizontal="right" vertical="bottom"/>
    </xf>
    <xf borderId="49" fillId="4" fontId="5" numFmtId="0" xfId="0" applyAlignment="1" applyBorder="1" applyFill="1" applyFont="1">
      <alignment horizontal="center" readingOrder="0" vertical="bottom"/>
    </xf>
    <xf borderId="50" fillId="4" fontId="5" numFmtId="0" xfId="0" applyAlignment="1" applyBorder="1" applyFill="1" applyFont="1">
      <alignment horizontal="center" vertical="bottom"/>
    </xf>
    <xf borderId="51" fillId="0" fontId="5" numFmtId="0" xfId="0" applyAlignment="1" applyBorder="1" applyFont="1">
      <alignment readingOrder="0"/>
    </xf>
    <xf borderId="52" fillId="4" fontId="5" numFmtId="0" xfId="0" applyAlignment="1" applyBorder="1" applyFill="1" applyFont="1">
      <alignment horizontal="right" vertical="bottom"/>
    </xf>
    <xf borderId="52" fillId="4" fontId="5" numFmtId="2" xfId="0" applyAlignment="1" applyBorder="1" applyFill="1" applyFont="1" applyNumberFormat="1">
      <alignment horizontal="right" vertical="bottom"/>
    </xf>
    <xf borderId="51" fillId="2" fontId="5" numFmtId="2" xfId="0" applyAlignment="1" applyBorder="1" applyFill="1" applyFont="1" applyNumberFormat="1">
      <alignment readingOrder="0"/>
    </xf>
    <xf borderId="24" fillId="0" fontId="5" numFmtId="3" xfId="0" applyAlignment="1" applyBorder="1" applyFont="1" applyNumberFormat="1">
      <alignment horizontal="center" readingOrder="0"/>
    </xf>
    <xf borderId="52" fillId="0" fontId="5" numFmtId="2" xfId="0" applyAlignment="1" applyBorder="1" applyFont="1" applyNumberFormat="1">
      <alignment readingOrder="0"/>
    </xf>
    <xf borderId="53" fillId="4" fontId="5" numFmtId="2" xfId="0" applyAlignment="1" applyBorder="1" applyFill="1" applyFont="1" applyNumberFormat="1">
      <alignment horizontal="right" vertical="bottom"/>
    </xf>
    <xf borderId="54" fillId="0" fontId="5" numFmtId="0" xfId="0" applyAlignment="1" applyBorder="1" applyFont="1">
      <alignment readingOrder="0"/>
    </xf>
    <xf borderId="51" fillId="0" fontId="5" numFmtId="2" xfId="0" applyAlignment="1" applyBorder="1" applyFont="1" applyNumberFormat="1">
      <alignment readingOrder="0"/>
    </xf>
    <xf borderId="55" fillId="0" fontId="5" numFmtId="0" xfId="0" applyAlignment="1" applyBorder="1" applyFont="1">
      <alignment readingOrder="0"/>
    </xf>
    <xf borderId="54" fillId="0" fontId="5" numFmtId="2" xfId="0" applyBorder="1" applyFont="1" applyNumberFormat="1"/>
    <xf borderId="56" fillId="3" fontId="5" numFmtId="0" xfId="0" applyAlignment="1" applyBorder="1" applyFill="1" applyFont="1">
      <alignment horizontal="center" readingOrder="0" vertical="bottom"/>
    </xf>
    <xf borderId="57" fillId="0" fontId="5" numFmtId="2" xfId="0" applyBorder="1" applyFont="1" applyNumberFormat="1"/>
    <xf borderId="58" fillId="3" fontId="5" numFmtId="0" xfId="0" applyAlignment="1" applyBorder="1" applyFill="1" applyFont="1">
      <alignment horizontal="center" vertical="bottom"/>
    </xf>
    <xf borderId="59" fillId="3" fontId="5" numFmtId="0" xfId="0" applyAlignment="1" applyBorder="1" applyFill="1" applyFont="1">
      <alignment horizontal="right" vertical="bottom"/>
    </xf>
    <xf borderId="59" fillId="0" fontId="5" numFmtId="0" xfId="0" applyAlignment="1" applyBorder="1" applyFont="1">
      <alignment readingOrder="0"/>
    </xf>
    <xf borderId="55" fillId="0" fontId="5" numFmtId="10" xfId="0" applyBorder="1" applyFont="1" applyNumberFormat="1"/>
    <xf borderId="59" fillId="3" fontId="5" numFmtId="4" xfId="0" applyAlignment="1" applyBorder="1" applyFill="1" applyFont="1" applyNumberFormat="1">
      <alignment horizontal="right" vertical="bottom"/>
    </xf>
    <xf borderId="59" fillId="3" fontId="5" numFmtId="0" xfId="0" applyAlignment="1" applyBorder="1" applyFill="1" applyFont="1">
      <alignment horizontal="center" readingOrder="0" vertical="bottom"/>
    </xf>
    <xf borderId="29" fillId="2" fontId="5" numFmtId="0" xfId="0" applyAlignment="1" applyBorder="1" applyFill="1" applyFont="1">
      <alignment horizontal="right" vertical="bottom"/>
    </xf>
    <xf borderId="0" fillId="5" fontId="5" numFmtId="2" xfId="0" applyFill="1" applyFont="1" applyNumberFormat="1"/>
    <xf borderId="29" fillId="2" fontId="5" numFmtId="2" xfId="0" applyAlignment="1" applyBorder="1" applyFill="1" applyFont="1" applyNumberFormat="1">
      <alignment horizontal="right" vertical="bottom"/>
    </xf>
    <xf borderId="0" fillId="5" fontId="5" numFmtId="10" xfId="0" applyFill="1" applyFont="1" applyNumberFormat="1"/>
    <xf borderId="6" fillId="4" fontId="5" numFmtId="0" xfId="0" applyAlignment="1" applyBorder="1" applyFill="1" applyFont="1">
      <alignment horizontal="center" vertical="bottom"/>
    </xf>
    <xf borderId="0" fillId="4" fontId="5" numFmtId="0" xfId="0" applyAlignment="1" applyFill="1" applyFont="1">
      <alignment horizontal="right" vertical="bottom"/>
    </xf>
    <xf borderId="0" fillId="5" fontId="6" numFmtId="0" xfId="0" applyAlignment="1" applyFill="1" applyFont="1">
      <alignment horizontal="center" readingOrder="0"/>
    </xf>
    <xf borderId="0" fillId="4" fontId="5" numFmtId="4" xfId="0" applyAlignment="1" applyFill="1" applyFont="1" applyNumberFormat="1">
      <alignment horizontal="right" vertical="bottom"/>
    </xf>
    <xf borderId="0" fillId="4" fontId="5" numFmtId="0" xfId="0" applyAlignment="1" applyFill="1" applyFont="1">
      <alignment horizontal="center" readingOrder="0" vertical="bottom"/>
    </xf>
    <xf borderId="28" fillId="2" fontId="5" numFmtId="0" xfId="0" applyAlignment="1" applyBorder="1" applyFill="1" applyFont="1">
      <alignment horizontal="right" vertical="bottom"/>
    </xf>
    <xf borderId="28" fillId="2" fontId="5" numFmtId="2" xfId="0" applyAlignment="1" applyBorder="1" applyFill="1" applyFont="1" applyNumberFormat="1">
      <alignment horizontal="right" vertical="bottom"/>
    </xf>
    <xf borderId="6" fillId="3" fontId="5" numFmtId="0" xfId="0" applyAlignment="1" applyBorder="1" applyFill="1" applyFont="1">
      <alignment horizontal="center" vertical="bottom"/>
    </xf>
    <xf borderId="0" fillId="3" fontId="5" numFmtId="0" xfId="0" applyAlignment="1" applyFill="1" applyFont="1">
      <alignment horizontal="right" vertical="bottom"/>
    </xf>
    <xf borderId="0" fillId="3" fontId="5" numFmtId="0" xfId="0" applyAlignment="1" applyFill="1" applyFont="1">
      <alignment horizontal="center" readingOrder="0" vertical="bottom"/>
    </xf>
    <xf borderId="60" fillId="4" fontId="5" numFmtId="0" xfId="0" applyAlignment="1" applyBorder="1" applyFill="1" applyFont="1">
      <alignment horizontal="center" vertical="bottom"/>
    </xf>
    <xf borderId="52" fillId="0" fontId="5" numFmtId="0" xfId="0" applyAlignment="1" applyBorder="1" applyFont="1">
      <alignment readingOrder="0"/>
    </xf>
    <xf borderId="52" fillId="4" fontId="5" numFmtId="4" xfId="0" applyAlignment="1" applyBorder="1" applyFill="1" applyFont="1" applyNumberFormat="1">
      <alignment horizontal="right" vertical="bottom"/>
    </xf>
    <xf borderId="52" fillId="4" fontId="5" numFmtId="0" xfId="0" applyAlignment="1" applyBorder="1" applyFill="1" applyFont="1">
      <alignment horizontal="center" readingOrder="0" vertical="bottom"/>
    </xf>
    <xf borderId="51" fillId="2" fontId="5" numFmtId="0" xfId="0" applyAlignment="1" applyBorder="1" applyFill="1" applyFont="1">
      <alignment horizontal="right" vertical="bottom"/>
    </xf>
    <xf borderId="51" fillId="2" fontId="5" numFmtId="2" xfId="0" applyAlignment="1" applyBorder="1" applyFill="1" applyFont="1" applyNumberFormat="1">
      <alignment horizontal="right" vertical="bottom"/>
    </xf>
    <xf borderId="61" fillId="0" fontId="5" numFmtId="0" xfId="0" applyAlignment="1" applyBorder="1" applyFont="1">
      <alignment horizontal="center" readingOrder="0"/>
    </xf>
    <xf borderId="62" fillId="0" fontId="5" numFmtId="0" xfId="0" applyAlignment="1" applyBorder="1" applyFont="1">
      <alignment horizontal="center" readingOrder="0"/>
    </xf>
    <xf borderId="57" fillId="0" fontId="5" numFmtId="2" xfId="0" applyAlignment="1" applyBorder="1" applyFont="1" applyNumberFormat="1">
      <alignment readingOrder="0"/>
    </xf>
    <xf borderId="55" fillId="0" fontId="5" numFmtId="2" xfId="0" applyBorder="1" applyFont="1" applyNumberFormat="1"/>
    <xf borderId="45" fillId="0" fontId="7" numFmtId="0" xfId="0" applyBorder="1" applyFont="1"/>
    <xf borderId="44" fillId="0" fontId="7" numFmtId="0" xfId="0" applyBorder="1" applyFont="1"/>
    <xf borderId="19" fillId="0" fontId="5" numFmtId="2" xfId="0" applyAlignment="1" applyBorder="1" applyFont="1" applyNumberFormat="1">
      <alignment horizontal="center" readingOrder="0" shrinkToFit="0" vertical="center" wrapText="1"/>
    </xf>
    <xf borderId="45" fillId="5" fontId="5" numFmtId="2" xfId="0" applyBorder="1" applyFill="1" applyFont="1" applyNumberFormat="1"/>
    <xf borderId="57" fillId="0" fontId="5" numFmtId="0" xfId="0" applyBorder="1" applyFont="1"/>
    <xf borderId="57" fillId="0" fontId="5" numFmtId="0" xfId="0" applyAlignment="1" applyBorder="1" applyFont="1">
      <alignment readingOrder="0"/>
    </xf>
    <xf borderId="63" fillId="5" fontId="9" numFmtId="0" xfId="0" applyAlignment="1" applyBorder="1" applyFill="1" applyFont="1">
      <alignment readingOrder="0" vertical="bottom"/>
    </xf>
    <xf borderId="63" fillId="5" fontId="10" numFmtId="164" xfId="0" applyAlignment="1" applyBorder="1" applyFill="1" applyFont="1" applyNumberFormat="1">
      <alignment horizontal="right" vertical="bottom"/>
    </xf>
    <xf borderId="0" fillId="0" fontId="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3">
    <tableStyle count="3" pivot="0" name="FOR12-style">
      <tableStyleElement dxfId="1" type="headerRow"/>
      <tableStyleElement dxfId="2" type="firstRowStripe"/>
      <tableStyleElement dxfId="3" type="secondRowStripe"/>
    </tableStyle>
    <tableStyle count="3" pivot="0" name="FOR11-style">
      <tableStyleElement dxfId="1" type="headerRow"/>
      <tableStyleElement dxfId="2" type="firstRowStripe"/>
      <tableStyleElement dxfId="3" type="secondRowStripe"/>
    </tableStyle>
    <tableStyle count="3" pivot="0" name="FOR11-style 2">
      <tableStyleElement dxfId="1" type="headerRow"/>
      <tableStyleElement dxfId="2" type="firstRowStripe"/>
      <tableStyleElement dxfId="3" type="secondRowStripe"/>
    </tableStyle>
    <tableStyle count="3" pivot="0" name="FOR12-style 2">
      <tableStyleElement dxfId="1" type="headerRow"/>
      <tableStyleElement dxfId="2" type="firstRowStripe"/>
      <tableStyleElement dxfId="3" type="secondRowStripe"/>
    </tableStyle>
    <tableStyle count="3" pivot="0" name="FOR13-style">
      <tableStyleElement dxfId="1" type="headerRow"/>
      <tableStyleElement dxfId="2" type="firstRowStripe"/>
      <tableStyleElement dxfId="3" type="secondRowStripe"/>
    </tableStyle>
    <tableStyle count="3" pivot="0" name="FOR14-style">
      <tableStyleElement dxfId="1" type="headerRow"/>
      <tableStyleElement dxfId="2" type="firstRowStripe"/>
      <tableStyleElement dxfId="3" type="secondRowStripe"/>
    </tableStyle>
    <tableStyle count="3" pivot="0" name="FOR14-style 2">
      <tableStyleElement dxfId="1" type="headerRow"/>
      <tableStyleElement dxfId="2" type="firstRowStripe"/>
      <tableStyleElement dxfId="3" type="secondRowStripe"/>
    </tableStyle>
    <tableStyle count="3" pivot="0" name="FOR15-style">
      <tableStyleElement dxfId="1" type="headerRow"/>
      <tableStyleElement dxfId="2" type="firstRowStripe"/>
      <tableStyleElement dxfId="3" type="secondRowStripe"/>
    </tableStyle>
    <tableStyle count="3" pivot="0" name="FOR15-style 2">
      <tableStyleElement dxfId="1" type="headerRow"/>
      <tableStyleElement dxfId="2" type="firstRowStripe"/>
      <tableStyleElement dxfId="3" type="secondRowStripe"/>
    </tableStyle>
    <tableStyle count="3" pivot="0" name="FOR16-style">
      <tableStyleElement dxfId="1" type="headerRow"/>
      <tableStyleElement dxfId="2" type="firstRowStripe"/>
      <tableStyleElement dxfId="3" type="secondRowStripe"/>
    </tableStyle>
    <tableStyle count="3" pivot="0" name="FOR16-style 2">
      <tableStyleElement dxfId="1" type="headerRow"/>
      <tableStyleElement dxfId="2" type="firstRowStripe"/>
      <tableStyleElement dxfId="3" type="secondRowStripe"/>
    </tableStyle>
    <tableStyle count="3" pivot="0" name="FOR17-style">
      <tableStyleElement dxfId="1" type="headerRow"/>
      <tableStyleElement dxfId="2" type="firstRowStripe"/>
      <tableStyleElement dxfId="3" type="secondRowStripe"/>
    </tableStyle>
    <tableStyle count="3" pivot="0" name="FOR17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Coto unitario frente a Año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'FOR13'!$B$6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FF00FF">
                    <a:alpha val="40000"/>
                  </a:srgbClr>
                </a:solidFill>
              </a:ln>
            </c:spPr>
            <c:trendlineType val="linear"/>
            <c:dispRSqr val="0"/>
            <c:dispEq val="1"/>
          </c:trendline>
          <c:cat>
            <c:strRef>
              <c:f>'FOR13'!$A$7:$A$15</c:f>
            </c:strRef>
          </c:cat>
          <c:val>
            <c:numRef>
              <c:f>'FOR13'!$B$7:$B$15</c:f>
              <c:numCache/>
            </c:numRef>
          </c:val>
          <c:smooth val="0"/>
        </c:ser>
        <c:axId val="115116634"/>
        <c:axId val="831944563"/>
      </c:lineChart>
      <c:catAx>
        <c:axId val="1151166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Año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1944563"/>
      </c:catAx>
      <c:valAx>
        <c:axId val="8319445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Coto unitario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1166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Venta frente a Año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'FOR14'!$B$29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cat>
            <c:strRef>
              <c:f>'FOR14'!$A$30:$A$37</c:f>
            </c:strRef>
          </c:cat>
          <c:val>
            <c:numRef>
              <c:f>'FOR14'!$B$30:$B$37</c:f>
              <c:numCache/>
            </c:numRef>
          </c:val>
          <c:smooth val="0"/>
        </c:ser>
        <c:axId val="1389898434"/>
        <c:axId val="415315890"/>
      </c:lineChart>
      <c:catAx>
        <c:axId val="13898984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Año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5315890"/>
      </c:catAx>
      <c:valAx>
        <c:axId val="4153158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Venta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98984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'FOR15'!$M$32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'FOR15'!$I$33:$I$64</c:f>
            </c:strRef>
          </c:cat>
          <c:val>
            <c:numRef>
              <c:f>'FOR15'!$M$33:$M$64</c:f>
              <c:numCache/>
            </c:numRef>
          </c:val>
          <c:smooth val="0"/>
        </c:ser>
        <c:ser>
          <c:idx val="1"/>
          <c:order val="1"/>
          <c:tx>
            <c:strRef>
              <c:f>'FOR15'!$C$32</c:f>
            </c:strRef>
          </c:tx>
          <c:spPr>
            <a:ln cmpd="sng" w="19050">
              <a:solidFill>
                <a:srgbClr val="EA4335"/>
              </a:solidFill>
              <a:prstDash val="solid"/>
            </a:ln>
          </c:spPr>
          <c:marker>
            <c:symbol val="none"/>
          </c:marker>
          <c:trendline>
            <c:name>Proyección Tendencia (gráfico)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'FOR15'!$I$33:$I$64</c:f>
            </c:strRef>
          </c:cat>
          <c:val>
            <c:numRef>
              <c:f>'FOR15'!$C$33:$C$64</c:f>
              <c:numCache/>
            </c:numRef>
          </c:val>
          <c:smooth val="0"/>
        </c:ser>
        <c:ser>
          <c:idx val="2"/>
          <c:order val="2"/>
          <c:tx>
            <c:strRef>
              <c:f>'FOR15'!$L$32</c:f>
            </c:strRef>
          </c:tx>
          <c:spPr>
            <a:ln cmpd="sng">
              <a:solidFill>
                <a:schemeClr val="accent3"/>
              </a:solidFill>
              <a:prstDash val="dash"/>
            </a:ln>
          </c:spPr>
          <c:marker>
            <c:symbol val="none"/>
          </c:marker>
          <c:cat>
            <c:strRef>
              <c:f>'FOR15'!$I$33:$I$64</c:f>
            </c:strRef>
          </c:cat>
          <c:val>
            <c:numRef>
              <c:f>'FOR15'!$L$33:$L$64</c:f>
              <c:numCache/>
            </c:numRef>
          </c:val>
          <c:smooth val="0"/>
        </c:ser>
        <c:axId val="492990540"/>
        <c:axId val="1388874890"/>
      </c:lineChart>
      <c:catAx>
        <c:axId val="492990540"/>
        <c:scaling>
          <c:orientation val="minMax"/>
          <c:min val="0.0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Meses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8874890"/>
      </c:catAx>
      <c:valAx>
        <c:axId val="13888748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Ventas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29905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FEFE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'FOR16'!$F$13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'FOR16'!$B$14:$B$52</c:f>
            </c:strRef>
          </c:cat>
          <c:val>
            <c:numRef>
              <c:f>'FOR16'!$F$14:$F$52</c:f>
              <c:numCache/>
            </c:numRef>
          </c:val>
          <c:smooth val="0"/>
        </c:ser>
        <c:ser>
          <c:idx val="1"/>
          <c:order val="1"/>
          <c:tx>
            <c:strRef>
              <c:f>'FOR16'!$J$13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'FOR16'!$B$14:$B$52</c:f>
            </c:strRef>
          </c:cat>
          <c:val>
            <c:numRef>
              <c:f>'FOR16'!$J$14:$J$52</c:f>
              <c:numCache/>
            </c:numRef>
          </c:val>
          <c:smooth val="0"/>
        </c:ser>
        <c:ser>
          <c:idx val="2"/>
          <c:order val="2"/>
          <c:tx>
            <c:strRef>
              <c:f>'FOR16'!$C$13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'FOR16'!$B$14:$B$52</c:f>
            </c:strRef>
          </c:cat>
          <c:val>
            <c:numRef>
              <c:f>'FOR16'!$C$14:$C$52</c:f>
              <c:numCache/>
            </c:numRef>
          </c:val>
          <c:smooth val="0"/>
        </c:ser>
        <c:axId val="562943590"/>
        <c:axId val="55579305"/>
      </c:lineChart>
      <c:catAx>
        <c:axId val="5629435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579305"/>
      </c:catAx>
      <c:valAx>
        <c:axId val="555793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29435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'FOR16'!$C$13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'FOR16'!$A$14:$A$61</c:f>
            </c:strRef>
          </c:cat>
          <c:val>
            <c:numRef>
              <c:f>'FOR16'!$C$14:$C$61</c:f>
              <c:numCache/>
            </c:numRef>
          </c:val>
          <c:smooth val="0"/>
        </c:ser>
        <c:ser>
          <c:idx val="1"/>
          <c:order val="1"/>
          <c:tx>
            <c:strRef>
              <c:f>'FOR16'!$M$13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'FOR16'!$A$14:$A$61</c:f>
            </c:strRef>
          </c:cat>
          <c:val>
            <c:numRef>
              <c:f>'FOR16'!$M$14:$M$61</c:f>
              <c:numCache/>
            </c:numRef>
          </c:val>
          <c:smooth val="0"/>
        </c:ser>
        <c:ser>
          <c:idx val="2"/>
          <c:order val="2"/>
          <c:tx>
            <c:strRef>
              <c:f>'FOR16'!$Q$13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'FOR16'!$A$14:$A$61</c:f>
            </c:strRef>
          </c:cat>
          <c:val>
            <c:numRef>
              <c:f>'FOR16'!$Q$14:$Q$61</c:f>
              <c:numCache/>
            </c:numRef>
          </c:val>
          <c:smooth val="0"/>
        </c:ser>
        <c:ser>
          <c:idx val="3"/>
          <c:order val="3"/>
          <c:tx>
            <c:strRef>
              <c:f>'FOR16'!$R$13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'FOR16'!$A$14:$A$61</c:f>
            </c:strRef>
          </c:cat>
          <c:val>
            <c:numRef>
              <c:f>'FOR16'!$R$14:$R$61</c:f>
              <c:numCache/>
            </c:numRef>
          </c:val>
          <c:smooth val="0"/>
        </c:ser>
        <c:axId val="1926708512"/>
        <c:axId val="1287790657"/>
      </c:lineChart>
      <c:catAx>
        <c:axId val="1926708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7790657"/>
      </c:catAx>
      <c:valAx>
        <c:axId val="12877906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67085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'FOR17'!$F$13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'FOR17'!$B$14:$B$52</c:f>
            </c:strRef>
          </c:cat>
          <c:val>
            <c:numRef>
              <c:f>'FOR17'!$F$14:$F$52</c:f>
              <c:numCache/>
            </c:numRef>
          </c:val>
          <c:smooth val="0"/>
        </c:ser>
        <c:ser>
          <c:idx val="1"/>
          <c:order val="1"/>
          <c:tx>
            <c:strRef>
              <c:f>'FOR17'!$J$13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'FOR17'!$B$14:$B$52</c:f>
            </c:strRef>
          </c:cat>
          <c:val>
            <c:numRef>
              <c:f>'FOR17'!$J$14:$J$52</c:f>
              <c:numCache/>
            </c:numRef>
          </c:val>
          <c:smooth val="0"/>
        </c:ser>
        <c:ser>
          <c:idx val="2"/>
          <c:order val="2"/>
          <c:tx>
            <c:strRef>
              <c:f>'FOR17'!$C$13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'FOR17'!$B$14:$B$52</c:f>
            </c:strRef>
          </c:cat>
          <c:val>
            <c:numRef>
              <c:f>'FOR17'!$C$14:$C$52</c:f>
              <c:numCache/>
            </c:numRef>
          </c:val>
          <c:smooth val="0"/>
        </c:ser>
        <c:axId val="1541836361"/>
        <c:axId val="1468538812"/>
      </c:lineChart>
      <c:catAx>
        <c:axId val="15418363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8538812"/>
      </c:catAx>
      <c:valAx>
        <c:axId val="14685388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18363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'FOR17'!$C$13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'FOR17'!$A$14:$A$61</c:f>
            </c:strRef>
          </c:cat>
          <c:val>
            <c:numRef>
              <c:f>'FOR17'!$C$14:$C$61</c:f>
              <c:numCache/>
            </c:numRef>
          </c:val>
          <c:smooth val="0"/>
        </c:ser>
        <c:ser>
          <c:idx val="1"/>
          <c:order val="1"/>
          <c:tx>
            <c:strRef>
              <c:f>'FOR17'!$M$13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'FOR17'!$A$14:$A$61</c:f>
            </c:strRef>
          </c:cat>
          <c:val>
            <c:numRef>
              <c:f>'FOR17'!$M$14:$M$61</c:f>
              <c:numCache/>
            </c:numRef>
          </c:val>
          <c:smooth val="0"/>
        </c:ser>
        <c:ser>
          <c:idx val="2"/>
          <c:order val="2"/>
          <c:tx>
            <c:strRef>
              <c:f>'FOR17'!$Q$13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'FOR17'!$A$14:$A$61</c:f>
            </c:strRef>
          </c:cat>
          <c:val>
            <c:numRef>
              <c:f>'FOR17'!$Q$14:$Q$61</c:f>
              <c:numCache/>
            </c:numRef>
          </c:val>
          <c:smooth val="0"/>
        </c:ser>
        <c:ser>
          <c:idx val="3"/>
          <c:order val="3"/>
          <c:tx>
            <c:strRef>
              <c:f>'FOR17'!$R$13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'FOR17'!$A$14:$A$61</c:f>
            </c:strRef>
          </c:cat>
          <c:val>
            <c:numRef>
              <c:f>'FOR17'!$R$14:$R$61</c:f>
              <c:numCache/>
            </c:numRef>
          </c:val>
          <c:smooth val="0"/>
        </c:ser>
        <c:axId val="1774719732"/>
        <c:axId val="805653962"/>
      </c:lineChart>
      <c:catAx>
        <c:axId val="17747197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5653962"/>
      </c:catAx>
      <c:valAx>
        <c:axId val="8056539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47197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'FOR17'!$M$13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</c:trendline>
          <c:cat>
            <c:strRef>
              <c:f>'FOR17'!$B$14:$B$49</c:f>
            </c:strRef>
          </c:cat>
          <c:val>
            <c:numRef>
              <c:f>'FOR17'!$M$14:$M$49</c:f>
              <c:numCache/>
            </c:numRef>
          </c:val>
          <c:smooth val="0"/>
        </c:ser>
        <c:axId val="1047311569"/>
        <c:axId val="284771703"/>
      </c:lineChart>
      <c:catAx>
        <c:axId val="10473115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4771703"/>
      </c:catAx>
      <c:valAx>
        <c:axId val="2847717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73115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image" Target="../media/image8.png"/><Relationship Id="rId3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image" Target="../media/image5.png"/><Relationship Id="rId4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048375" cy="20002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124825" cy="4295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428625</xdr:colOff>
      <xdr:row>21</xdr:row>
      <xdr:rowOff>123825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8448675" cy="723900"/>
    <xdr:pic>
      <xdr:nvPicPr>
        <xdr:cNvPr id="0" name="image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304800</xdr:colOff>
      <xdr:row>24</xdr:row>
      <xdr:rowOff>85725</xdr:rowOff>
    </xdr:from>
    <xdr:ext cx="4810125" cy="297180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8401050" cy="1200150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942975</xdr:colOff>
      <xdr:row>64</xdr:row>
      <xdr:rowOff>142875</xdr:rowOff>
    </xdr:from>
    <xdr:ext cx="12096750" cy="415290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</xdr:row>
      <xdr:rowOff>-200025</xdr:rowOff>
    </xdr:from>
    <xdr:ext cx="7620000" cy="3848100"/>
    <xdr:pic>
      <xdr:nvPicPr>
        <xdr:cNvPr id="0" name="image8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1314450</xdr:colOff>
      <xdr:row>0</xdr:row>
      <xdr:rowOff>123825</xdr:rowOff>
    </xdr:from>
    <xdr:ext cx="4857750" cy="3609975"/>
    <xdr:pic>
      <xdr:nvPicPr>
        <xdr:cNvPr id="0" name="image7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657225</xdr:colOff>
      <xdr:row>69</xdr:row>
      <xdr:rowOff>85725</xdr:rowOff>
    </xdr:from>
    <xdr:ext cx="9172575" cy="5657850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228600</xdr:colOff>
      <xdr:row>67</xdr:row>
      <xdr:rowOff>76200</xdr:rowOff>
    </xdr:from>
    <xdr:ext cx="5715000" cy="353377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8677275" cy="971550"/>
    <xdr:pic>
      <xdr:nvPicPr>
        <xdr:cNvPr id="0" name="image5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180975</xdr:rowOff>
    </xdr:from>
    <xdr:ext cx="9753600" cy="1133475"/>
    <xdr:pic>
      <xdr:nvPicPr>
        <xdr:cNvPr id="0" name="image6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657225</xdr:colOff>
      <xdr:row>69</xdr:row>
      <xdr:rowOff>85725</xdr:rowOff>
    </xdr:from>
    <xdr:ext cx="9172575" cy="565785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228600</xdr:colOff>
      <xdr:row>67</xdr:row>
      <xdr:rowOff>76200</xdr:rowOff>
    </xdr:from>
    <xdr:ext cx="5715000" cy="35337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18</xdr:col>
      <xdr:colOff>514350</xdr:colOff>
      <xdr:row>12</xdr:row>
      <xdr:rowOff>495300</xdr:rowOff>
    </xdr:from>
    <xdr:ext cx="5715000" cy="3533775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7591425" cy="2305050"/>
    <xdr:pic>
      <xdr:nvPicPr>
        <xdr:cNvPr id="0" name="image10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439400" cy="2352675"/>
    <xdr:pic>
      <xdr:nvPicPr>
        <xdr:cNvPr id="0" name="image9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95250</xdr:rowOff>
    </xdr:from>
    <xdr:ext cx="8410575" cy="1514475"/>
    <xdr:pic>
      <xdr:nvPicPr>
        <xdr:cNvPr id="0" name="image1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9648825" cy="1295400"/>
    <xdr:pic>
      <xdr:nvPicPr>
        <xdr:cNvPr id="0" name="image1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982450" cy="3638550"/>
    <xdr:pic>
      <xdr:nvPicPr>
        <xdr:cNvPr id="0" name="image1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363325" cy="3019425"/>
    <xdr:pic>
      <xdr:nvPicPr>
        <xdr:cNvPr id="0" name="image1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3:C21" displayName="Table_2" name="Table_2" id="2">
  <tableColumns count="3">
    <tableColumn name="Semana" id="1"/>
    <tableColumn name="Valor" id="2"/>
    <tableColumn name="media movil 3 sem" id="3"/>
  </tableColumns>
  <tableStyleInfo name="FOR11-style" showColumnStripes="0" showFirstColumn="1" showLastColumn="1" showRowStripes="1"/>
</table>
</file>

<file path=xl/tables/table2.xml><?xml version="1.0" encoding="utf-8"?>
<table xmlns="http://schemas.openxmlformats.org/spreadsheetml/2006/main" ref="A25:C33" displayName="Table_3" name="Table_3" id="3">
  <tableColumns count="3">
    <tableColumn name="Semana" id="1"/>
    <tableColumn name="Valor" id="2"/>
    <tableColumn name="media movil 2 sem" id="3"/>
  </tableColumns>
  <tableStyleInfo name="FOR11-style 2" showColumnStripes="0" showFirstColumn="1" showLastColumn="1" showRowStripes="1"/>
</table>
</file>

<file path=xl/tables/table3.xml><?xml version="1.0" encoding="utf-8"?>
<table xmlns="http://schemas.openxmlformats.org/spreadsheetml/2006/main" headerRowCount="0" ref="A24:H39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FOR1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41:H55" displayName="Table_4" name="Table_4" id="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FOR12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ref="A31:C42" displayName="Table_5" name="Table_5" id="5">
  <tableColumns count="3">
    <tableColumn name="Año" id="1"/>
    <tableColumn name="Costo unitario" id="2"/>
    <tableColumn name="Tendencia lineal" id="3"/>
  </tableColumns>
  <tableStyleInfo name="FOR13-style" showColumnStripes="0" showFirstColumn="1" showLastColumn="1" showRowStripes="1"/>
</table>
</file>

<file path=xl/tables/table6.xml><?xml version="1.0" encoding="utf-8"?>
<table xmlns="http://schemas.openxmlformats.org/spreadsheetml/2006/main" ref="A10:D18" displayName="Table_6" name="Table_6" id="6">
  <tableColumns count="4">
    <tableColumn name="Año" id="1"/>
    <tableColumn name="Venta" id="2"/>
    <tableColumn name="X2" id="3"/>
    <tableColumn name="XY" id="4"/>
  </tableColumns>
  <tableStyleInfo name="FOR14-style" showColumnStripes="0" showFirstColumn="1" showLastColumn="1" showRowStripes="1"/>
</table>
</file>

<file path=xl/tables/table7.xml><?xml version="1.0" encoding="utf-8"?>
<table xmlns="http://schemas.openxmlformats.org/spreadsheetml/2006/main" ref="A29:C38" displayName="Table_7" name="Table_7" id="7">
  <tableColumns count="3">
    <tableColumn name="Año" id="1"/>
    <tableColumn name="Venta" id="2"/>
    <tableColumn name="Tendencia lineal" id="3"/>
  </tableColumns>
  <tableStyleInfo name="FOR14-style 2" showColumnStripes="0" showFirstColumn="1" showLastColumn="1" showRowStripes="1"/>
</table>
</file>

<file path=xl/tables/table8.xml><?xml version="1.0" encoding="utf-8"?>
<table xmlns="http://schemas.openxmlformats.org/spreadsheetml/2006/main" ref="A22:G29" displayName="Table_8" name="Table_8" id="8">
  <tableColumns count="7">
    <tableColumn name="Año" id="1"/>
    <tableColumn name="Q1" id="2"/>
    <tableColumn name="Q2" id="3"/>
    <tableColumn name="Q3" id="4"/>
    <tableColumn name="Q4" id="5"/>
    <tableColumn name="Total" id="6"/>
    <tableColumn name="Promedio trimestral" id="7"/>
  </tableColumns>
  <tableStyleInfo name="FOR15-style" showColumnStripes="0" showFirstColumn="1" showLastColumn="1" showRowStripes="1"/>
</table>
</file>

<file path=xl/tables/table9.xml><?xml version="1.0" encoding="utf-8"?>
<table xmlns="http://schemas.openxmlformats.org/spreadsheetml/2006/main" ref="A32:M64" displayName="Table_9" name="Table_9" id="9">
  <tableColumns count="13">
    <tableColumn name="Año" id="1"/>
    <tableColumn name="Quarter" id="2"/>
    <tableColumn name="Ventas" id="3"/>
    <tableColumn name="Media Móvil (n=4)" id="4"/>
    <tableColumn name="Media Móvil (Centrado)" id="5"/>
    <tableColumn name="Índice" id="6"/>
    <tableColumn name="Índice Adoptado" id="7"/>
    <tableColumn name="Ventas Desestacionalizadas" id="8"/>
    <tableColumn name="Período (Trim.)" id="9"/>
    <tableColumn name="X2" id="10"/>
    <tableColumn name="XY" id="11"/>
    <tableColumn name="Proyección Tendencia (calculada)" id="12"/>
    <tableColumn name="Proyección Tendencia c/Estacionalidad" id="13"/>
  </tableColumns>
  <tableStyleInfo name="FOR15-style 2" showColumnStripes="0" showFirstColumn="1" showLastColumn="1" showRowStripes="1"/>
</table>
</file>

<file path=xl/tables/table10.xml><?xml version="1.0" encoding="utf-8"?>
<table xmlns="http://schemas.openxmlformats.org/spreadsheetml/2006/main" ref="A13:B17" displayName="Table_10" name="Table_10" id="10">
  <tableColumns count="2">
    <tableColumn name="Nº" id="1"/>
    <tableColumn name="Período" id="2"/>
  </tableColumns>
  <tableStyleInfo name="FOR16-style" showColumnStripes="0" showFirstColumn="1" showLastColumn="1" showRowStripes="1"/>
</table>
</file>

<file path=xl/tables/table11.xml><?xml version="1.0" encoding="utf-8"?>
<table xmlns="http://schemas.openxmlformats.org/spreadsheetml/2006/main" ref="M13:R14" displayName="Table_11" name="Table_11" id="11">
  <tableColumns count="6">
    <tableColumn name="Ventas Desestacionalizadas" id="1"/>
    <tableColumn name="Período (Mes)" id="2"/>
    <tableColumn name="X2" id="3"/>
    <tableColumn name="XY" id="4"/>
    <tableColumn name="Proyección Tendencia (calculada)" id="5"/>
    <tableColumn name="Proyección Tendencia c/Estacionalidad" id="6"/>
  </tableColumns>
  <tableStyleInfo name="FOR16-style 2" showColumnStripes="0" showFirstColumn="1" showLastColumn="1" showRowStripes="1"/>
</table>
</file>

<file path=xl/tables/table12.xml><?xml version="1.0" encoding="utf-8"?>
<table xmlns="http://schemas.openxmlformats.org/spreadsheetml/2006/main" ref="A13:B17" displayName="Table_12" name="Table_12" id="12">
  <tableColumns count="2">
    <tableColumn name="Nº" id="1"/>
    <tableColumn name="Período" id="2"/>
  </tableColumns>
  <tableStyleInfo name="FOR17-style" showColumnStripes="0" showFirstColumn="1" showLastColumn="1" showRowStripes="1"/>
</table>
</file>

<file path=xl/tables/table13.xml><?xml version="1.0" encoding="utf-8"?>
<table xmlns="http://schemas.openxmlformats.org/spreadsheetml/2006/main" ref="M13:R14" displayName="Table_13" name="Table_13" id="13">
  <tableColumns count="6">
    <tableColumn name="Ventas Desestacionalizadas" id="1"/>
    <tableColumn name="Período (Mes)" id="2"/>
    <tableColumn name="X2" id="3"/>
    <tableColumn name="XY" id="4"/>
    <tableColumn name="Proyección Tendencia (calculada)" id="5"/>
    <tableColumn name="Proyección Tendencia c/Estacionalidad" id="6"/>
  </tableColumns>
  <tableStyleInfo name="FOR17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6.xml"/><Relationship Id="rId5" Type="http://schemas.openxmlformats.org/officeDocument/2006/relationships/table" Target="../tables/table7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Relationship Id="rId6" Type="http://schemas.openxmlformats.org/officeDocument/2006/relationships/table" Target="../tables/table8.xml"/><Relationship Id="rId7" Type="http://schemas.openxmlformats.org/officeDocument/2006/relationships/table" Target="../tables/table9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2.vml"/><Relationship Id="rId6" Type="http://schemas.openxmlformats.org/officeDocument/2006/relationships/table" Target="../tables/table10.xml"/><Relationship Id="rId7" Type="http://schemas.openxmlformats.org/officeDocument/2006/relationships/table" Target="../tables/table11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3.vml"/><Relationship Id="rId6" Type="http://schemas.openxmlformats.org/officeDocument/2006/relationships/table" Target="../tables/table12.xml"/><Relationship Id="rId7" Type="http://schemas.openxmlformats.org/officeDocument/2006/relationships/table" Target="../tables/table13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4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5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5"/>
  </cols>
  <sheetData>
    <row r="1">
      <c r="A1" s="1" t="s">
        <v>0</v>
      </c>
      <c r="B1" s="2" t="s">
        <v>1</v>
      </c>
      <c r="C1" s="3"/>
      <c r="D1" s="4"/>
      <c r="E1" s="4"/>
    </row>
    <row r="2">
      <c r="A2" s="1" t="s">
        <v>2</v>
      </c>
      <c r="B2" s="3" t="s">
        <v>3</v>
      </c>
      <c r="C2" s="3"/>
      <c r="D2" s="4"/>
      <c r="E2" s="4"/>
    </row>
    <row r="3">
      <c r="A3" s="1" t="s">
        <v>4</v>
      </c>
      <c r="B3" s="3" t="s">
        <v>5</v>
      </c>
      <c r="C3" s="3"/>
      <c r="D3" s="4"/>
      <c r="E3" s="4"/>
    </row>
    <row r="4">
      <c r="A4" s="3"/>
      <c r="B4" s="1" t="s">
        <v>6</v>
      </c>
      <c r="C4" s="1" t="s">
        <v>7</v>
      </c>
      <c r="D4" s="4"/>
      <c r="E4" s="4"/>
    </row>
    <row r="5">
      <c r="A5" s="3"/>
      <c r="B5" s="2" t="s">
        <v>8</v>
      </c>
      <c r="C5" s="2" t="s">
        <v>9</v>
      </c>
      <c r="D5" s="4"/>
      <c r="E5" s="4"/>
    </row>
    <row r="6">
      <c r="A6" s="3"/>
      <c r="B6" s="2" t="s">
        <v>10</v>
      </c>
      <c r="C6" s="2" t="s">
        <v>11</v>
      </c>
      <c r="D6" s="4"/>
      <c r="E6" s="4"/>
    </row>
    <row r="7">
      <c r="A7" s="3"/>
      <c r="B7" s="3" t="s">
        <v>12</v>
      </c>
      <c r="C7" s="2" t="s">
        <v>13</v>
      </c>
      <c r="D7" s="4"/>
      <c r="E7" s="4"/>
    </row>
    <row r="8">
      <c r="A8" s="3"/>
      <c r="B8" s="3" t="s">
        <v>14</v>
      </c>
      <c r="C8" s="2" t="s">
        <v>15</v>
      </c>
      <c r="D8" s="4"/>
      <c r="E8" s="4"/>
    </row>
    <row r="9">
      <c r="A9" s="4"/>
      <c r="B9" s="4"/>
      <c r="C9" s="4"/>
      <c r="D9" s="4"/>
      <c r="E9" s="4"/>
    </row>
    <row r="10">
      <c r="A10" s="4"/>
      <c r="B10" s="4"/>
      <c r="C10" s="4"/>
      <c r="D10" s="4"/>
      <c r="E10" s="4"/>
    </row>
    <row r="11">
      <c r="A11" s="4"/>
      <c r="B11" s="4"/>
      <c r="C11" s="4"/>
      <c r="D11" s="4"/>
      <c r="E11" s="4"/>
    </row>
    <row r="12">
      <c r="A12" s="5" t="s">
        <v>16</v>
      </c>
      <c r="B12" s="4"/>
      <c r="C12" s="4"/>
      <c r="D12" s="4"/>
      <c r="E12" s="4"/>
    </row>
    <row r="13">
      <c r="A13" s="4"/>
      <c r="B13" s="4"/>
      <c r="C13" s="4"/>
      <c r="D13" s="4"/>
      <c r="E13" s="4"/>
    </row>
    <row r="14">
      <c r="A14" s="4"/>
      <c r="B14" s="4"/>
      <c r="C14" s="4"/>
      <c r="D14" s="4"/>
      <c r="E14" s="4"/>
    </row>
    <row r="15">
      <c r="A15" s="4"/>
      <c r="B15" s="4"/>
      <c r="C15" s="4"/>
      <c r="D15" s="4"/>
      <c r="E15" s="4"/>
    </row>
    <row r="16">
      <c r="A16" s="4"/>
      <c r="B16" s="4"/>
      <c r="C16" s="4"/>
      <c r="D16" s="4"/>
      <c r="E16" s="4"/>
    </row>
    <row r="17">
      <c r="A17" s="4"/>
      <c r="B17" s="4"/>
      <c r="C17" s="4"/>
      <c r="D17" s="4"/>
      <c r="E17" s="4"/>
    </row>
  </sheetData>
  <printOptions gridLines="1" horizontalCentered="1"/>
  <pageMargins bottom="0.75" footer="0.0" header="0.0" left="0.7" right="0.7" top="0.75"/>
  <pageSetup paperSize="9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5"/>
  </cols>
  <sheetData>
    <row r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 t="s">
        <v>17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9" t="s">
        <v>18</v>
      </c>
      <c r="B13" s="10" t="s">
        <v>19</v>
      </c>
      <c r="C13" s="11" t="s">
        <v>20</v>
      </c>
      <c r="D13" s="13" t="s">
        <v>22</v>
      </c>
      <c r="E13" s="13" t="s">
        <v>23</v>
      </c>
      <c r="F13" s="13" t="s">
        <v>25</v>
      </c>
      <c r="G13" s="14" t="s">
        <v>26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8">
        <v>1.0</v>
      </c>
      <c r="B14" s="19">
        <v>10.0</v>
      </c>
      <c r="C14" s="20"/>
      <c r="D14" s="21"/>
      <c r="E14" s="21"/>
      <c r="F14" s="21"/>
      <c r="G14" s="23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8">
        <v>2.0</v>
      </c>
      <c r="B15" s="19">
        <v>14.0</v>
      </c>
      <c r="C15" s="20"/>
      <c r="D15" s="21"/>
      <c r="E15" s="21"/>
      <c r="F15" s="21"/>
      <c r="G15" s="23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8">
        <v>3.0</v>
      </c>
      <c r="B16" s="19">
        <v>3.0</v>
      </c>
      <c r="C16" s="20"/>
      <c r="D16" s="21"/>
      <c r="E16" s="21"/>
      <c r="F16" s="21"/>
      <c r="G16" s="23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8">
        <v>4.0</v>
      </c>
      <c r="B17" s="19">
        <v>5.0</v>
      </c>
      <c r="C17" s="33">
        <f t="shared" ref="C17:C20" si="1">(B14+B15+B16)/3</f>
        <v>9</v>
      </c>
      <c r="D17" s="34">
        <f t="shared" ref="D17:D19" si="2">B17-C17</f>
        <v>-4</v>
      </c>
      <c r="E17" s="21">
        <f>D17*-1</f>
        <v>4</v>
      </c>
      <c r="F17" s="21">
        <f t="shared" ref="F17:F19" si="3">E17*E17</f>
        <v>16</v>
      </c>
      <c r="G17" s="36">
        <f t="shared" ref="G17:G19" si="4">E17/B17</f>
        <v>0.8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8">
        <v>5.0</v>
      </c>
      <c r="B18" s="19">
        <v>9.0</v>
      </c>
      <c r="C18" s="33">
        <f t="shared" si="1"/>
        <v>7.333333333</v>
      </c>
      <c r="D18" s="34">
        <f t="shared" si="2"/>
        <v>1.666666667</v>
      </c>
      <c r="E18" s="34">
        <v>1.666666666666667</v>
      </c>
      <c r="F18" s="34">
        <f t="shared" si="3"/>
        <v>2.777777778</v>
      </c>
      <c r="G18" s="36">
        <f t="shared" si="4"/>
        <v>0.1851851852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8">
        <v>6.0</v>
      </c>
      <c r="B19" s="19">
        <v>14.0</v>
      </c>
      <c r="C19" s="33">
        <f t="shared" si="1"/>
        <v>5.666666667</v>
      </c>
      <c r="D19" s="34">
        <f t="shared" si="2"/>
        <v>8.333333333</v>
      </c>
      <c r="E19" s="34">
        <v>8.333333333333332</v>
      </c>
      <c r="F19" s="34">
        <f t="shared" si="3"/>
        <v>69.44444444</v>
      </c>
      <c r="G19" s="36">
        <f t="shared" si="4"/>
        <v>0.5952380952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37">
        <v>7.0</v>
      </c>
      <c r="B20" s="38"/>
      <c r="C20" s="40">
        <f t="shared" si="1"/>
        <v>9.333333333</v>
      </c>
      <c r="D20" s="41">
        <f t="shared" ref="D20:G20" si="5">AVERAGE(D17:D19)</f>
        <v>2</v>
      </c>
      <c r="E20" s="41">
        <f t="shared" si="5"/>
        <v>4.666666667</v>
      </c>
      <c r="F20" s="41">
        <f t="shared" si="5"/>
        <v>29.40740741</v>
      </c>
      <c r="G20" s="42">
        <f t="shared" si="5"/>
        <v>0.5268077601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43"/>
      <c r="B21" s="20"/>
      <c r="C21" s="39" t="s">
        <v>31</v>
      </c>
      <c r="D21" s="44"/>
      <c r="E21" s="45" t="s">
        <v>32</v>
      </c>
      <c r="F21" s="45" t="s">
        <v>33</v>
      </c>
      <c r="G21" s="46" t="s">
        <v>34</v>
      </c>
      <c r="H21" s="39" t="s">
        <v>35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39" t="s">
        <v>40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9" t="s">
        <v>18</v>
      </c>
      <c r="B25" s="10" t="s">
        <v>19</v>
      </c>
      <c r="C25" s="11" t="s">
        <v>43</v>
      </c>
      <c r="D25" s="13" t="s">
        <v>22</v>
      </c>
      <c r="E25" s="13" t="s">
        <v>23</v>
      </c>
      <c r="F25" s="13" t="s">
        <v>25</v>
      </c>
      <c r="G25" s="14" t="s">
        <v>26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8">
        <v>1.0</v>
      </c>
      <c r="B26" s="19">
        <v>10.0</v>
      </c>
      <c r="C26" s="20"/>
      <c r="D26" s="21"/>
      <c r="E26" s="21"/>
      <c r="F26" s="21"/>
      <c r="G26" s="23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8">
        <v>2.0</v>
      </c>
      <c r="B27" s="19">
        <v>14.0</v>
      </c>
      <c r="C27" s="20"/>
      <c r="D27" s="21"/>
      <c r="E27" s="21"/>
      <c r="F27" s="21"/>
      <c r="G27" s="23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18">
        <v>3.0</v>
      </c>
      <c r="B28" s="19">
        <v>3.0</v>
      </c>
      <c r="C28" s="20">
        <f t="shared" ref="C28:C31" si="6">(B27+B26)/2</f>
        <v>12</v>
      </c>
      <c r="D28" s="21">
        <f t="shared" ref="D28:D31" si="7">B28-C28</f>
        <v>-9</v>
      </c>
      <c r="E28" s="21">
        <f t="shared" ref="E28:E29" si="8">D28*-1</f>
        <v>9</v>
      </c>
      <c r="F28" s="21">
        <f t="shared" ref="F28:F31" si="9">E28*E28</f>
        <v>81</v>
      </c>
      <c r="G28" s="36">
        <f t="shared" ref="G28:G31" si="10">E28/B28</f>
        <v>3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18">
        <v>4.0</v>
      </c>
      <c r="B29" s="19">
        <v>5.0</v>
      </c>
      <c r="C29" s="20">
        <f t="shared" si="6"/>
        <v>8.5</v>
      </c>
      <c r="D29" s="21">
        <f t="shared" si="7"/>
        <v>-3.5</v>
      </c>
      <c r="E29" s="21">
        <f t="shared" si="8"/>
        <v>3.5</v>
      </c>
      <c r="F29" s="21">
        <f t="shared" si="9"/>
        <v>12.25</v>
      </c>
      <c r="G29" s="36">
        <f t="shared" si="10"/>
        <v>0.7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18">
        <v>5.0</v>
      </c>
      <c r="B30" s="19">
        <v>9.0</v>
      </c>
      <c r="C30" s="20">
        <f t="shared" si="6"/>
        <v>4</v>
      </c>
      <c r="D30" s="21">
        <f t="shared" si="7"/>
        <v>5</v>
      </c>
      <c r="E30" s="34">
        <f t="shared" ref="E30:E31" si="11">D30</f>
        <v>5</v>
      </c>
      <c r="F30" s="21">
        <f t="shared" si="9"/>
        <v>25</v>
      </c>
      <c r="G30" s="36">
        <f t="shared" si="10"/>
        <v>0.5555555556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18">
        <v>6.0</v>
      </c>
      <c r="B31" s="19">
        <v>14.0</v>
      </c>
      <c r="C31" s="20">
        <f t="shared" si="6"/>
        <v>7</v>
      </c>
      <c r="D31" s="21">
        <f t="shared" si="7"/>
        <v>7</v>
      </c>
      <c r="E31" s="34">
        <f t="shared" si="11"/>
        <v>7</v>
      </c>
      <c r="F31" s="21">
        <f t="shared" si="9"/>
        <v>49</v>
      </c>
      <c r="G31" s="36">
        <f t="shared" si="10"/>
        <v>0.5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37">
        <v>7.0</v>
      </c>
      <c r="B32" s="38"/>
      <c r="C32" s="40">
        <f>(C31+C30)/3</f>
        <v>3.666666667</v>
      </c>
      <c r="D32" s="41">
        <f t="shared" ref="D32:G32" si="12">AVERAGE(D29:D31)</f>
        <v>2.833333333</v>
      </c>
      <c r="E32" s="41">
        <f t="shared" si="12"/>
        <v>5.166666667</v>
      </c>
      <c r="F32" s="41">
        <f t="shared" si="12"/>
        <v>28.75</v>
      </c>
      <c r="G32" s="42">
        <f t="shared" si="12"/>
        <v>0.5851851852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43"/>
      <c r="B33" s="20"/>
      <c r="C33" s="39" t="s">
        <v>31</v>
      </c>
      <c r="D33" s="44"/>
      <c r="E33" s="45" t="s">
        <v>32</v>
      </c>
      <c r="F33" s="45" t="s">
        <v>33</v>
      </c>
      <c r="G33" s="45" t="s">
        <v>34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7" t="s">
        <v>56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8" t="s">
        <v>18</v>
      </c>
      <c r="B24" s="12" t="s">
        <v>21</v>
      </c>
      <c r="C24" s="11" t="s">
        <v>24</v>
      </c>
      <c r="D24" s="15" t="s">
        <v>22</v>
      </c>
      <c r="E24" s="15" t="s">
        <v>23</v>
      </c>
      <c r="F24" s="15" t="s">
        <v>25</v>
      </c>
      <c r="G24" s="16" t="s">
        <v>26</v>
      </c>
      <c r="H24" s="17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22">
        <v>1.0</v>
      </c>
      <c r="B25" s="24">
        <v>14.0</v>
      </c>
      <c r="C25" s="25"/>
      <c r="D25" s="26"/>
      <c r="E25" s="26"/>
      <c r="F25" s="26"/>
      <c r="G25" s="27"/>
      <c r="H25" s="28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8">
        <v>2.0</v>
      </c>
      <c r="B26" s="19">
        <v>17.0</v>
      </c>
      <c r="C26" s="29"/>
      <c r="D26" s="28"/>
      <c r="E26" s="28"/>
      <c r="F26" s="28"/>
      <c r="G26" s="30"/>
      <c r="H26" s="28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8">
        <v>3.0</v>
      </c>
      <c r="B27" s="19">
        <v>15.0</v>
      </c>
      <c r="C27" s="29"/>
      <c r="D27" s="28"/>
      <c r="E27" s="28"/>
      <c r="F27" s="28"/>
      <c r="G27" s="30"/>
      <c r="H27" s="28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18">
        <v>4.0</v>
      </c>
      <c r="B28" s="19">
        <v>19.0</v>
      </c>
      <c r="C28" s="31"/>
      <c r="D28" s="28"/>
      <c r="E28" s="28"/>
      <c r="F28" s="28"/>
      <c r="G28" s="32"/>
      <c r="H28" s="28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18">
        <v>5.0</v>
      </c>
      <c r="B29" s="19">
        <v>14.0</v>
      </c>
      <c r="C29" s="31">
        <f t="shared" ref="C29:C37" si="1">(B25+B26+B27+B28)/4</f>
        <v>16.25</v>
      </c>
      <c r="D29" s="35">
        <f t="shared" ref="D29:D36" si="2">B29-C29</f>
        <v>-2.25</v>
      </c>
      <c r="E29" s="35">
        <f t="shared" ref="E29:E36" si="3">ABS(D29)</f>
        <v>2.25</v>
      </c>
      <c r="F29" s="35">
        <f t="shared" ref="F29:F36" si="4">E29*E29</f>
        <v>5.0625</v>
      </c>
      <c r="G29" s="32">
        <f t="shared" ref="G29:G36" si="5">E29/B29</f>
        <v>0.1607142857</v>
      </c>
      <c r="H29" s="28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18">
        <v>6.0</v>
      </c>
      <c r="B30" s="19">
        <v>16.0</v>
      </c>
      <c r="C30" s="31">
        <f t="shared" si="1"/>
        <v>16.25</v>
      </c>
      <c r="D30" s="35">
        <f t="shared" si="2"/>
        <v>-0.25</v>
      </c>
      <c r="E30" s="35">
        <f t="shared" si="3"/>
        <v>0.25</v>
      </c>
      <c r="F30" s="35">
        <f t="shared" si="4"/>
        <v>0.0625</v>
      </c>
      <c r="G30" s="32">
        <f t="shared" si="5"/>
        <v>0.015625</v>
      </c>
      <c r="H30" s="28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18">
        <v>7.0</v>
      </c>
      <c r="B31" s="19">
        <v>18.0</v>
      </c>
      <c r="C31" s="31">
        <f t="shared" si="1"/>
        <v>16</v>
      </c>
      <c r="D31" s="35">
        <f t="shared" si="2"/>
        <v>2</v>
      </c>
      <c r="E31" s="35">
        <f t="shared" si="3"/>
        <v>2</v>
      </c>
      <c r="F31" s="35">
        <f t="shared" si="4"/>
        <v>4</v>
      </c>
      <c r="G31" s="32">
        <f t="shared" si="5"/>
        <v>0.1111111111</v>
      </c>
      <c r="H31" s="28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8">
        <v>8.0</v>
      </c>
      <c r="B32" s="19">
        <v>14.0</v>
      </c>
      <c r="C32" s="31">
        <f t="shared" si="1"/>
        <v>16.75</v>
      </c>
      <c r="D32" s="35">
        <f t="shared" si="2"/>
        <v>-2.75</v>
      </c>
      <c r="E32" s="35">
        <f t="shared" si="3"/>
        <v>2.75</v>
      </c>
      <c r="F32" s="35">
        <f t="shared" si="4"/>
        <v>7.5625</v>
      </c>
      <c r="G32" s="32">
        <f t="shared" si="5"/>
        <v>0.1964285714</v>
      </c>
      <c r="H32" s="28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18">
        <v>9.0</v>
      </c>
      <c r="B33" s="19">
        <v>16.0</v>
      </c>
      <c r="C33" s="31">
        <f t="shared" si="1"/>
        <v>15.5</v>
      </c>
      <c r="D33" s="35">
        <f t="shared" si="2"/>
        <v>0.5</v>
      </c>
      <c r="E33" s="35">
        <f t="shared" si="3"/>
        <v>0.5</v>
      </c>
      <c r="F33" s="35">
        <f t="shared" si="4"/>
        <v>0.25</v>
      </c>
      <c r="G33" s="32">
        <f t="shared" si="5"/>
        <v>0.03125</v>
      </c>
      <c r="H33" s="28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18">
        <v>10.0</v>
      </c>
      <c r="B34" s="19">
        <v>11.0</v>
      </c>
      <c r="C34" s="31">
        <f t="shared" si="1"/>
        <v>16</v>
      </c>
      <c r="D34" s="35">
        <f t="shared" si="2"/>
        <v>-5</v>
      </c>
      <c r="E34" s="35">
        <f t="shared" si="3"/>
        <v>5</v>
      </c>
      <c r="F34" s="35">
        <f t="shared" si="4"/>
        <v>25</v>
      </c>
      <c r="G34" s="32">
        <f t="shared" si="5"/>
        <v>0.4545454545</v>
      </c>
      <c r="H34" s="28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18">
        <v>11.0</v>
      </c>
      <c r="B35" s="19">
        <v>15.0</v>
      </c>
      <c r="C35" s="31">
        <f t="shared" si="1"/>
        <v>14.75</v>
      </c>
      <c r="D35" s="35">
        <f t="shared" si="2"/>
        <v>0.25</v>
      </c>
      <c r="E35" s="35">
        <f t="shared" si="3"/>
        <v>0.25</v>
      </c>
      <c r="F35" s="35">
        <f t="shared" si="4"/>
        <v>0.0625</v>
      </c>
      <c r="G35" s="32">
        <f t="shared" si="5"/>
        <v>0.01666666667</v>
      </c>
      <c r="H35" s="28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47">
        <v>12.0</v>
      </c>
      <c r="B36" s="48">
        <v>21.0</v>
      </c>
      <c r="C36" s="49">
        <f t="shared" si="1"/>
        <v>14</v>
      </c>
      <c r="D36" s="50">
        <f t="shared" si="2"/>
        <v>7</v>
      </c>
      <c r="E36" s="50">
        <f t="shared" si="3"/>
        <v>7</v>
      </c>
      <c r="F36" s="50">
        <f t="shared" si="4"/>
        <v>49</v>
      </c>
      <c r="G36" s="51">
        <f t="shared" si="5"/>
        <v>0.3333333333</v>
      </c>
      <c r="H36" s="28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52">
        <v>13.0</v>
      </c>
      <c r="B37" s="20"/>
      <c r="C37" s="53">
        <f t="shared" si="1"/>
        <v>15.75</v>
      </c>
      <c r="D37" s="20"/>
      <c r="E37" s="35">
        <f t="shared" ref="E37:G37" si="6">AVERAGE(E29:E36)</f>
        <v>2.5</v>
      </c>
      <c r="F37" s="35">
        <f t="shared" si="6"/>
        <v>11.375</v>
      </c>
      <c r="G37" s="54">
        <f t="shared" si="6"/>
        <v>0.1649593028</v>
      </c>
      <c r="H37" s="28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43"/>
      <c r="B38" s="20"/>
      <c r="C38" s="39" t="s">
        <v>44</v>
      </c>
      <c r="D38" s="44"/>
      <c r="E38" s="45" t="s">
        <v>32</v>
      </c>
      <c r="F38" s="45" t="s">
        <v>33</v>
      </c>
      <c r="G38" s="46" t="s">
        <v>34</v>
      </c>
      <c r="H38" s="55" t="s">
        <v>35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43"/>
      <c r="B39" s="20"/>
      <c r="C39" s="43"/>
      <c r="D39" s="28"/>
      <c r="E39" s="17"/>
      <c r="F39" s="56" t="s">
        <v>45</v>
      </c>
      <c r="G39" s="57"/>
      <c r="H39" s="57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9" t="s">
        <v>18</v>
      </c>
      <c r="B41" s="11" t="s">
        <v>21</v>
      </c>
      <c r="C41" s="11" t="s">
        <v>47</v>
      </c>
      <c r="D41" s="15" t="s">
        <v>22</v>
      </c>
      <c r="E41" s="15" t="s">
        <v>23</v>
      </c>
      <c r="F41" s="15" t="s">
        <v>25</v>
      </c>
      <c r="G41" s="16" t="s">
        <v>26</v>
      </c>
      <c r="H41" s="17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18">
        <v>1.0</v>
      </c>
      <c r="B42" s="52">
        <v>14.0</v>
      </c>
      <c r="C42" s="20"/>
      <c r="D42" s="28"/>
      <c r="E42" s="28"/>
      <c r="F42" s="28"/>
      <c r="G42" s="30"/>
      <c r="H42" s="28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18">
        <v>2.0</v>
      </c>
      <c r="B43" s="52">
        <v>17.0</v>
      </c>
      <c r="C43" s="20"/>
      <c r="D43" s="28"/>
      <c r="E43" s="28"/>
      <c r="F43" s="28"/>
      <c r="G43" s="30"/>
      <c r="H43" s="28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18">
        <v>3.0</v>
      </c>
      <c r="B44" s="52">
        <v>15.0</v>
      </c>
      <c r="C44" s="20"/>
      <c r="D44" s="28"/>
      <c r="E44" s="28"/>
      <c r="F44" s="28"/>
      <c r="G44" s="30"/>
      <c r="H44" s="28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18">
        <v>4.0</v>
      </c>
      <c r="B45" s="52">
        <v>19.0</v>
      </c>
      <c r="C45" s="33"/>
      <c r="D45" s="28"/>
      <c r="E45" s="28"/>
      <c r="F45" s="28"/>
      <c r="G45" s="32"/>
      <c r="H45" s="28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18">
        <v>5.0</v>
      </c>
      <c r="B46" s="52">
        <v>14.0</v>
      </c>
      <c r="C46" s="33"/>
      <c r="E46" s="35"/>
      <c r="F46" s="35"/>
      <c r="G46" s="32"/>
      <c r="H46" s="28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18">
        <v>6.0</v>
      </c>
      <c r="B47" s="52">
        <v>16.0</v>
      </c>
      <c r="C47" s="33">
        <f t="shared" ref="C47:C54" si="7">(B46+B45+B44+B43+B42)/5</f>
        <v>15.8</v>
      </c>
      <c r="D47" s="35">
        <f t="shared" ref="D47:D53" si="8">B47-C47</f>
        <v>0.2</v>
      </c>
      <c r="E47" s="35">
        <f t="shared" ref="E47:E53" si="9">ABS(D47)</f>
        <v>0.2</v>
      </c>
      <c r="F47" s="35">
        <f t="shared" ref="F47:F53" si="10">E47*E47</f>
        <v>0.04</v>
      </c>
      <c r="G47" s="32">
        <f t="shared" ref="G47:G53" si="11">E47/B47</f>
        <v>0.0125</v>
      </c>
      <c r="H47" s="28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18">
        <v>7.0</v>
      </c>
      <c r="B48" s="52">
        <v>18.0</v>
      </c>
      <c r="C48" s="33">
        <f t="shared" si="7"/>
        <v>16.2</v>
      </c>
      <c r="D48" s="35">
        <f t="shared" si="8"/>
        <v>1.8</v>
      </c>
      <c r="E48" s="35">
        <f t="shared" si="9"/>
        <v>1.8</v>
      </c>
      <c r="F48" s="35">
        <f t="shared" si="10"/>
        <v>3.24</v>
      </c>
      <c r="G48" s="32">
        <f t="shared" si="11"/>
        <v>0.1</v>
      </c>
      <c r="H48" s="28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18">
        <v>8.0</v>
      </c>
      <c r="B49" s="52">
        <v>14.0</v>
      </c>
      <c r="C49" s="33">
        <f t="shared" si="7"/>
        <v>16.4</v>
      </c>
      <c r="D49" s="35">
        <f t="shared" si="8"/>
        <v>-2.4</v>
      </c>
      <c r="E49" s="35">
        <f t="shared" si="9"/>
        <v>2.4</v>
      </c>
      <c r="F49" s="35">
        <f t="shared" si="10"/>
        <v>5.76</v>
      </c>
      <c r="G49" s="32">
        <f t="shared" si="11"/>
        <v>0.1714285714</v>
      </c>
      <c r="H49" s="28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18">
        <v>9.0</v>
      </c>
      <c r="B50" s="52">
        <v>16.0</v>
      </c>
      <c r="C50" s="33">
        <f t="shared" si="7"/>
        <v>16.2</v>
      </c>
      <c r="D50" s="35">
        <f t="shared" si="8"/>
        <v>-0.2</v>
      </c>
      <c r="E50" s="35">
        <f t="shared" si="9"/>
        <v>0.2</v>
      </c>
      <c r="F50" s="35">
        <f t="shared" si="10"/>
        <v>0.04</v>
      </c>
      <c r="G50" s="32">
        <f t="shared" si="11"/>
        <v>0.0125</v>
      </c>
      <c r="H50" s="28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18">
        <v>10.0</v>
      </c>
      <c r="B51" s="52">
        <v>11.0</v>
      </c>
      <c r="C51" s="33">
        <f t="shared" si="7"/>
        <v>15.6</v>
      </c>
      <c r="D51" s="35">
        <f t="shared" si="8"/>
        <v>-4.6</v>
      </c>
      <c r="E51" s="35">
        <f t="shared" si="9"/>
        <v>4.6</v>
      </c>
      <c r="F51" s="35">
        <f t="shared" si="10"/>
        <v>21.16</v>
      </c>
      <c r="G51" s="32">
        <f t="shared" si="11"/>
        <v>0.4181818182</v>
      </c>
      <c r="H51" s="28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18">
        <v>11.0</v>
      </c>
      <c r="B52" s="52">
        <v>15.0</v>
      </c>
      <c r="C52" s="33">
        <f t="shared" si="7"/>
        <v>15</v>
      </c>
      <c r="D52" s="35">
        <f t="shared" si="8"/>
        <v>0</v>
      </c>
      <c r="E52" s="35">
        <f t="shared" si="9"/>
        <v>0</v>
      </c>
      <c r="F52" s="35">
        <f t="shared" si="10"/>
        <v>0</v>
      </c>
      <c r="G52" s="32">
        <f t="shared" si="11"/>
        <v>0</v>
      </c>
      <c r="H52" s="28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18">
        <v>12.0</v>
      </c>
      <c r="B53" s="52">
        <v>21.0</v>
      </c>
      <c r="C53" s="33">
        <f t="shared" si="7"/>
        <v>14.8</v>
      </c>
      <c r="D53" s="35">
        <f t="shared" si="8"/>
        <v>6.2</v>
      </c>
      <c r="E53" s="35">
        <f t="shared" si="9"/>
        <v>6.2</v>
      </c>
      <c r="F53" s="35">
        <f t="shared" si="10"/>
        <v>38.44</v>
      </c>
      <c r="G53" s="32">
        <f t="shared" si="11"/>
        <v>0.2952380952</v>
      </c>
      <c r="H53" s="28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37">
        <v>13.0</v>
      </c>
      <c r="B54" s="38"/>
      <c r="C54" s="59">
        <f t="shared" si="7"/>
        <v>15.4</v>
      </c>
      <c r="D54" s="38"/>
      <c r="E54" s="60">
        <f t="shared" ref="E54:G54" si="12">AVERAGE(E47:E53)</f>
        <v>2.2</v>
      </c>
      <c r="F54" s="60">
        <f t="shared" si="12"/>
        <v>9.811428571</v>
      </c>
      <c r="G54" s="61">
        <f t="shared" si="12"/>
        <v>0.1442640693</v>
      </c>
      <c r="H54" s="28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43"/>
      <c r="B55" s="20"/>
      <c r="C55" s="39" t="s">
        <v>44</v>
      </c>
      <c r="D55" s="20"/>
      <c r="E55" s="45" t="s">
        <v>32</v>
      </c>
      <c r="F55" s="45" t="s">
        <v>33</v>
      </c>
      <c r="G55" s="45" t="s">
        <v>34</v>
      </c>
      <c r="H55" s="56" t="s">
        <v>35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7" t="s">
        <v>57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 t="s">
        <v>27</v>
      </c>
      <c r="B6" s="7" t="s">
        <v>28</v>
      </c>
      <c r="C6" s="39" t="s">
        <v>29</v>
      </c>
      <c r="D6" s="39" t="s">
        <v>30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9">
        <v>1.0</v>
      </c>
      <c r="B7" s="39">
        <v>66.9</v>
      </c>
      <c r="C7" s="6">
        <f t="shared" ref="C7:C15" si="1">A7*A7</f>
        <v>1</v>
      </c>
      <c r="D7" s="6">
        <f t="shared" ref="D7:D15" si="2">A7*B7</f>
        <v>66.9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9">
        <v>2.0</v>
      </c>
      <c r="B8" s="39">
        <v>74.8</v>
      </c>
      <c r="C8" s="6">
        <f t="shared" si="1"/>
        <v>4</v>
      </c>
      <c r="D8" s="6">
        <f t="shared" si="2"/>
        <v>149.6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9">
        <v>3.0</v>
      </c>
      <c r="B9" s="39">
        <v>61.2</v>
      </c>
      <c r="C9" s="6">
        <f t="shared" si="1"/>
        <v>9</v>
      </c>
      <c r="D9" s="6">
        <f t="shared" si="2"/>
        <v>183.6</v>
      </c>
      <c r="E9" s="6"/>
      <c r="F9" s="6"/>
      <c r="G9" s="39" t="s">
        <v>36</v>
      </c>
      <c r="H9" s="39" t="s">
        <v>37</v>
      </c>
      <c r="I9" s="39" t="s">
        <v>38</v>
      </c>
      <c r="J9" s="6"/>
      <c r="K9" s="39" t="s">
        <v>39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9">
        <v>4.0</v>
      </c>
      <c r="B10" s="39">
        <v>85.0</v>
      </c>
      <c r="C10" s="6">
        <f t="shared" si="1"/>
        <v>16</v>
      </c>
      <c r="D10" s="6">
        <f t="shared" si="2"/>
        <v>340</v>
      </c>
      <c r="E10" s="6"/>
      <c r="F10" s="6"/>
      <c r="G10" s="39" t="s">
        <v>37</v>
      </c>
      <c r="H10" s="39" t="s">
        <v>29</v>
      </c>
      <c r="I10" s="39" t="s">
        <v>41</v>
      </c>
      <c r="J10" s="6"/>
      <c r="K10" s="39" t="s">
        <v>42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9">
        <v>5.0</v>
      </c>
      <c r="B11" s="39">
        <v>89.2</v>
      </c>
      <c r="C11" s="6">
        <f t="shared" si="1"/>
        <v>25</v>
      </c>
      <c r="D11" s="6">
        <f t="shared" si="2"/>
        <v>446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9">
        <v>6.0</v>
      </c>
      <c r="B12" s="39">
        <v>92.6</v>
      </c>
      <c r="C12" s="6">
        <f t="shared" si="1"/>
        <v>36</v>
      </c>
      <c r="D12" s="6">
        <f t="shared" si="2"/>
        <v>555.6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39">
        <v>7.0</v>
      </c>
      <c r="B13" s="39">
        <v>97.8</v>
      </c>
      <c r="C13" s="6">
        <f t="shared" si="1"/>
        <v>49</v>
      </c>
      <c r="D13" s="6">
        <f t="shared" si="2"/>
        <v>684.6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39">
        <v>8.0</v>
      </c>
      <c r="B14" s="39">
        <v>101.9</v>
      </c>
      <c r="C14" s="6">
        <f t="shared" si="1"/>
        <v>64</v>
      </c>
      <c r="D14" s="6">
        <f t="shared" si="2"/>
        <v>815.2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39">
        <v>9.0</v>
      </c>
      <c r="B15" s="39">
        <v>106.9</v>
      </c>
      <c r="C15" s="6">
        <f t="shared" si="1"/>
        <v>81</v>
      </c>
      <c r="D15" s="6">
        <f t="shared" si="2"/>
        <v>962.1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39">
        <f t="shared" ref="A16:D16" si="3">SUM(A7:A15)</f>
        <v>45</v>
      </c>
      <c r="B16" s="6">
        <f t="shared" si="3"/>
        <v>776.3</v>
      </c>
      <c r="C16" s="6">
        <f t="shared" si="3"/>
        <v>285</v>
      </c>
      <c r="D16" s="6">
        <f t="shared" si="3"/>
        <v>4203.6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39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7" t="s">
        <v>46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39">
        <v>9.0</v>
      </c>
      <c r="B19" s="6">
        <f>A16</f>
        <v>45</v>
      </c>
      <c r="C19" s="6"/>
      <c r="D19" s="39" t="s">
        <v>38</v>
      </c>
      <c r="E19" s="6">
        <f>B16</f>
        <v>776.3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>
        <f>A16</f>
        <v>45</v>
      </c>
      <c r="B20" s="6">
        <f>C16</f>
        <v>285</v>
      </c>
      <c r="C20" s="6"/>
      <c r="D20" s="39" t="s">
        <v>41</v>
      </c>
      <c r="E20" s="6">
        <f>D16</f>
        <v>4203.6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39" t="s">
        <v>48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39" t="s">
        <v>49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39" t="s">
        <v>50</v>
      </c>
      <c r="C25" s="39">
        <v>59.41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39" t="s">
        <v>51</v>
      </c>
      <c r="C26" s="39">
        <v>5.368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39" t="s">
        <v>52</v>
      </c>
      <c r="B28" s="39" t="s">
        <v>53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9" t="s">
        <v>27</v>
      </c>
      <c r="B31" s="11" t="s">
        <v>54</v>
      </c>
      <c r="C31" s="10" t="s">
        <v>55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8">
        <v>1.0</v>
      </c>
      <c r="B32" s="52">
        <v>66.9</v>
      </c>
      <c r="C32" s="58">
        <f t="shared" ref="C32:C42" si="4">59.41+5.368*A32</f>
        <v>64.778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18">
        <v>2.0</v>
      </c>
      <c r="B33" s="52">
        <v>74.8</v>
      </c>
      <c r="C33" s="58">
        <f t="shared" si="4"/>
        <v>70.146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18">
        <v>3.0</v>
      </c>
      <c r="B34" s="52">
        <v>61.2</v>
      </c>
      <c r="C34" s="58">
        <f t="shared" si="4"/>
        <v>75.514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18">
        <v>4.0</v>
      </c>
      <c r="B35" s="52">
        <v>85.0</v>
      </c>
      <c r="C35" s="58">
        <f t="shared" si="4"/>
        <v>80.882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18">
        <v>5.0</v>
      </c>
      <c r="B36" s="52">
        <v>89.2</v>
      </c>
      <c r="C36" s="58">
        <f t="shared" si="4"/>
        <v>86.25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18">
        <v>6.0</v>
      </c>
      <c r="B37" s="52">
        <v>92.6</v>
      </c>
      <c r="C37" s="58">
        <f t="shared" si="4"/>
        <v>91.618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18">
        <v>7.0</v>
      </c>
      <c r="B38" s="52">
        <v>97.8</v>
      </c>
      <c r="C38" s="58">
        <f t="shared" si="4"/>
        <v>96.986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18">
        <v>8.0</v>
      </c>
      <c r="B39" s="52">
        <v>101.9</v>
      </c>
      <c r="C39" s="58">
        <f t="shared" si="4"/>
        <v>102.354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18">
        <v>9.0</v>
      </c>
      <c r="B40" s="52">
        <v>106.9</v>
      </c>
      <c r="C40" s="58">
        <f t="shared" si="4"/>
        <v>107.722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9">
        <v>10.0</v>
      </c>
      <c r="B41" s="62"/>
      <c r="C41" s="63">
        <f t="shared" si="4"/>
        <v>113.09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4">
        <v>11.0</v>
      </c>
      <c r="B42" s="65"/>
      <c r="C42" s="66">
        <f t="shared" si="4"/>
        <v>118.458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7" t="s">
        <v>27</v>
      </c>
      <c r="B10" s="67" t="s">
        <v>58</v>
      </c>
      <c r="C10" s="67" t="s">
        <v>29</v>
      </c>
      <c r="D10" s="67" t="s">
        <v>59</v>
      </c>
      <c r="E10" s="6"/>
      <c r="F10" s="6"/>
      <c r="G10" s="7" t="s">
        <v>60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52">
        <v>1.0</v>
      </c>
      <c r="B11" s="52">
        <v>33.0</v>
      </c>
      <c r="C11" s="20">
        <f t="shared" ref="C11:C17" si="1">A11*A11</f>
        <v>1</v>
      </c>
      <c r="D11" s="20">
        <f t="shared" ref="D11:D17" si="2">A11*B11</f>
        <v>33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52">
        <v>2.0</v>
      </c>
      <c r="B12" s="52">
        <v>58.0</v>
      </c>
      <c r="C12" s="20">
        <f t="shared" si="1"/>
        <v>4</v>
      </c>
      <c r="D12" s="20">
        <f t="shared" si="2"/>
        <v>116</v>
      </c>
      <c r="E12" s="6"/>
      <c r="F12" s="6"/>
      <c r="G12" s="39" t="s">
        <v>36</v>
      </c>
      <c r="H12" s="39" t="s">
        <v>61</v>
      </c>
      <c r="I12" s="39" t="s">
        <v>38</v>
      </c>
      <c r="J12" s="6"/>
      <c r="K12" s="39" t="s">
        <v>39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52">
        <v>3.0</v>
      </c>
      <c r="B13" s="52">
        <v>83.0</v>
      </c>
      <c r="C13" s="20">
        <f t="shared" si="1"/>
        <v>9</v>
      </c>
      <c r="D13" s="20">
        <f t="shared" si="2"/>
        <v>249</v>
      </c>
      <c r="E13" s="6"/>
      <c r="F13" s="6"/>
      <c r="G13" s="39" t="s">
        <v>61</v>
      </c>
      <c r="H13" s="39" t="s">
        <v>62</v>
      </c>
      <c r="I13" s="39" t="s">
        <v>41</v>
      </c>
      <c r="J13" s="6"/>
      <c r="K13" s="39" t="s">
        <v>42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52">
        <v>4.0</v>
      </c>
      <c r="B14" s="52">
        <v>86.0</v>
      </c>
      <c r="C14" s="20">
        <f t="shared" si="1"/>
        <v>16</v>
      </c>
      <c r="D14" s="20">
        <f t="shared" si="2"/>
        <v>344</v>
      </c>
      <c r="E14" s="6"/>
      <c r="F14" s="6"/>
      <c r="G14" s="39"/>
      <c r="H14" s="39"/>
      <c r="I14" s="39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52">
        <v>5.0</v>
      </c>
      <c r="B15" s="52">
        <v>104.0</v>
      </c>
      <c r="C15" s="20">
        <f t="shared" si="1"/>
        <v>25</v>
      </c>
      <c r="D15" s="20">
        <f t="shared" si="2"/>
        <v>520</v>
      </c>
      <c r="E15" s="6"/>
      <c r="F15" s="6"/>
      <c r="G15" s="39">
        <v>7.0</v>
      </c>
      <c r="H15" s="6">
        <f>A18</f>
        <v>28</v>
      </c>
      <c r="I15" s="39" t="s">
        <v>38</v>
      </c>
      <c r="J15" s="6"/>
      <c r="K15" s="6">
        <f>B18</f>
        <v>598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52">
        <v>6.0</v>
      </c>
      <c r="B16" s="52">
        <v>106.0</v>
      </c>
      <c r="C16" s="20">
        <f t="shared" si="1"/>
        <v>36</v>
      </c>
      <c r="D16" s="20">
        <f t="shared" si="2"/>
        <v>636</v>
      </c>
      <c r="E16" s="6"/>
      <c r="F16" s="6"/>
      <c r="G16" s="6">
        <f>A18</f>
        <v>28</v>
      </c>
      <c r="H16" s="6">
        <f>C18</f>
        <v>140</v>
      </c>
      <c r="I16" s="39" t="s">
        <v>41</v>
      </c>
      <c r="J16" s="6"/>
      <c r="K16" s="6">
        <f>D18</f>
        <v>2794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52">
        <v>7.0</v>
      </c>
      <c r="B17" s="52">
        <v>128.0</v>
      </c>
      <c r="C17" s="20">
        <f t="shared" si="1"/>
        <v>49</v>
      </c>
      <c r="D17" s="20">
        <f t="shared" si="2"/>
        <v>896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20">
        <f t="shared" ref="A18:D18" si="3">SUM(A11:A17)</f>
        <v>28</v>
      </c>
      <c r="B18" s="20">
        <f t="shared" si="3"/>
        <v>598</v>
      </c>
      <c r="C18" s="20">
        <f t="shared" si="3"/>
        <v>140</v>
      </c>
      <c r="D18" s="20">
        <f t="shared" si="3"/>
        <v>2794</v>
      </c>
      <c r="E18" s="6"/>
      <c r="F18" s="6"/>
      <c r="G18" s="39" t="s">
        <v>61</v>
      </c>
      <c r="H18" s="39">
        <v>28.0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39" t="s">
        <v>39</v>
      </c>
      <c r="H19" s="39">
        <v>14.36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8" t="s">
        <v>63</v>
      </c>
      <c r="H21" s="68" t="s">
        <v>64</v>
      </c>
      <c r="I21" s="69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7" t="s">
        <v>17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70" t="s">
        <v>40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9" t="s">
        <v>27</v>
      </c>
      <c r="B29" s="11" t="s">
        <v>58</v>
      </c>
      <c r="C29" s="10" t="s">
        <v>55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18">
        <v>1.0</v>
      </c>
      <c r="B30" s="52">
        <v>33.0</v>
      </c>
      <c r="C30" s="58">
        <f t="shared" ref="C30:C37" si="4">28+14.36*A30</f>
        <v>42.36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18">
        <v>2.0</v>
      </c>
      <c r="B31" s="52">
        <v>58.0</v>
      </c>
      <c r="C31" s="58">
        <f t="shared" si="4"/>
        <v>56.72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8">
        <v>3.0</v>
      </c>
      <c r="B32" s="52">
        <v>83.0</v>
      </c>
      <c r="C32" s="58">
        <f t="shared" si="4"/>
        <v>71.08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18">
        <v>4.0</v>
      </c>
      <c r="B33" s="52">
        <v>86.0</v>
      </c>
      <c r="C33" s="58">
        <f t="shared" si="4"/>
        <v>85.44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18">
        <v>5.0</v>
      </c>
      <c r="B34" s="52">
        <v>104.0</v>
      </c>
      <c r="C34" s="58">
        <f t="shared" si="4"/>
        <v>99.8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18">
        <v>6.0</v>
      </c>
      <c r="B35" s="52">
        <v>106.0</v>
      </c>
      <c r="C35" s="58">
        <f t="shared" si="4"/>
        <v>114.16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18">
        <v>7.0</v>
      </c>
      <c r="B36" s="52">
        <v>128.0</v>
      </c>
      <c r="C36" s="58">
        <f t="shared" si="4"/>
        <v>128.52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37">
        <v>8.0</v>
      </c>
      <c r="B37" s="71"/>
      <c r="C37" s="72">
        <f t="shared" si="4"/>
        <v>142.88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</sheetData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0.88"/>
    <col customWidth="1" min="7" max="7" width="13.38"/>
    <col customWidth="1" min="8" max="11" width="17.38"/>
    <col customWidth="1" min="12" max="12" width="15.13"/>
    <col customWidth="1" min="13" max="13" width="16.75"/>
  </cols>
  <sheetData>
    <row r="22">
      <c r="A22" s="73" t="s">
        <v>27</v>
      </c>
      <c r="B22" s="8" t="s">
        <v>65</v>
      </c>
      <c r="C22" s="74" t="s">
        <v>66</v>
      </c>
      <c r="D22" s="74" t="s">
        <v>67</v>
      </c>
      <c r="E22" s="12" t="s">
        <v>68</v>
      </c>
      <c r="F22" s="73" t="s">
        <v>69</v>
      </c>
      <c r="G22" s="67" t="s">
        <v>70</v>
      </c>
      <c r="I22" s="70" t="s">
        <v>36</v>
      </c>
      <c r="J22" s="70" t="s">
        <v>37</v>
      </c>
      <c r="L22" s="70" t="s">
        <v>71</v>
      </c>
    </row>
    <row r="23">
      <c r="A23" s="75">
        <v>1.0</v>
      </c>
      <c r="B23" s="18">
        <v>12.0</v>
      </c>
      <c r="C23" s="52">
        <v>30.0</v>
      </c>
      <c r="D23" s="52">
        <v>20.0</v>
      </c>
      <c r="E23" s="19">
        <v>8.0</v>
      </c>
      <c r="F23" s="75">
        <f t="shared" ref="F23:F29" si="1">SUM(B23:E23)</f>
        <v>70</v>
      </c>
      <c r="G23" s="43">
        <f t="shared" ref="G23:G29" si="2">AVERAGE(B23:E23)</f>
        <v>17.5</v>
      </c>
      <c r="I23" s="70" t="s">
        <v>37</v>
      </c>
      <c r="J23" s="70" t="s">
        <v>29</v>
      </c>
      <c r="L23" s="70" t="s">
        <v>59</v>
      </c>
    </row>
    <row r="24">
      <c r="A24" s="75">
        <v>2.0</v>
      </c>
      <c r="B24" s="18">
        <v>20.0</v>
      </c>
      <c r="C24" s="52">
        <v>36.0</v>
      </c>
      <c r="D24" s="52">
        <v>30.0</v>
      </c>
      <c r="E24" s="19">
        <v>14.0</v>
      </c>
      <c r="F24" s="75">
        <f t="shared" si="1"/>
        <v>100</v>
      </c>
      <c r="G24" s="43">
        <f t="shared" si="2"/>
        <v>25</v>
      </c>
    </row>
    <row r="25">
      <c r="A25" s="75">
        <v>3.0</v>
      </c>
      <c r="B25" s="18">
        <v>28.0</v>
      </c>
      <c r="C25" s="52">
        <v>45.0</v>
      </c>
      <c r="D25" s="52">
        <v>46.0</v>
      </c>
      <c r="E25" s="19">
        <v>24.0</v>
      </c>
      <c r="F25" s="75">
        <f t="shared" si="1"/>
        <v>143</v>
      </c>
      <c r="G25" s="43">
        <f t="shared" si="2"/>
        <v>35.75</v>
      </c>
      <c r="I25" s="76" t="s">
        <v>38</v>
      </c>
      <c r="J25" s="77" t="s">
        <v>41</v>
      </c>
      <c r="K25" s="78"/>
      <c r="L25" s="79"/>
      <c r="M25" s="70" t="s">
        <v>72</v>
      </c>
    </row>
    <row r="26">
      <c r="A26" s="75">
        <v>4.0</v>
      </c>
      <c r="B26" s="18">
        <v>39.0</v>
      </c>
      <c r="C26" s="52">
        <v>56.0</v>
      </c>
      <c r="D26" s="52">
        <v>50.0</v>
      </c>
      <c r="E26" s="19">
        <v>36.0</v>
      </c>
      <c r="F26" s="75">
        <f t="shared" si="1"/>
        <v>181</v>
      </c>
      <c r="G26" s="43">
        <f t="shared" si="2"/>
        <v>45.25</v>
      </c>
      <c r="I26" s="80">
        <f>I60</f>
        <v>28</v>
      </c>
      <c r="J26" s="81">
        <f>I31</f>
        <v>406</v>
      </c>
      <c r="K26" s="70" t="s">
        <v>73</v>
      </c>
      <c r="L26" s="82">
        <f>H31</f>
        <v>1257.70511</v>
      </c>
      <c r="M26" s="70" t="s">
        <v>74</v>
      </c>
    </row>
    <row r="27">
      <c r="A27" s="75">
        <v>5.0</v>
      </c>
      <c r="B27" s="18">
        <v>44.0</v>
      </c>
      <c r="C27" s="52">
        <v>68.0</v>
      </c>
      <c r="D27" s="52">
        <v>62.0</v>
      </c>
      <c r="E27" s="19">
        <v>42.0</v>
      </c>
      <c r="F27" s="75">
        <f t="shared" si="1"/>
        <v>216</v>
      </c>
      <c r="G27" s="43">
        <f t="shared" si="2"/>
        <v>54</v>
      </c>
      <c r="I27" s="83">
        <f t="shared" ref="I27:J27" si="3">I31</f>
        <v>406</v>
      </c>
      <c r="J27" s="84">
        <f t="shared" si="3"/>
        <v>7714</v>
      </c>
      <c r="K27" s="85" t="s">
        <v>73</v>
      </c>
      <c r="L27" s="86">
        <f>K31</f>
        <v>22525.56392</v>
      </c>
    </row>
    <row r="28">
      <c r="A28" s="75">
        <v>6.0</v>
      </c>
      <c r="B28" s="18">
        <v>48.0</v>
      </c>
      <c r="C28" s="52">
        <v>72.0</v>
      </c>
      <c r="D28" s="52">
        <v>60.0</v>
      </c>
      <c r="E28" s="19">
        <v>74.0</v>
      </c>
      <c r="F28" s="75">
        <f t="shared" si="1"/>
        <v>254</v>
      </c>
      <c r="G28" s="43">
        <f t="shared" si="2"/>
        <v>63.5</v>
      </c>
    </row>
    <row r="29">
      <c r="A29" s="87">
        <v>7.0</v>
      </c>
      <c r="B29" s="47">
        <v>56.0</v>
      </c>
      <c r="C29" s="88">
        <v>80.0</v>
      </c>
      <c r="D29" s="88">
        <v>70.0</v>
      </c>
      <c r="E29" s="48">
        <v>56.0</v>
      </c>
      <c r="F29" s="87">
        <f t="shared" si="1"/>
        <v>262</v>
      </c>
      <c r="G29" s="43">
        <f t="shared" si="2"/>
        <v>65.5</v>
      </c>
      <c r="H29" s="89" t="s">
        <v>75</v>
      </c>
    </row>
    <row r="30">
      <c r="G30" s="89" t="s">
        <v>76</v>
      </c>
      <c r="H30" s="90" t="s">
        <v>71</v>
      </c>
      <c r="I30" s="90" t="s">
        <v>37</v>
      </c>
      <c r="J30" s="90" t="s">
        <v>29</v>
      </c>
      <c r="K30" s="90" t="s">
        <v>59</v>
      </c>
      <c r="L30" s="90" t="s">
        <v>63</v>
      </c>
    </row>
    <row r="31">
      <c r="G31" s="89" t="s">
        <v>35</v>
      </c>
      <c r="H31" s="91">
        <f t="shared" ref="H31:K31" si="4">SUM(H33:H60)</f>
        <v>1257.70511</v>
      </c>
      <c r="I31" s="92">
        <f t="shared" si="4"/>
        <v>406</v>
      </c>
      <c r="J31" s="91">
        <f t="shared" si="4"/>
        <v>7714</v>
      </c>
      <c r="K31" s="91">
        <f t="shared" si="4"/>
        <v>22525.56392</v>
      </c>
      <c r="L31" s="91" t="s">
        <v>77</v>
      </c>
    </row>
    <row r="32">
      <c r="A32" s="93" t="s">
        <v>27</v>
      </c>
      <c r="B32" s="94" t="s">
        <v>78</v>
      </c>
      <c r="C32" s="95" t="s">
        <v>21</v>
      </c>
      <c r="D32" s="96" t="s">
        <v>79</v>
      </c>
      <c r="E32" s="96" t="s">
        <v>80</v>
      </c>
      <c r="F32" s="97" t="s">
        <v>81</v>
      </c>
      <c r="G32" s="97" t="s">
        <v>82</v>
      </c>
      <c r="H32" s="98" t="s">
        <v>83</v>
      </c>
      <c r="I32" s="99" t="s">
        <v>84</v>
      </c>
      <c r="J32" s="96" t="s">
        <v>29</v>
      </c>
      <c r="K32" s="100" t="s">
        <v>59</v>
      </c>
      <c r="L32" s="98" t="s">
        <v>85</v>
      </c>
      <c r="M32" s="98" t="s">
        <v>86</v>
      </c>
    </row>
    <row r="33">
      <c r="A33" s="101">
        <v>1.0</v>
      </c>
      <c r="B33" s="102">
        <v>1.0</v>
      </c>
      <c r="C33" s="103">
        <v>12.0</v>
      </c>
      <c r="D33" s="104"/>
      <c r="E33" s="104"/>
      <c r="F33" s="104"/>
      <c r="G33" s="104">
        <f>$G$37</f>
        <v>0.8778808734</v>
      </c>
      <c r="H33" s="105">
        <f t="shared" ref="H33:H60" si="5">C33/G33</f>
        <v>13.66928061</v>
      </c>
      <c r="I33" s="106">
        <v>1.0</v>
      </c>
      <c r="J33" s="104">
        <f t="shared" ref="J33:J60" si="6">I33*I33</f>
        <v>1</v>
      </c>
      <c r="K33" s="107">
        <f t="shared" ref="K33:K60" si="7">I33*H33</f>
        <v>13.66928061</v>
      </c>
      <c r="L33" s="108">
        <f t="shared" ref="L33:L64" si="8">10.86+2.35*I33</f>
        <v>13.21</v>
      </c>
      <c r="M33" s="108">
        <f t="shared" ref="M33:M64" si="9">L33*G33</f>
        <v>11.59680634</v>
      </c>
    </row>
    <row r="34">
      <c r="A34" s="101">
        <v>1.0</v>
      </c>
      <c r="B34" s="102">
        <v>2.0</v>
      </c>
      <c r="C34" s="109">
        <v>30.0</v>
      </c>
      <c r="D34" s="104"/>
      <c r="E34" s="104"/>
      <c r="F34" s="104"/>
      <c r="G34" s="104">
        <f>$G$38</f>
        <v>1.289462509</v>
      </c>
      <c r="H34" s="110">
        <f t="shared" si="5"/>
        <v>23.26550775</v>
      </c>
      <c r="I34" s="111">
        <v>2.0</v>
      </c>
      <c r="J34" s="104">
        <f t="shared" si="6"/>
        <v>4</v>
      </c>
      <c r="K34" s="112">
        <f t="shared" si="7"/>
        <v>46.5310155</v>
      </c>
      <c r="L34" s="113">
        <f t="shared" si="8"/>
        <v>15.56</v>
      </c>
      <c r="M34" s="113">
        <f t="shared" si="9"/>
        <v>20.06403664</v>
      </c>
    </row>
    <row r="35">
      <c r="A35" s="101">
        <v>1.0</v>
      </c>
      <c r="B35" s="102">
        <v>3.0</v>
      </c>
      <c r="C35" s="103">
        <v>20.0</v>
      </c>
      <c r="D35" s="104">
        <f t="shared" ref="D35:D59" si="10">AVERAGE(C33:C36)</f>
        <v>17.5</v>
      </c>
      <c r="E35" s="104">
        <f t="shared" ref="E35:E58" si="11">AVERAGE(D35:D36)</f>
        <v>18.5</v>
      </c>
      <c r="F35" s="104">
        <f t="shared" ref="F35:F58" si="12">C35/E35</f>
        <v>1.081081081</v>
      </c>
      <c r="G35" s="115">
        <f t="shared" ref="G35:G38" si="13">AVERAGE(F35,F39,F43,F47,F51,F55)</f>
        <v>1.105291661</v>
      </c>
      <c r="H35" s="110">
        <f t="shared" si="5"/>
        <v>18.09477145</v>
      </c>
      <c r="I35" s="111">
        <v>3.0</v>
      </c>
      <c r="J35" s="104">
        <f t="shared" si="6"/>
        <v>9</v>
      </c>
      <c r="K35" s="112">
        <f t="shared" si="7"/>
        <v>54.28431436</v>
      </c>
      <c r="L35" s="113">
        <f t="shared" si="8"/>
        <v>17.91</v>
      </c>
      <c r="M35" s="113">
        <f t="shared" si="9"/>
        <v>19.79577365</v>
      </c>
    </row>
    <row r="36">
      <c r="A36" s="101">
        <v>1.0</v>
      </c>
      <c r="B36" s="102">
        <v>4.0</v>
      </c>
      <c r="C36" s="109">
        <v>8.0</v>
      </c>
      <c r="D36" s="104">
        <f t="shared" si="10"/>
        <v>19.5</v>
      </c>
      <c r="E36" s="104">
        <f t="shared" si="11"/>
        <v>20.25</v>
      </c>
      <c r="F36" s="104">
        <f t="shared" si="12"/>
        <v>0.3950617284</v>
      </c>
      <c r="G36" s="115">
        <f t="shared" si="13"/>
        <v>0.6857098493</v>
      </c>
      <c r="H36" s="110">
        <f t="shared" si="5"/>
        <v>11.66674215</v>
      </c>
      <c r="I36" s="111">
        <v>4.0</v>
      </c>
      <c r="J36" s="104">
        <f t="shared" si="6"/>
        <v>16</v>
      </c>
      <c r="K36" s="112">
        <f t="shared" si="7"/>
        <v>46.66696859</v>
      </c>
      <c r="L36" s="113">
        <f t="shared" si="8"/>
        <v>20.26</v>
      </c>
      <c r="M36" s="113">
        <f t="shared" si="9"/>
        <v>13.89248155</v>
      </c>
    </row>
    <row r="37">
      <c r="A37" s="101">
        <v>2.0</v>
      </c>
      <c r="B37" s="102">
        <v>1.0</v>
      </c>
      <c r="C37" s="103">
        <v>20.0</v>
      </c>
      <c r="D37" s="104">
        <f t="shared" si="10"/>
        <v>21</v>
      </c>
      <c r="E37" s="104">
        <f t="shared" si="11"/>
        <v>22.25</v>
      </c>
      <c r="F37" s="104">
        <f t="shared" si="12"/>
        <v>0.8988764045</v>
      </c>
      <c r="G37" s="115">
        <f t="shared" si="13"/>
        <v>0.8778808734</v>
      </c>
      <c r="H37" s="110">
        <f t="shared" si="5"/>
        <v>22.78213435</v>
      </c>
      <c r="I37" s="111">
        <v>5.0</v>
      </c>
      <c r="J37" s="104">
        <f t="shared" si="6"/>
        <v>25</v>
      </c>
      <c r="K37" s="112">
        <f t="shared" si="7"/>
        <v>113.9106717</v>
      </c>
      <c r="L37" s="113">
        <f t="shared" si="8"/>
        <v>22.61</v>
      </c>
      <c r="M37" s="113">
        <f t="shared" si="9"/>
        <v>19.84888655</v>
      </c>
    </row>
    <row r="38">
      <c r="A38" s="101">
        <v>2.0</v>
      </c>
      <c r="B38" s="102">
        <v>2.0</v>
      </c>
      <c r="C38" s="109">
        <v>36.0</v>
      </c>
      <c r="D38" s="104">
        <f t="shared" si="10"/>
        <v>23.5</v>
      </c>
      <c r="E38" s="104">
        <f t="shared" si="11"/>
        <v>24.25</v>
      </c>
      <c r="F38" s="104">
        <f t="shared" si="12"/>
        <v>1.484536082</v>
      </c>
      <c r="G38" s="115">
        <f t="shared" si="13"/>
        <v>1.289462509</v>
      </c>
      <c r="H38" s="110">
        <f t="shared" si="5"/>
        <v>27.9186093</v>
      </c>
      <c r="I38" s="111">
        <v>6.0</v>
      </c>
      <c r="J38" s="104">
        <f t="shared" si="6"/>
        <v>36</v>
      </c>
      <c r="K38" s="112">
        <f t="shared" si="7"/>
        <v>167.5116558</v>
      </c>
      <c r="L38" s="113">
        <f t="shared" si="8"/>
        <v>24.96</v>
      </c>
      <c r="M38" s="113">
        <f t="shared" si="9"/>
        <v>32.18498423</v>
      </c>
    </row>
    <row r="39">
      <c r="A39" s="101">
        <v>2.0</v>
      </c>
      <c r="B39" s="102">
        <v>3.0</v>
      </c>
      <c r="C39" s="103">
        <v>30.0</v>
      </c>
      <c r="D39" s="104">
        <f t="shared" si="10"/>
        <v>25</v>
      </c>
      <c r="E39" s="104">
        <f t="shared" si="11"/>
        <v>26</v>
      </c>
      <c r="F39" s="104">
        <f t="shared" si="12"/>
        <v>1.153846154</v>
      </c>
      <c r="G39" s="104">
        <f>$G$35</f>
        <v>1.105291661</v>
      </c>
      <c r="H39" s="110">
        <f t="shared" si="5"/>
        <v>27.14215718</v>
      </c>
      <c r="I39" s="111">
        <v>7.0</v>
      </c>
      <c r="J39" s="104">
        <f t="shared" si="6"/>
        <v>49</v>
      </c>
      <c r="K39" s="112">
        <f t="shared" si="7"/>
        <v>189.9951003</v>
      </c>
      <c r="L39" s="113">
        <f t="shared" si="8"/>
        <v>27.31</v>
      </c>
      <c r="M39" s="113">
        <f t="shared" si="9"/>
        <v>30.18551527</v>
      </c>
    </row>
    <row r="40">
      <c r="A40" s="101">
        <v>2.0</v>
      </c>
      <c r="B40" s="102">
        <v>4.0</v>
      </c>
      <c r="C40" s="109">
        <v>14.0</v>
      </c>
      <c r="D40" s="104">
        <f t="shared" si="10"/>
        <v>27</v>
      </c>
      <c r="E40" s="104">
        <f t="shared" si="11"/>
        <v>28.125</v>
      </c>
      <c r="F40" s="104">
        <f t="shared" si="12"/>
        <v>0.4977777778</v>
      </c>
      <c r="G40" s="104">
        <f>$G$36</f>
        <v>0.6857098493</v>
      </c>
      <c r="H40" s="110">
        <f t="shared" si="5"/>
        <v>20.41679876</v>
      </c>
      <c r="I40" s="111">
        <v>8.0</v>
      </c>
      <c r="J40" s="104">
        <f t="shared" si="6"/>
        <v>64</v>
      </c>
      <c r="K40" s="112">
        <f t="shared" si="7"/>
        <v>163.3343901</v>
      </c>
      <c r="L40" s="113">
        <f t="shared" si="8"/>
        <v>29.66</v>
      </c>
      <c r="M40" s="113">
        <f t="shared" si="9"/>
        <v>20.33815413</v>
      </c>
    </row>
    <row r="41">
      <c r="A41" s="101">
        <v>3.0</v>
      </c>
      <c r="B41" s="102">
        <v>1.0</v>
      </c>
      <c r="C41" s="103">
        <v>28.0</v>
      </c>
      <c r="D41" s="104">
        <f t="shared" si="10"/>
        <v>29.25</v>
      </c>
      <c r="E41" s="104">
        <f t="shared" si="11"/>
        <v>31.25</v>
      </c>
      <c r="F41" s="104">
        <f t="shared" si="12"/>
        <v>0.896</v>
      </c>
      <c r="G41" s="104">
        <f>$G$37</f>
        <v>0.8778808734</v>
      </c>
      <c r="H41" s="110">
        <f t="shared" si="5"/>
        <v>31.89498809</v>
      </c>
      <c r="I41" s="111">
        <v>9.0</v>
      </c>
      <c r="J41" s="104">
        <f t="shared" si="6"/>
        <v>81</v>
      </c>
      <c r="K41" s="112">
        <f t="shared" si="7"/>
        <v>287.0548928</v>
      </c>
      <c r="L41" s="113">
        <f t="shared" si="8"/>
        <v>32.01</v>
      </c>
      <c r="M41" s="113">
        <f t="shared" si="9"/>
        <v>28.10096676</v>
      </c>
    </row>
    <row r="42">
      <c r="A42" s="101">
        <v>3.0</v>
      </c>
      <c r="B42" s="102">
        <v>2.0</v>
      </c>
      <c r="C42" s="109">
        <v>45.0</v>
      </c>
      <c r="D42" s="104">
        <f t="shared" si="10"/>
        <v>33.25</v>
      </c>
      <c r="E42" s="104">
        <f t="shared" si="11"/>
        <v>34.5</v>
      </c>
      <c r="F42" s="104">
        <f t="shared" si="12"/>
        <v>1.304347826</v>
      </c>
      <c r="G42" s="104">
        <f>$G$38</f>
        <v>1.289462509</v>
      </c>
      <c r="H42" s="110">
        <f t="shared" si="5"/>
        <v>34.89826162</v>
      </c>
      <c r="I42" s="111">
        <v>10.0</v>
      </c>
      <c r="J42" s="104">
        <f t="shared" si="6"/>
        <v>100</v>
      </c>
      <c r="K42" s="112">
        <f t="shared" si="7"/>
        <v>348.9826162</v>
      </c>
      <c r="L42" s="113">
        <f t="shared" si="8"/>
        <v>34.36</v>
      </c>
      <c r="M42" s="113">
        <f t="shared" si="9"/>
        <v>44.30593182</v>
      </c>
    </row>
    <row r="43">
      <c r="A43" s="101">
        <v>3.0</v>
      </c>
      <c r="B43" s="102">
        <v>3.0</v>
      </c>
      <c r="C43" s="103">
        <v>46.0</v>
      </c>
      <c r="D43" s="104">
        <f t="shared" si="10"/>
        <v>35.75</v>
      </c>
      <c r="E43" s="104">
        <f t="shared" si="11"/>
        <v>37.125</v>
      </c>
      <c r="F43" s="104">
        <f t="shared" si="12"/>
        <v>1.239057239</v>
      </c>
      <c r="G43" s="104">
        <f>$G$35</f>
        <v>1.105291661</v>
      </c>
      <c r="H43" s="110">
        <f t="shared" si="5"/>
        <v>41.61797435</v>
      </c>
      <c r="I43" s="111">
        <v>11.0</v>
      </c>
      <c r="J43" s="104">
        <f t="shared" si="6"/>
        <v>121</v>
      </c>
      <c r="K43" s="112">
        <f t="shared" si="7"/>
        <v>457.7977178</v>
      </c>
      <c r="L43" s="113">
        <f t="shared" si="8"/>
        <v>36.71</v>
      </c>
      <c r="M43" s="113">
        <f t="shared" si="9"/>
        <v>40.57525688</v>
      </c>
    </row>
    <row r="44">
      <c r="A44" s="101">
        <v>3.0</v>
      </c>
      <c r="B44" s="102">
        <v>4.0</v>
      </c>
      <c r="C44" s="109">
        <v>24.0</v>
      </c>
      <c r="D44" s="104">
        <f t="shared" si="10"/>
        <v>38.5</v>
      </c>
      <c r="E44" s="104">
        <f t="shared" si="11"/>
        <v>39.875</v>
      </c>
      <c r="F44" s="104">
        <f t="shared" si="12"/>
        <v>0.6018808777</v>
      </c>
      <c r="G44" s="104">
        <f>$G$36</f>
        <v>0.6857098493</v>
      </c>
      <c r="H44" s="110">
        <f t="shared" si="5"/>
        <v>35.00022645</v>
      </c>
      <c r="I44" s="111">
        <v>12.0</v>
      </c>
      <c r="J44" s="104">
        <f t="shared" si="6"/>
        <v>144</v>
      </c>
      <c r="K44" s="112">
        <f t="shared" si="7"/>
        <v>420.0027173</v>
      </c>
      <c r="L44" s="113">
        <f t="shared" si="8"/>
        <v>39.06</v>
      </c>
      <c r="M44" s="113">
        <f t="shared" si="9"/>
        <v>26.78382671</v>
      </c>
    </row>
    <row r="45">
      <c r="A45" s="101">
        <v>4.0</v>
      </c>
      <c r="B45" s="102">
        <v>1.0</v>
      </c>
      <c r="C45" s="103">
        <v>39.0</v>
      </c>
      <c r="D45" s="104">
        <f t="shared" si="10"/>
        <v>41.25</v>
      </c>
      <c r="E45" s="104">
        <f t="shared" si="11"/>
        <v>41.75</v>
      </c>
      <c r="F45" s="104">
        <f t="shared" si="12"/>
        <v>0.9341317365</v>
      </c>
      <c r="G45" s="104">
        <f>$G$37</f>
        <v>0.8778808734</v>
      </c>
      <c r="H45" s="110">
        <f t="shared" si="5"/>
        <v>44.42516198</v>
      </c>
      <c r="I45" s="111">
        <v>13.0</v>
      </c>
      <c r="J45" s="104">
        <f t="shared" si="6"/>
        <v>169</v>
      </c>
      <c r="K45" s="112">
        <f t="shared" si="7"/>
        <v>577.5271057</v>
      </c>
      <c r="L45" s="113">
        <f t="shared" si="8"/>
        <v>41.41</v>
      </c>
      <c r="M45" s="113">
        <f t="shared" si="9"/>
        <v>36.35304697</v>
      </c>
    </row>
    <row r="46">
      <c r="A46" s="101">
        <v>4.0</v>
      </c>
      <c r="B46" s="102">
        <v>2.0</v>
      </c>
      <c r="C46" s="109">
        <v>56.0</v>
      </c>
      <c r="D46" s="104">
        <f t="shared" si="10"/>
        <v>42.25</v>
      </c>
      <c r="E46" s="104">
        <f t="shared" si="11"/>
        <v>43.75</v>
      </c>
      <c r="F46" s="104">
        <f t="shared" si="12"/>
        <v>1.28</v>
      </c>
      <c r="G46" s="104">
        <f>$G$38</f>
        <v>1.289462509</v>
      </c>
      <c r="H46" s="110">
        <f t="shared" si="5"/>
        <v>43.4289478</v>
      </c>
      <c r="I46" s="111">
        <v>14.0</v>
      </c>
      <c r="J46" s="104">
        <f t="shared" si="6"/>
        <v>196</v>
      </c>
      <c r="K46" s="112">
        <f t="shared" si="7"/>
        <v>608.0052692</v>
      </c>
      <c r="L46" s="113">
        <f t="shared" si="8"/>
        <v>43.76</v>
      </c>
      <c r="M46" s="113">
        <f t="shared" si="9"/>
        <v>56.4268794</v>
      </c>
    </row>
    <row r="47">
      <c r="A47" s="101">
        <v>4.0</v>
      </c>
      <c r="B47" s="102">
        <v>3.0</v>
      </c>
      <c r="C47" s="103">
        <v>50.0</v>
      </c>
      <c r="D47" s="104">
        <f t="shared" si="10"/>
        <v>45.25</v>
      </c>
      <c r="E47" s="104">
        <f t="shared" si="11"/>
        <v>45.875</v>
      </c>
      <c r="F47" s="104">
        <f t="shared" si="12"/>
        <v>1.089918256</v>
      </c>
      <c r="G47" s="104">
        <f>$G$35</f>
        <v>1.105291661</v>
      </c>
      <c r="H47" s="110">
        <f t="shared" si="5"/>
        <v>45.23692864</v>
      </c>
      <c r="I47" s="111">
        <v>15.0</v>
      </c>
      <c r="J47" s="104">
        <f t="shared" si="6"/>
        <v>225</v>
      </c>
      <c r="K47" s="112">
        <f t="shared" si="7"/>
        <v>678.5539295</v>
      </c>
      <c r="L47" s="113">
        <f t="shared" si="8"/>
        <v>46.11</v>
      </c>
      <c r="M47" s="113">
        <f t="shared" si="9"/>
        <v>50.9649985</v>
      </c>
    </row>
    <row r="48">
      <c r="A48" s="101">
        <v>4.0</v>
      </c>
      <c r="B48" s="102">
        <v>4.0</v>
      </c>
      <c r="C48" s="109">
        <v>36.0</v>
      </c>
      <c r="D48" s="104">
        <f t="shared" si="10"/>
        <v>46.5</v>
      </c>
      <c r="E48" s="104">
        <f t="shared" si="11"/>
        <v>48</v>
      </c>
      <c r="F48" s="104">
        <f t="shared" si="12"/>
        <v>0.75</v>
      </c>
      <c r="G48" s="104">
        <f>$G$36</f>
        <v>0.6857098493</v>
      </c>
      <c r="H48" s="110">
        <f t="shared" si="5"/>
        <v>52.50033967</v>
      </c>
      <c r="I48" s="111">
        <v>16.0</v>
      </c>
      <c r="J48" s="104">
        <f t="shared" si="6"/>
        <v>256</v>
      </c>
      <c r="K48" s="112">
        <f t="shared" si="7"/>
        <v>840.0054347</v>
      </c>
      <c r="L48" s="113">
        <f t="shared" si="8"/>
        <v>48.46</v>
      </c>
      <c r="M48" s="113">
        <f t="shared" si="9"/>
        <v>33.2294993</v>
      </c>
    </row>
    <row r="49">
      <c r="A49" s="145">
        <v>5.0</v>
      </c>
      <c r="B49" s="146">
        <v>1.0</v>
      </c>
      <c r="C49" s="103">
        <v>44.0</v>
      </c>
      <c r="D49" s="104">
        <f t="shared" si="10"/>
        <v>49.5</v>
      </c>
      <c r="E49" s="104">
        <f t="shared" si="11"/>
        <v>51</v>
      </c>
      <c r="F49" s="104">
        <f t="shared" si="12"/>
        <v>0.862745098</v>
      </c>
      <c r="G49" s="104">
        <f>$G$37</f>
        <v>0.8778808734</v>
      </c>
      <c r="H49" s="110">
        <f t="shared" si="5"/>
        <v>50.12069556</v>
      </c>
      <c r="I49" s="111">
        <v>17.0</v>
      </c>
      <c r="J49" s="104">
        <f t="shared" si="6"/>
        <v>289</v>
      </c>
      <c r="K49" s="112">
        <f t="shared" si="7"/>
        <v>852.0518246</v>
      </c>
      <c r="L49" s="113">
        <f t="shared" si="8"/>
        <v>50.81</v>
      </c>
      <c r="M49" s="113">
        <f t="shared" si="9"/>
        <v>44.60512718</v>
      </c>
    </row>
    <row r="50">
      <c r="A50" s="150">
        <v>5.0</v>
      </c>
      <c r="B50" s="151">
        <v>2.0</v>
      </c>
      <c r="C50" s="109">
        <v>68.0</v>
      </c>
      <c r="D50" s="104">
        <f t="shared" si="10"/>
        <v>52.5</v>
      </c>
      <c r="E50" s="104">
        <f t="shared" si="11"/>
        <v>53.25</v>
      </c>
      <c r="F50" s="104">
        <f t="shared" si="12"/>
        <v>1.276995305</v>
      </c>
      <c r="G50" s="104">
        <f>$G$38</f>
        <v>1.289462509</v>
      </c>
      <c r="H50" s="110">
        <f t="shared" si="5"/>
        <v>52.7351509</v>
      </c>
      <c r="I50" s="111">
        <v>18.0</v>
      </c>
      <c r="J50" s="104">
        <f t="shared" si="6"/>
        <v>324</v>
      </c>
      <c r="K50" s="112">
        <f t="shared" si="7"/>
        <v>949.2327161</v>
      </c>
      <c r="L50" s="113">
        <f t="shared" si="8"/>
        <v>53.16</v>
      </c>
      <c r="M50" s="113">
        <f t="shared" si="9"/>
        <v>68.54782699</v>
      </c>
    </row>
    <row r="51">
      <c r="A51" s="145">
        <v>5.0</v>
      </c>
      <c r="B51" s="146">
        <v>3.0</v>
      </c>
      <c r="C51" s="103">
        <v>62.0</v>
      </c>
      <c r="D51" s="104">
        <f t="shared" si="10"/>
        <v>54</v>
      </c>
      <c r="E51" s="104">
        <f t="shared" si="11"/>
        <v>54.5</v>
      </c>
      <c r="F51" s="104">
        <f t="shared" si="12"/>
        <v>1.137614679</v>
      </c>
      <c r="G51" s="104">
        <f>$G$35</f>
        <v>1.105291661</v>
      </c>
      <c r="H51" s="110">
        <f t="shared" si="5"/>
        <v>56.09379151</v>
      </c>
      <c r="I51" s="111">
        <v>19.0</v>
      </c>
      <c r="J51" s="104">
        <f t="shared" si="6"/>
        <v>361</v>
      </c>
      <c r="K51" s="112">
        <f t="shared" si="7"/>
        <v>1065.782039</v>
      </c>
      <c r="L51" s="113">
        <f t="shared" si="8"/>
        <v>55.51</v>
      </c>
      <c r="M51" s="113">
        <f t="shared" si="9"/>
        <v>61.35474011</v>
      </c>
    </row>
    <row r="52">
      <c r="A52" s="150">
        <v>5.0</v>
      </c>
      <c r="B52" s="151">
        <v>4.0</v>
      </c>
      <c r="C52" s="109">
        <v>42.0</v>
      </c>
      <c r="D52" s="104">
        <f t="shared" si="10"/>
        <v>55</v>
      </c>
      <c r="E52" s="104">
        <f t="shared" si="11"/>
        <v>55.5</v>
      </c>
      <c r="F52" s="104">
        <f t="shared" si="12"/>
        <v>0.7567567568</v>
      </c>
      <c r="G52" s="104">
        <f>$G$36</f>
        <v>0.6857098493</v>
      </c>
      <c r="H52" s="110">
        <f t="shared" si="5"/>
        <v>61.25039628</v>
      </c>
      <c r="I52" s="111">
        <v>20.0</v>
      </c>
      <c r="J52" s="104">
        <f t="shared" si="6"/>
        <v>400</v>
      </c>
      <c r="K52" s="112">
        <f t="shared" si="7"/>
        <v>1225.007926</v>
      </c>
      <c r="L52" s="113">
        <f t="shared" si="8"/>
        <v>57.86</v>
      </c>
      <c r="M52" s="113">
        <f t="shared" si="9"/>
        <v>39.67517188</v>
      </c>
    </row>
    <row r="53">
      <c r="A53" s="145">
        <v>6.0</v>
      </c>
      <c r="B53" s="146">
        <v>1.0</v>
      </c>
      <c r="C53" s="103">
        <v>48.0</v>
      </c>
      <c r="D53" s="104">
        <f t="shared" si="10"/>
        <v>56</v>
      </c>
      <c r="E53" s="104">
        <f t="shared" si="11"/>
        <v>55.75</v>
      </c>
      <c r="F53" s="104">
        <f t="shared" si="12"/>
        <v>0.8609865471</v>
      </c>
      <c r="G53" s="104">
        <f>$G$37</f>
        <v>0.8778808734</v>
      </c>
      <c r="H53" s="110">
        <f t="shared" si="5"/>
        <v>54.67712243</v>
      </c>
      <c r="I53" s="111">
        <v>21.0</v>
      </c>
      <c r="J53" s="104">
        <f t="shared" si="6"/>
        <v>441</v>
      </c>
      <c r="K53" s="112">
        <f t="shared" si="7"/>
        <v>1148.219571</v>
      </c>
      <c r="L53" s="113">
        <f t="shared" si="8"/>
        <v>60.21</v>
      </c>
      <c r="M53" s="113">
        <f t="shared" si="9"/>
        <v>52.85720739</v>
      </c>
    </row>
    <row r="54">
      <c r="A54" s="150">
        <v>6.0</v>
      </c>
      <c r="B54" s="151">
        <v>2.0</v>
      </c>
      <c r="C54" s="109">
        <v>72.0</v>
      </c>
      <c r="D54" s="104">
        <f t="shared" si="10"/>
        <v>55.5</v>
      </c>
      <c r="E54" s="104">
        <f t="shared" si="11"/>
        <v>59.5</v>
      </c>
      <c r="F54" s="104">
        <f t="shared" si="12"/>
        <v>1.210084034</v>
      </c>
      <c r="G54" s="104">
        <f>$G$38</f>
        <v>1.289462509</v>
      </c>
      <c r="H54" s="110">
        <f t="shared" si="5"/>
        <v>55.8372186</v>
      </c>
      <c r="I54" s="111">
        <v>22.0</v>
      </c>
      <c r="J54" s="104">
        <f t="shared" si="6"/>
        <v>484</v>
      </c>
      <c r="K54" s="112">
        <f t="shared" si="7"/>
        <v>1228.418809</v>
      </c>
      <c r="L54" s="113">
        <f t="shared" si="8"/>
        <v>62.56</v>
      </c>
      <c r="M54" s="113">
        <f t="shared" si="9"/>
        <v>80.66877458</v>
      </c>
    </row>
    <row r="55">
      <c r="A55" s="145">
        <v>6.0</v>
      </c>
      <c r="B55" s="146">
        <v>3.0</v>
      </c>
      <c r="C55" s="103">
        <v>60.0</v>
      </c>
      <c r="D55" s="104">
        <f t="shared" si="10"/>
        <v>63.5</v>
      </c>
      <c r="E55" s="104">
        <f t="shared" si="11"/>
        <v>64.5</v>
      </c>
      <c r="F55" s="104">
        <f t="shared" si="12"/>
        <v>0.9302325581</v>
      </c>
      <c r="G55" s="104">
        <f>$G$35</f>
        <v>1.105291661</v>
      </c>
      <c r="H55" s="110">
        <f t="shared" si="5"/>
        <v>54.28431436</v>
      </c>
      <c r="I55" s="111">
        <v>23.0</v>
      </c>
      <c r="J55" s="104">
        <f t="shared" si="6"/>
        <v>529</v>
      </c>
      <c r="K55" s="112">
        <f t="shared" si="7"/>
        <v>1248.53923</v>
      </c>
      <c r="L55" s="113">
        <f t="shared" si="8"/>
        <v>64.91</v>
      </c>
      <c r="M55" s="113">
        <f t="shared" si="9"/>
        <v>71.74448173</v>
      </c>
    </row>
    <row r="56">
      <c r="A56" s="150">
        <v>6.0</v>
      </c>
      <c r="B56" s="151">
        <v>4.0</v>
      </c>
      <c r="C56" s="109">
        <v>74.0</v>
      </c>
      <c r="D56" s="104">
        <f t="shared" si="10"/>
        <v>65.5</v>
      </c>
      <c r="E56" s="104">
        <f t="shared" si="11"/>
        <v>66.5</v>
      </c>
      <c r="F56" s="104">
        <f t="shared" si="12"/>
        <v>1.112781955</v>
      </c>
      <c r="G56" s="104">
        <f>$G$36</f>
        <v>0.6857098493</v>
      </c>
      <c r="H56" s="110">
        <f t="shared" si="5"/>
        <v>107.9173649</v>
      </c>
      <c r="I56" s="111">
        <v>24.0</v>
      </c>
      <c r="J56" s="104">
        <f t="shared" si="6"/>
        <v>576</v>
      </c>
      <c r="K56" s="112">
        <f t="shared" si="7"/>
        <v>2590.016757</v>
      </c>
      <c r="L56" s="113">
        <f t="shared" si="8"/>
        <v>67.26</v>
      </c>
      <c r="M56" s="113">
        <f t="shared" si="9"/>
        <v>46.12084446</v>
      </c>
    </row>
    <row r="57">
      <c r="A57" s="145">
        <v>7.0</v>
      </c>
      <c r="B57" s="146">
        <v>1.0</v>
      </c>
      <c r="C57" s="103">
        <v>56.0</v>
      </c>
      <c r="D57" s="104">
        <f t="shared" si="10"/>
        <v>67.5</v>
      </c>
      <c r="E57" s="104">
        <f t="shared" si="11"/>
        <v>68.75</v>
      </c>
      <c r="F57" s="104">
        <f t="shared" si="12"/>
        <v>0.8145454545</v>
      </c>
      <c r="G57" s="104">
        <f>$G$37</f>
        <v>0.8778808734</v>
      </c>
      <c r="H57" s="110">
        <f t="shared" si="5"/>
        <v>63.78997617</v>
      </c>
      <c r="I57" s="111">
        <v>25.0</v>
      </c>
      <c r="J57" s="104">
        <f t="shared" si="6"/>
        <v>625</v>
      </c>
      <c r="K57" s="112">
        <f t="shared" si="7"/>
        <v>1594.749404</v>
      </c>
      <c r="L57" s="113">
        <f t="shared" si="8"/>
        <v>69.61</v>
      </c>
      <c r="M57" s="113">
        <f t="shared" si="9"/>
        <v>61.1092876</v>
      </c>
    </row>
    <row r="58">
      <c r="A58" s="150">
        <v>7.0</v>
      </c>
      <c r="B58" s="151">
        <v>2.0</v>
      </c>
      <c r="C58" s="109">
        <v>80.0</v>
      </c>
      <c r="D58" s="104">
        <f t="shared" si="10"/>
        <v>70</v>
      </c>
      <c r="E58" s="104">
        <f t="shared" si="11"/>
        <v>67.75</v>
      </c>
      <c r="F58" s="104">
        <f t="shared" si="12"/>
        <v>1.180811808</v>
      </c>
      <c r="G58" s="104">
        <f>$G$38</f>
        <v>1.289462509</v>
      </c>
      <c r="H58" s="110">
        <f t="shared" si="5"/>
        <v>62.041354</v>
      </c>
      <c r="I58" s="111">
        <v>26.0</v>
      </c>
      <c r="J58" s="104">
        <f t="shared" si="6"/>
        <v>676</v>
      </c>
      <c r="K58" s="112">
        <f t="shared" si="7"/>
        <v>1613.075204</v>
      </c>
      <c r="L58" s="113">
        <f t="shared" si="8"/>
        <v>71.96</v>
      </c>
      <c r="M58" s="113">
        <f t="shared" si="9"/>
        <v>92.78972217</v>
      </c>
    </row>
    <row r="59">
      <c r="A59" s="145">
        <v>7.0</v>
      </c>
      <c r="B59" s="146">
        <v>3.0</v>
      </c>
      <c r="C59" s="103">
        <v>70.0</v>
      </c>
      <c r="D59" s="104">
        <f t="shared" si="10"/>
        <v>65.5</v>
      </c>
      <c r="E59" s="154"/>
      <c r="F59" s="154"/>
      <c r="G59" s="154">
        <f>$G$35</f>
        <v>1.105291661</v>
      </c>
      <c r="H59" s="110">
        <f t="shared" si="5"/>
        <v>63.33170009</v>
      </c>
      <c r="I59" s="111">
        <v>27.0</v>
      </c>
      <c r="J59" s="104">
        <f t="shared" si="6"/>
        <v>729</v>
      </c>
      <c r="K59" s="155">
        <f t="shared" si="7"/>
        <v>1709.955902</v>
      </c>
      <c r="L59" s="113">
        <f t="shared" si="8"/>
        <v>74.31</v>
      </c>
      <c r="M59" s="113">
        <f t="shared" si="9"/>
        <v>82.13422334</v>
      </c>
    </row>
    <row r="60">
      <c r="A60" s="156">
        <v>7.0</v>
      </c>
      <c r="B60" s="157">
        <v>4.0</v>
      </c>
      <c r="C60" s="158">
        <v>56.0</v>
      </c>
      <c r="D60" s="159"/>
      <c r="E60" s="159"/>
      <c r="F60" s="160"/>
      <c r="G60" s="160">
        <f>$G$36</f>
        <v>0.6857098493</v>
      </c>
      <c r="H60" s="161">
        <f t="shared" si="5"/>
        <v>81.66719504</v>
      </c>
      <c r="I60" s="162">
        <v>28.0</v>
      </c>
      <c r="J60" s="163">
        <f t="shared" si="6"/>
        <v>784</v>
      </c>
      <c r="K60" s="164">
        <f t="shared" si="7"/>
        <v>2286.681461</v>
      </c>
      <c r="L60" s="166">
        <f t="shared" si="8"/>
        <v>76.66</v>
      </c>
      <c r="M60" s="166">
        <f t="shared" si="9"/>
        <v>52.56651704</v>
      </c>
    </row>
    <row r="61">
      <c r="A61" s="169">
        <v>8.0</v>
      </c>
      <c r="B61" s="171">
        <v>1.0</v>
      </c>
      <c r="C61" s="172"/>
      <c r="D61" s="173"/>
      <c r="E61" s="172"/>
      <c r="F61" s="172"/>
      <c r="G61" s="175">
        <f>$G$37</f>
        <v>0.8778808734</v>
      </c>
      <c r="H61" s="172"/>
      <c r="I61" s="176">
        <v>29.0</v>
      </c>
      <c r="J61" s="172"/>
      <c r="K61" s="172"/>
      <c r="L61" s="177">
        <f t="shared" si="8"/>
        <v>79.01</v>
      </c>
      <c r="M61" s="179">
        <f t="shared" si="9"/>
        <v>69.36136781</v>
      </c>
    </row>
    <row r="62">
      <c r="A62" s="150">
        <v>8.0</v>
      </c>
      <c r="B62" s="181">
        <v>2.0</v>
      </c>
      <c r="C62" s="182"/>
      <c r="D62" s="43"/>
      <c r="E62" s="182"/>
      <c r="F62" s="182"/>
      <c r="G62" s="184">
        <f>$G$38</f>
        <v>1.289462509</v>
      </c>
      <c r="H62" s="182"/>
      <c r="I62" s="185">
        <v>30.0</v>
      </c>
      <c r="J62" s="182"/>
      <c r="K62" s="182"/>
      <c r="L62" s="186">
        <f t="shared" si="8"/>
        <v>81.36</v>
      </c>
      <c r="M62" s="187">
        <f t="shared" si="9"/>
        <v>104.9106698</v>
      </c>
    </row>
    <row r="63">
      <c r="A63" s="145">
        <v>8.0</v>
      </c>
      <c r="B63" s="188">
        <v>3.0</v>
      </c>
      <c r="C63" s="189"/>
      <c r="D63" s="43"/>
      <c r="E63" s="189"/>
      <c r="F63" s="189"/>
      <c r="G63" s="154">
        <f>$G$35</f>
        <v>1.105291661</v>
      </c>
      <c r="H63" s="189"/>
      <c r="I63" s="190">
        <v>31.0</v>
      </c>
      <c r="J63" s="189"/>
      <c r="K63" s="189"/>
      <c r="L63" s="186">
        <f t="shared" si="8"/>
        <v>83.71</v>
      </c>
      <c r="M63" s="187">
        <f t="shared" si="9"/>
        <v>92.52396496</v>
      </c>
    </row>
    <row r="64">
      <c r="A64" s="156">
        <v>8.0</v>
      </c>
      <c r="B64" s="191">
        <v>4.0</v>
      </c>
      <c r="C64" s="159"/>
      <c r="D64" s="192"/>
      <c r="E64" s="159"/>
      <c r="F64" s="159"/>
      <c r="G64" s="193">
        <f>$G$36</f>
        <v>0.6857098493</v>
      </c>
      <c r="H64" s="159"/>
      <c r="I64" s="194">
        <v>32.0</v>
      </c>
      <c r="J64" s="159"/>
      <c r="K64" s="159"/>
      <c r="L64" s="195">
        <f t="shared" si="8"/>
        <v>86.06</v>
      </c>
      <c r="M64" s="196">
        <f t="shared" si="9"/>
        <v>59.01218963</v>
      </c>
    </row>
  </sheetData>
  <drawing r:id="rId2"/>
  <legacyDrawing r:id="rId3"/>
  <tableParts count="2"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3.63"/>
    <col customWidth="1" min="13" max="13" width="17.25"/>
    <col customWidth="1" min="18" max="18" width="14.63"/>
  </cols>
  <sheetData>
    <row r="1">
      <c r="A1" s="6"/>
      <c r="B1" s="6"/>
      <c r="C1" s="6"/>
      <c r="D1" s="6"/>
      <c r="E1" s="6"/>
      <c r="F1" s="6"/>
      <c r="G1" s="6"/>
      <c r="H1" s="6"/>
      <c r="I1" s="6"/>
      <c r="J1" s="6"/>
      <c r="K1" s="114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114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114"/>
      <c r="L3" s="6"/>
      <c r="M3" s="6"/>
      <c r="N3" s="39" t="s">
        <v>36</v>
      </c>
      <c r="O3" s="39" t="s">
        <v>37</v>
      </c>
      <c r="P3" s="39" t="s">
        <v>71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114"/>
      <c r="L4" s="6"/>
      <c r="M4" s="6"/>
      <c r="N4" s="39" t="s">
        <v>37</v>
      </c>
      <c r="O4" s="39" t="s">
        <v>29</v>
      </c>
      <c r="P4" s="39" t="s">
        <v>87</v>
      </c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114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114"/>
      <c r="L6" s="6"/>
      <c r="M6" s="6"/>
      <c r="N6" s="6">
        <f>N49</f>
        <v>36</v>
      </c>
      <c r="O6" s="6">
        <f>N12</f>
        <v>666</v>
      </c>
      <c r="P6" s="114">
        <f>M12</f>
        <v>12317.40255</v>
      </c>
      <c r="Q6" s="6"/>
      <c r="R6" s="39" t="s">
        <v>50</v>
      </c>
      <c r="S6" s="39">
        <v>309.54</v>
      </c>
      <c r="T6" s="6"/>
      <c r="U6" s="6"/>
      <c r="V6" s="6"/>
      <c r="W6" s="6"/>
      <c r="X6" s="6"/>
      <c r="Y6" s="6"/>
      <c r="Z6" s="6"/>
      <c r="AA6" s="6"/>
      <c r="AB6" s="6"/>
      <c r="AC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114"/>
      <c r="L7" s="6"/>
      <c r="M7" s="6"/>
      <c r="N7" s="6">
        <f t="shared" ref="N7:P7" si="1">N12</f>
        <v>666</v>
      </c>
      <c r="O7" s="6">
        <f t="shared" si="1"/>
        <v>16206</v>
      </c>
      <c r="P7" s="114">
        <f t="shared" si="1"/>
        <v>234719.5233</v>
      </c>
      <c r="Q7" s="6"/>
      <c r="R7" s="39" t="s">
        <v>51</v>
      </c>
      <c r="S7" s="39">
        <v>1.76</v>
      </c>
      <c r="T7" s="6"/>
      <c r="U7" s="6"/>
      <c r="V7" s="6"/>
      <c r="W7" s="6"/>
      <c r="X7" s="6"/>
      <c r="Y7" s="6"/>
      <c r="Z7" s="6"/>
      <c r="AA7" s="6"/>
      <c r="AB7" s="6"/>
      <c r="AC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114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114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114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114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>
      <c r="A12" s="39" t="s">
        <v>17</v>
      </c>
      <c r="B12" s="6"/>
      <c r="C12" s="6"/>
      <c r="D12" s="6"/>
      <c r="E12" s="6"/>
      <c r="F12" s="6"/>
      <c r="G12" s="6"/>
      <c r="H12" s="6"/>
      <c r="I12" s="6"/>
      <c r="J12" s="6"/>
      <c r="K12" s="114"/>
      <c r="L12" s="6"/>
      <c r="M12" s="114">
        <f t="shared" ref="M12:P12" si="2">SUM(M14:M49)</f>
        <v>12317.40255</v>
      </c>
      <c r="N12" s="6">
        <f t="shared" si="2"/>
        <v>666</v>
      </c>
      <c r="O12" s="6">
        <f t="shared" si="2"/>
        <v>16206</v>
      </c>
      <c r="P12" s="114">
        <f t="shared" si="2"/>
        <v>234719.5233</v>
      </c>
      <c r="Q12" s="39" t="s">
        <v>88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>
      <c r="A13" s="116" t="s">
        <v>89</v>
      </c>
      <c r="B13" s="117" t="s">
        <v>90</v>
      </c>
      <c r="C13" s="118" t="s">
        <v>91</v>
      </c>
      <c r="D13" s="117" t="s">
        <v>92</v>
      </c>
      <c r="E13" s="96" t="s">
        <v>79</v>
      </c>
      <c r="F13" s="96" t="s">
        <v>93</v>
      </c>
      <c r="G13" s="96" t="s">
        <v>94</v>
      </c>
      <c r="H13" s="119" t="s">
        <v>95</v>
      </c>
      <c r="I13" s="120" t="s">
        <v>96</v>
      </c>
      <c r="J13" s="121" t="s">
        <v>97</v>
      </c>
      <c r="K13" s="122" t="s">
        <v>98</v>
      </c>
      <c r="L13" s="123" t="s">
        <v>99</v>
      </c>
      <c r="M13" s="124" t="s">
        <v>83</v>
      </c>
      <c r="N13" s="125" t="s">
        <v>100</v>
      </c>
      <c r="O13" s="125" t="s">
        <v>29</v>
      </c>
      <c r="P13" s="125" t="s">
        <v>59</v>
      </c>
      <c r="Q13" s="124" t="s">
        <v>85</v>
      </c>
      <c r="R13" s="126" t="s">
        <v>86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>
      <c r="A14" s="127">
        <v>1.0</v>
      </c>
      <c r="B14" s="128" t="s">
        <v>101</v>
      </c>
      <c r="C14" s="127">
        <v>349.17</v>
      </c>
      <c r="D14" s="128">
        <v>1.0</v>
      </c>
      <c r="E14" s="6"/>
      <c r="F14" s="6"/>
      <c r="G14" s="6"/>
      <c r="H14" s="129">
        <v>1.03577871997257</v>
      </c>
      <c r="I14" s="130"/>
      <c r="J14" s="6"/>
      <c r="K14" s="114"/>
      <c r="L14" s="129">
        <f t="shared" ref="L14:L31" si="3">AVERAGE(K14,K26,K38)</f>
        <v>1.149408205</v>
      </c>
      <c r="M14" s="131">
        <f t="shared" ref="M14:M49" si="4">C14/L14</f>
        <v>303.7824148</v>
      </c>
      <c r="N14" s="132">
        <v>1.0</v>
      </c>
      <c r="O14" s="134">
        <f t="shared" ref="O14:O49" si="5">N14*N14</f>
        <v>1</v>
      </c>
      <c r="P14" s="136">
        <f t="shared" ref="P14:P49" si="6">M14*N14</f>
        <v>303.7824148</v>
      </c>
      <c r="Q14" s="141">
        <f t="shared" ref="Q14:Q62" si="7">309.54+1.76*N14</f>
        <v>311.3</v>
      </c>
      <c r="R14" s="141">
        <f t="shared" ref="R14:R62" si="8">Q14*L14</f>
        <v>357.8107742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>
      <c r="A15" s="143">
        <v>2.0</v>
      </c>
      <c r="B15" s="144" t="s">
        <v>106</v>
      </c>
      <c r="C15" s="143">
        <v>339.07</v>
      </c>
      <c r="D15" s="144">
        <v>2.0</v>
      </c>
      <c r="E15" s="6"/>
      <c r="F15" s="6"/>
      <c r="G15" s="6"/>
      <c r="H15" s="129">
        <v>0.9633348179862871</v>
      </c>
      <c r="I15" s="130"/>
      <c r="J15" s="6"/>
      <c r="K15" s="114"/>
      <c r="L15" s="129">
        <f t="shared" si="3"/>
        <v>1.033412622</v>
      </c>
      <c r="M15" s="131">
        <f t="shared" si="4"/>
        <v>328.107082</v>
      </c>
      <c r="N15" s="46">
        <v>2.0</v>
      </c>
      <c r="O15" s="134">
        <f t="shared" si="5"/>
        <v>4</v>
      </c>
      <c r="P15" s="136">
        <f t="shared" si="6"/>
        <v>656.214164</v>
      </c>
      <c r="Q15" s="147">
        <f t="shared" si="7"/>
        <v>313.06</v>
      </c>
      <c r="R15" s="147">
        <f t="shared" si="8"/>
        <v>323.5201555</v>
      </c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>
      <c r="A16" s="143">
        <v>3.0</v>
      </c>
      <c r="B16" s="144" t="s">
        <v>107</v>
      </c>
      <c r="C16" s="143">
        <v>334.74</v>
      </c>
      <c r="D16" s="144">
        <v>3.0</v>
      </c>
      <c r="E16" s="149">
        <f t="shared" ref="E16:E49" si="9">AVERAGE(C14:C17)</f>
        <v>319.95</v>
      </c>
      <c r="F16" s="114">
        <f t="shared" ref="F16:F49" si="10">AVERAGE(E16:E17)</f>
        <v>311.92875</v>
      </c>
      <c r="G16" s="114">
        <f t="shared" ref="G16:G49" si="11">C16/F16</f>
        <v>1.073129681</v>
      </c>
      <c r="H16" s="153">
        <f t="shared" ref="H16:H19" si="12">AVERAGE(G16,G19,G22,G25,G28,G31,G34,G37,G40,G43,G46,G49)</f>
        <v>0.9724843899</v>
      </c>
      <c r="I16" s="130"/>
      <c r="J16" s="6"/>
      <c r="K16" s="114"/>
      <c r="L16" s="129">
        <f t="shared" si="3"/>
        <v>1.067544902</v>
      </c>
      <c r="M16" s="131">
        <f t="shared" si="4"/>
        <v>313.5605814</v>
      </c>
      <c r="N16" s="46">
        <v>3.0</v>
      </c>
      <c r="O16" s="134">
        <f t="shared" si="5"/>
        <v>9</v>
      </c>
      <c r="P16" s="136">
        <f t="shared" si="6"/>
        <v>940.6817442</v>
      </c>
      <c r="Q16" s="147">
        <f t="shared" si="7"/>
        <v>314.82</v>
      </c>
      <c r="R16" s="147">
        <f t="shared" si="8"/>
        <v>336.0844859</v>
      </c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>
      <c r="A17" s="143">
        <v>4.0</v>
      </c>
      <c r="B17" s="144" t="s">
        <v>108</v>
      </c>
      <c r="C17" s="143">
        <v>256.82</v>
      </c>
      <c r="D17" s="144">
        <v>4.0</v>
      </c>
      <c r="E17" s="149">
        <f t="shared" si="9"/>
        <v>303.9075</v>
      </c>
      <c r="F17" s="114">
        <f t="shared" si="10"/>
        <v>286.77375</v>
      </c>
      <c r="G17" s="114">
        <f t="shared" si="11"/>
        <v>0.8955491917</v>
      </c>
      <c r="H17" s="153">
        <f t="shared" si="12"/>
        <v>0.9891950208</v>
      </c>
      <c r="I17" s="130"/>
      <c r="J17" s="6"/>
      <c r="K17" s="114"/>
      <c r="L17" s="129">
        <f t="shared" si="3"/>
        <v>0.8261941041</v>
      </c>
      <c r="M17" s="131">
        <f t="shared" si="4"/>
        <v>310.84705</v>
      </c>
      <c r="N17" s="46">
        <v>4.0</v>
      </c>
      <c r="O17" s="134">
        <f t="shared" si="5"/>
        <v>16</v>
      </c>
      <c r="P17" s="136">
        <f t="shared" si="6"/>
        <v>1243.3882</v>
      </c>
      <c r="Q17" s="147">
        <f t="shared" si="7"/>
        <v>316.58</v>
      </c>
      <c r="R17" s="147">
        <f t="shared" si="8"/>
        <v>261.5565295</v>
      </c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>
      <c r="A18" s="143">
        <v>5.0</v>
      </c>
      <c r="B18" s="144" t="s">
        <v>109</v>
      </c>
      <c r="C18" s="143">
        <v>285.0</v>
      </c>
      <c r="D18" s="144">
        <v>5.0</v>
      </c>
      <c r="E18" s="149">
        <f t="shared" si="9"/>
        <v>269.64</v>
      </c>
      <c r="F18" s="114">
        <f t="shared" si="10"/>
        <v>270.21875</v>
      </c>
      <c r="G18" s="114">
        <f t="shared" si="11"/>
        <v>1.054701052</v>
      </c>
      <c r="H18" s="153">
        <f t="shared" si="12"/>
        <v>1.03577872</v>
      </c>
      <c r="I18" s="130"/>
      <c r="J18" s="6"/>
      <c r="K18" s="114"/>
      <c r="L18" s="129">
        <f t="shared" si="3"/>
        <v>0.8316441008</v>
      </c>
      <c r="M18" s="131">
        <f t="shared" si="4"/>
        <v>342.6946692</v>
      </c>
      <c r="N18" s="132">
        <v>5.0</v>
      </c>
      <c r="O18" s="134">
        <f t="shared" si="5"/>
        <v>25</v>
      </c>
      <c r="P18" s="136">
        <f t="shared" si="6"/>
        <v>1713.473346</v>
      </c>
      <c r="Q18" s="147">
        <f t="shared" si="7"/>
        <v>318.34</v>
      </c>
      <c r="R18" s="147">
        <f t="shared" si="8"/>
        <v>264.745583</v>
      </c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43">
        <v>6.0</v>
      </c>
      <c r="B19" s="144" t="s">
        <v>110</v>
      </c>
      <c r="C19" s="143">
        <v>202.0</v>
      </c>
      <c r="D19" s="144">
        <v>6.0</v>
      </c>
      <c r="E19" s="149">
        <f t="shared" si="9"/>
        <v>270.7975</v>
      </c>
      <c r="F19" s="114">
        <f t="shared" si="10"/>
        <v>283.165</v>
      </c>
      <c r="G19" s="114">
        <f t="shared" si="11"/>
        <v>0.7133649992</v>
      </c>
      <c r="H19" s="153">
        <f t="shared" si="12"/>
        <v>0.963334818</v>
      </c>
      <c r="I19" s="130"/>
      <c r="J19" s="6"/>
      <c r="K19" s="114"/>
      <c r="L19" s="129">
        <f t="shared" si="3"/>
        <v>0.6332709706</v>
      </c>
      <c r="M19" s="131">
        <f t="shared" si="4"/>
        <v>318.9787775</v>
      </c>
      <c r="N19" s="46">
        <v>6.0</v>
      </c>
      <c r="O19" s="134">
        <f t="shared" si="5"/>
        <v>36</v>
      </c>
      <c r="P19" s="136">
        <f t="shared" si="6"/>
        <v>1913.872665</v>
      </c>
      <c r="Q19" s="147">
        <f t="shared" si="7"/>
        <v>320.1</v>
      </c>
      <c r="R19" s="147">
        <f t="shared" si="8"/>
        <v>202.7100377</v>
      </c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143">
        <v>7.0</v>
      </c>
      <c r="B20" s="144" t="s">
        <v>111</v>
      </c>
      <c r="C20" s="143">
        <v>339.37</v>
      </c>
      <c r="D20" s="144">
        <v>7.0</v>
      </c>
      <c r="E20" s="149">
        <f t="shared" si="9"/>
        <v>295.5325</v>
      </c>
      <c r="F20" s="114">
        <f t="shared" si="10"/>
        <v>292.08875</v>
      </c>
      <c r="G20" s="114">
        <f t="shared" si="11"/>
        <v>1.16187289</v>
      </c>
      <c r="H20" s="129">
        <v>0.9724843899088441</v>
      </c>
      <c r="I20" s="148">
        <f t="shared" ref="I20:I49" si="13">AVERAGE(C14:C25)</f>
        <v>321.795</v>
      </c>
      <c r="J20" s="114">
        <f t="shared" ref="J20:J49" si="14">AVERAGE(I20:I21)</f>
        <v>323.0570833</v>
      </c>
      <c r="K20" s="114">
        <f t="shared" ref="K20:K49" si="15">C20/J20</f>
        <v>1.050495462</v>
      </c>
      <c r="L20" s="129">
        <f t="shared" si="3"/>
        <v>1.063938998</v>
      </c>
      <c r="M20" s="131">
        <f t="shared" si="4"/>
        <v>318.9750547</v>
      </c>
      <c r="N20" s="46">
        <v>7.0</v>
      </c>
      <c r="O20" s="134">
        <f t="shared" si="5"/>
        <v>49</v>
      </c>
      <c r="P20" s="136">
        <f t="shared" si="6"/>
        <v>2232.825383</v>
      </c>
      <c r="Q20" s="147">
        <f t="shared" si="7"/>
        <v>321.86</v>
      </c>
      <c r="R20" s="147">
        <f t="shared" si="8"/>
        <v>342.4394058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>
      <c r="A21" s="143">
        <v>8.0</v>
      </c>
      <c r="B21" s="144" t="s">
        <v>112</v>
      </c>
      <c r="C21" s="143">
        <v>355.76</v>
      </c>
      <c r="D21" s="144">
        <v>8.0</v>
      </c>
      <c r="E21" s="149">
        <f t="shared" si="9"/>
        <v>288.645</v>
      </c>
      <c r="F21" s="114">
        <f t="shared" si="10"/>
        <v>301.4275</v>
      </c>
      <c r="G21" s="114">
        <f t="shared" si="11"/>
        <v>1.180250641</v>
      </c>
      <c r="H21" s="129">
        <v>0.9891950207888147</v>
      </c>
      <c r="I21" s="148">
        <f t="shared" si="13"/>
        <v>324.3191667</v>
      </c>
      <c r="J21" s="114">
        <f t="shared" si="14"/>
        <v>324.4991667</v>
      </c>
      <c r="K21" s="114">
        <f t="shared" si="15"/>
        <v>1.096335635</v>
      </c>
      <c r="L21" s="129">
        <f t="shared" si="3"/>
        <v>1.105550132</v>
      </c>
      <c r="M21" s="131">
        <f t="shared" si="4"/>
        <v>321.7945434</v>
      </c>
      <c r="N21" s="46">
        <v>8.0</v>
      </c>
      <c r="O21" s="134">
        <f t="shared" si="5"/>
        <v>64</v>
      </c>
      <c r="P21" s="136">
        <f t="shared" si="6"/>
        <v>2574.356347</v>
      </c>
      <c r="Q21" s="147">
        <f t="shared" si="7"/>
        <v>323.62</v>
      </c>
      <c r="R21" s="147">
        <f t="shared" si="8"/>
        <v>357.7781338</v>
      </c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>
      <c r="A22" s="143">
        <v>9.0</v>
      </c>
      <c r="B22" s="144" t="s">
        <v>113</v>
      </c>
      <c r="C22" s="143">
        <v>257.45</v>
      </c>
      <c r="D22" s="144">
        <v>9.0</v>
      </c>
      <c r="E22" s="149">
        <f t="shared" si="9"/>
        <v>314.21</v>
      </c>
      <c r="F22" s="114">
        <f t="shared" si="10"/>
        <v>316.25875</v>
      </c>
      <c r="G22" s="114">
        <f t="shared" si="11"/>
        <v>0.8140486232</v>
      </c>
      <c r="H22" s="129">
        <v>1.03577871997257</v>
      </c>
      <c r="I22" s="148">
        <f t="shared" si="13"/>
        <v>324.6791667</v>
      </c>
      <c r="J22" s="114">
        <f t="shared" si="14"/>
        <v>325.5808333</v>
      </c>
      <c r="K22" s="114">
        <f t="shared" si="15"/>
        <v>0.7907406507</v>
      </c>
      <c r="L22" s="129">
        <f t="shared" si="3"/>
        <v>0.7915509744</v>
      </c>
      <c r="M22" s="131">
        <f t="shared" si="4"/>
        <v>325.2475309</v>
      </c>
      <c r="N22" s="132">
        <v>9.0</v>
      </c>
      <c r="O22" s="134">
        <f t="shared" si="5"/>
        <v>81</v>
      </c>
      <c r="P22" s="136">
        <f t="shared" si="6"/>
        <v>2927.227778</v>
      </c>
      <c r="Q22" s="147">
        <f t="shared" si="7"/>
        <v>325.38</v>
      </c>
      <c r="R22" s="147">
        <f t="shared" si="8"/>
        <v>257.554856</v>
      </c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>
      <c r="A23" s="143">
        <v>10.0</v>
      </c>
      <c r="B23" s="144" t="s">
        <v>114</v>
      </c>
      <c r="C23" s="143">
        <v>304.26</v>
      </c>
      <c r="D23" s="144">
        <v>10.0</v>
      </c>
      <c r="E23" s="149">
        <f t="shared" si="9"/>
        <v>318.3075</v>
      </c>
      <c r="F23" s="114">
        <f t="shared" si="10"/>
        <v>334.105</v>
      </c>
      <c r="G23" s="114">
        <f t="shared" si="11"/>
        <v>0.9106717948</v>
      </c>
      <c r="H23" s="129">
        <v>0.9633348179862871</v>
      </c>
      <c r="I23" s="148">
        <f t="shared" si="13"/>
        <v>326.4825</v>
      </c>
      <c r="J23" s="114">
        <f t="shared" si="14"/>
        <v>327.3845833</v>
      </c>
      <c r="K23" s="114">
        <f t="shared" si="15"/>
        <v>0.9293656925</v>
      </c>
      <c r="L23" s="129">
        <f t="shared" si="3"/>
        <v>0.9193410411</v>
      </c>
      <c r="M23" s="131">
        <f t="shared" si="4"/>
        <v>330.9544406</v>
      </c>
      <c r="N23" s="46">
        <v>10.0</v>
      </c>
      <c r="O23" s="134">
        <f t="shared" si="5"/>
        <v>100</v>
      </c>
      <c r="P23" s="136">
        <f t="shared" si="6"/>
        <v>3309.544406</v>
      </c>
      <c r="Q23" s="147">
        <f t="shared" si="7"/>
        <v>327.14</v>
      </c>
      <c r="R23" s="147">
        <f t="shared" si="8"/>
        <v>300.7532282</v>
      </c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>
      <c r="A24" s="143">
        <v>11.0</v>
      </c>
      <c r="B24" s="144" t="s">
        <v>115</v>
      </c>
      <c r="C24" s="143">
        <v>355.76</v>
      </c>
      <c r="D24" s="144">
        <v>11.0</v>
      </c>
      <c r="E24" s="149">
        <f t="shared" si="9"/>
        <v>349.9025</v>
      </c>
      <c r="F24" s="114">
        <f t="shared" si="10"/>
        <v>365.15375</v>
      </c>
      <c r="G24" s="114">
        <f t="shared" si="11"/>
        <v>0.974274535</v>
      </c>
      <c r="H24" s="129">
        <v>0.9724843899088441</v>
      </c>
      <c r="I24" s="148">
        <f t="shared" si="13"/>
        <v>328.2866667</v>
      </c>
      <c r="J24" s="114">
        <f t="shared" si="14"/>
        <v>328.0145833</v>
      </c>
      <c r="K24" s="114">
        <f t="shared" si="15"/>
        <v>1.084585924</v>
      </c>
      <c r="L24" s="129">
        <f t="shared" si="3"/>
        <v>1.09737712</v>
      </c>
      <c r="M24" s="131">
        <f t="shared" si="4"/>
        <v>324.1911951</v>
      </c>
      <c r="N24" s="46">
        <v>11.0</v>
      </c>
      <c r="O24" s="134">
        <f t="shared" si="5"/>
        <v>121</v>
      </c>
      <c r="P24" s="136">
        <f t="shared" si="6"/>
        <v>3566.103146</v>
      </c>
      <c r="Q24" s="147">
        <f t="shared" si="7"/>
        <v>328.9</v>
      </c>
      <c r="R24" s="147">
        <f t="shared" si="8"/>
        <v>360.9273348</v>
      </c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>
      <c r="A25" s="143">
        <v>12.0</v>
      </c>
      <c r="B25" s="144" t="s">
        <v>116</v>
      </c>
      <c r="C25" s="143">
        <v>482.14</v>
      </c>
      <c r="D25" s="144">
        <v>12.0</v>
      </c>
      <c r="E25" s="149">
        <f t="shared" si="9"/>
        <v>380.405</v>
      </c>
      <c r="F25" s="114">
        <f t="shared" si="10"/>
        <v>385.29625</v>
      </c>
      <c r="G25" s="114">
        <f t="shared" si="11"/>
        <v>1.2513488</v>
      </c>
      <c r="H25" s="129">
        <v>0.9891950207888147</v>
      </c>
      <c r="I25" s="148">
        <f t="shared" si="13"/>
        <v>327.7425</v>
      </c>
      <c r="J25" s="114">
        <f t="shared" si="14"/>
        <v>328.2833333</v>
      </c>
      <c r="K25" s="114">
        <f t="shared" si="15"/>
        <v>1.468670356</v>
      </c>
      <c r="L25" s="129">
        <f t="shared" si="3"/>
        <v>1.496918142</v>
      </c>
      <c r="M25" s="131">
        <f t="shared" si="4"/>
        <v>322.0884206</v>
      </c>
      <c r="N25" s="46">
        <v>12.0</v>
      </c>
      <c r="O25" s="134">
        <f t="shared" si="5"/>
        <v>144</v>
      </c>
      <c r="P25" s="136">
        <f t="shared" si="6"/>
        <v>3865.061047</v>
      </c>
      <c r="Q25" s="147">
        <f t="shared" si="7"/>
        <v>330.66</v>
      </c>
      <c r="R25" s="147">
        <f t="shared" si="8"/>
        <v>494.9709527</v>
      </c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>
      <c r="A26" s="143">
        <v>13.0</v>
      </c>
      <c r="B26" s="144" t="s">
        <v>118</v>
      </c>
      <c r="C26" s="143">
        <v>379.46</v>
      </c>
      <c r="D26" s="144">
        <v>1.0</v>
      </c>
      <c r="E26" s="149">
        <f t="shared" si="9"/>
        <v>390.1875</v>
      </c>
      <c r="F26" s="114">
        <f t="shared" si="10"/>
        <v>390.265</v>
      </c>
      <c r="G26" s="114">
        <f t="shared" si="11"/>
        <v>0.9723136843</v>
      </c>
      <c r="H26" s="129">
        <v>1.03577871997257</v>
      </c>
      <c r="I26" s="148">
        <f t="shared" si="13"/>
        <v>328.8241667</v>
      </c>
      <c r="J26" s="114">
        <f t="shared" si="14"/>
        <v>329.9945833</v>
      </c>
      <c r="K26" s="114">
        <f t="shared" si="15"/>
        <v>1.149897662</v>
      </c>
      <c r="L26" s="129">
        <f t="shared" si="3"/>
        <v>1.149408205</v>
      </c>
      <c r="M26" s="131">
        <f t="shared" si="4"/>
        <v>330.1351064</v>
      </c>
      <c r="N26" s="132">
        <v>13.0</v>
      </c>
      <c r="O26" s="134">
        <f t="shared" si="5"/>
        <v>169</v>
      </c>
      <c r="P26" s="136">
        <f t="shared" si="6"/>
        <v>4291.756383</v>
      </c>
      <c r="Q26" s="147">
        <f t="shared" si="7"/>
        <v>332.42</v>
      </c>
      <c r="R26" s="147">
        <f t="shared" si="8"/>
        <v>382.0862755</v>
      </c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>
      <c r="A27" s="143">
        <v>14.0</v>
      </c>
      <c r="B27" s="144" t="s">
        <v>119</v>
      </c>
      <c r="C27" s="143">
        <v>343.39</v>
      </c>
      <c r="D27" s="144">
        <v>2.0</v>
      </c>
      <c r="E27" s="149">
        <f t="shared" si="9"/>
        <v>390.3425</v>
      </c>
      <c r="F27" s="114">
        <f t="shared" si="10"/>
        <v>364.88375</v>
      </c>
      <c r="G27" s="114">
        <f t="shared" si="11"/>
        <v>0.9410942526</v>
      </c>
      <c r="H27" s="129">
        <v>0.9633348179862871</v>
      </c>
      <c r="I27" s="148">
        <f t="shared" si="13"/>
        <v>331.165</v>
      </c>
      <c r="J27" s="114">
        <f t="shared" si="14"/>
        <v>332.0425</v>
      </c>
      <c r="K27" s="114">
        <f t="shared" si="15"/>
        <v>1.034174842</v>
      </c>
      <c r="L27" s="129">
        <f t="shared" si="3"/>
        <v>1.033412622</v>
      </c>
      <c r="M27" s="131">
        <f t="shared" si="4"/>
        <v>332.2874064</v>
      </c>
      <c r="N27" s="46">
        <v>14.0</v>
      </c>
      <c r="O27" s="134">
        <f t="shared" si="5"/>
        <v>196</v>
      </c>
      <c r="P27" s="136">
        <f t="shared" si="6"/>
        <v>4652.02369</v>
      </c>
      <c r="Q27" s="147">
        <f t="shared" si="7"/>
        <v>334.18</v>
      </c>
      <c r="R27" s="147">
        <f t="shared" si="8"/>
        <v>345.3458301</v>
      </c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>
      <c r="A28" s="143">
        <v>15.0</v>
      </c>
      <c r="B28" s="144" t="s">
        <v>120</v>
      </c>
      <c r="C28" s="143">
        <v>356.38</v>
      </c>
      <c r="D28" s="144">
        <v>3.0</v>
      </c>
      <c r="E28" s="149">
        <f t="shared" si="9"/>
        <v>339.425</v>
      </c>
      <c r="F28" s="114">
        <f t="shared" si="10"/>
        <v>326.80125</v>
      </c>
      <c r="G28" s="114">
        <f t="shared" si="11"/>
        <v>1.090509905</v>
      </c>
      <c r="H28" s="129">
        <v>0.9724843899088441</v>
      </c>
      <c r="I28" s="148">
        <f t="shared" si="13"/>
        <v>332.92</v>
      </c>
      <c r="J28" s="114">
        <f t="shared" si="14"/>
        <v>333.2345833</v>
      </c>
      <c r="K28" s="114">
        <f t="shared" si="15"/>
        <v>1.069456827</v>
      </c>
      <c r="L28" s="129">
        <f t="shared" si="3"/>
        <v>1.067544902</v>
      </c>
      <c r="M28" s="131">
        <f t="shared" si="4"/>
        <v>333.8313915</v>
      </c>
      <c r="N28" s="46">
        <v>15.0</v>
      </c>
      <c r="O28" s="134">
        <f t="shared" si="5"/>
        <v>225</v>
      </c>
      <c r="P28" s="136">
        <f t="shared" si="6"/>
        <v>5007.470873</v>
      </c>
      <c r="Q28" s="147">
        <f t="shared" si="7"/>
        <v>335.94</v>
      </c>
      <c r="R28" s="147">
        <f t="shared" si="8"/>
        <v>358.6310342</v>
      </c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>
      <c r="A29" s="143">
        <v>16.0</v>
      </c>
      <c r="B29" s="144" t="s">
        <v>121</v>
      </c>
      <c r="C29" s="143">
        <v>278.47</v>
      </c>
      <c r="D29" s="144">
        <v>4.0</v>
      </c>
      <c r="E29" s="149">
        <f t="shared" si="9"/>
        <v>314.1775</v>
      </c>
      <c r="F29" s="114">
        <f t="shared" si="10"/>
        <v>298.12625</v>
      </c>
      <c r="G29" s="114">
        <f t="shared" si="11"/>
        <v>0.9340673624</v>
      </c>
      <c r="H29" s="129">
        <v>0.9891950207888147</v>
      </c>
      <c r="I29" s="148">
        <f t="shared" si="13"/>
        <v>333.5491667</v>
      </c>
      <c r="J29" s="114">
        <f t="shared" si="14"/>
        <v>333.5491667</v>
      </c>
      <c r="K29" s="114">
        <f t="shared" si="15"/>
        <v>0.834869422</v>
      </c>
      <c r="L29" s="129">
        <f t="shared" si="3"/>
        <v>0.8261941041</v>
      </c>
      <c r="M29" s="131">
        <f t="shared" si="4"/>
        <v>337.0515459</v>
      </c>
      <c r="N29" s="46">
        <v>16.0</v>
      </c>
      <c r="O29" s="134">
        <f t="shared" si="5"/>
        <v>256</v>
      </c>
      <c r="P29" s="136">
        <f t="shared" si="6"/>
        <v>5392.824734</v>
      </c>
      <c r="Q29" s="147">
        <f t="shared" si="7"/>
        <v>337.7</v>
      </c>
      <c r="R29" s="147">
        <f t="shared" si="8"/>
        <v>279.005749</v>
      </c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>
      <c r="A30" s="143">
        <v>17.0</v>
      </c>
      <c r="B30" s="144" t="s">
        <v>122</v>
      </c>
      <c r="C30" s="143">
        <v>278.47</v>
      </c>
      <c r="D30" s="144">
        <v>5.0</v>
      </c>
      <c r="E30" s="149">
        <f t="shared" si="9"/>
        <v>282.075</v>
      </c>
      <c r="F30" s="114">
        <f t="shared" si="10"/>
        <v>283.46</v>
      </c>
      <c r="G30" s="114">
        <f t="shared" si="11"/>
        <v>0.9823961053</v>
      </c>
      <c r="H30" s="129">
        <v>1.03577871997257</v>
      </c>
      <c r="I30" s="148">
        <f t="shared" si="13"/>
        <v>333.5491667</v>
      </c>
      <c r="J30" s="114">
        <f t="shared" si="14"/>
        <v>335.0116667</v>
      </c>
      <c r="K30" s="114">
        <f t="shared" si="15"/>
        <v>0.8312247832</v>
      </c>
      <c r="L30" s="129">
        <f t="shared" si="3"/>
        <v>0.8316441008</v>
      </c>
      <c r="M30" s="131">
        <f t="shared" si="4"/>
        <v>334.8427527</v>
      </c>
      <c r="N30" s="132">
        <v>17.0</v>
      </c>
      <c r="O30" s="134">
        <f t="shared" si="5"/>
        <v>289</v>
      </c>
      <c r="P30" s="136">
        <f t="shared" si="6"/>
        <v>5692.326797</v>
      </c>
      <c r="Q30" s="147">
        <f t="shared" si="7"/>
        <v>339.46</v>
      </c>
      <c r="R30" s="147">
        <f t="shared" si="8"/>
        <v>282.3099064</v>
      </c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>
      <c r="A31" s="143">
        <v>18.0</v>
      </c>
      <c r="B31" s="144" t="s">
        <v>123</v>
      </c>
      <c r="C31" s="143">
        <v>214.98</v>
      </c>
      <c r="D31" s="144">
        <v>6.0</v>
      </c>
      <c r="E31" s="149">
        <f t="shared" si="9"/>
        <v>284.845</v>
      </c>
      <c r="F31" s="114">
        <f t="shared" si="10"/>
        <v>297.13875</v>
      </c>
      <c r="G31" s="114">
        <f t="shared" si="11"/>
        <v>0.7235003849</v>
      </c>
      <c r="H31" s="129">
        <v>0.9633348179862871</v>
      </c>
      <c r="I31" s="148">
        <f t="shared" si="13"/>
        <v>336.4741667</v>
      </c>
      <c r="J31" s="114">
        <f t="shared" si="14"/>
        <v>339.2183333</v>
      </c>
      <c r="K31" s="114">
        <f t="shared" si="15"/>
        <v>0.6337511239</v>
      </c>
      <c r="L31" s="129">
        <f t="shared" si="3"/>
        <v>0.6332709706</v>
      </c>
      <c r="M31" s="131">
        <f t="shared" si="4"/>
        <v>339.4755326</v>
      </c>
      <c r="N31" s="46">
        <v>18.0</v>
      </c>
      <c r="O31" s="134">
        <f t="shared" si="5"/>
        <v>324</v>
      </c>
      <c r="P31" s="136">
        <f t="shared" si="6"/>
        <v>6110.559587</v>
      </c>
      <c r="Q31" s="147">
        <f t="shared" si="7"/>
        <v>341.22</v>
      </c>
      <c r="R31" s="147">
        <f t="shared" si="8"/>
        <v>216.0847206</v>
      </c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>
      <c r="A32" s="143">
        <v>19.0</v>
      </c>
      <c r="B32" s="144" t="s">
        <v>124</v>
      </c>
      <c r="C32" s="143">
        <v>367.46</v>
      </c>
      <c r="D32" s="144">
        <v>7.0</v>
      </c>
      <c r="E32" s="149">
        <f t="shared" si="9"/>
        <v>309.4325</v>
      </c>
      <c r="F32" s="114">
        <f t="shared" si="10"/>
        <v>307.74875</v>
      </c>
      <c r="G32" s="114">
        <f t="shared" si="11"/>
        <v>1.194025971</v>
      </c>
      <c r="H32" s="129">
        <v>0.9724843899088441</v>
      </c>
      <c r="I32" s="148">
        <f t="shared" si="13"/>
        <v>341.9625</v>
      </c>
      <c r="J32" s="114">
        <f t="shared" si="14"/>
        <v>343.105</v>
      </c>
      <c r="K32" s="114">
        <f t="shared" si="15"/>
        <v>1.070984101</v>
      </c>
      <c r="L32" s="129">
        <f t="shared" ref="L32:L49" si="16">L20</f>
        <v>1.063938998</v>
      </c>
      <c r="M32" s="131">
        <f t="shared" si="4"/>
        <v>345.3769443</v>
      </c>
      <c r="N32" s="46">
        <v>19.0</v>
      </c>
      <c r="O32" s="134">
        <f t="shared" si="5"/>
        <v>361</v>
      </c>
      <c r="P32" s="136">
        <f t="shared" si="6"/>
        <v>6562.161942</v>
      </c>
      <c r="Q32" s="147">
        <f t="shared" si="7"/>
        <v>342.98</v>
      </c>
      <c r="R32" s="147">
        <f t="shared" si="8"/>
        <v>364.9097975</v>
      </c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>
      <c r="A33" s="143">
        <v>20.0</v>
      </c>
      <c r="B33" s="144" t="s">
        <v>125</v>
      </c>
      <c r="C33" s="143">
        <v>376.82</v>
      </c>
      <c r="D33" s="144">
        <v>8.0</v>
      </c>
      <c r="E33" s="149">
        <f t="shared" si="9"/>
        <v>306.065</v>
      </c>
      <c r="F33" s="114">
        <f t="shared" si="10"/>
        <v>317.225</v>
      </c>
      <c r="G33" s="114">
        <f t="shared" si="11"/>
        <v>1.187863504</v>
      </c>
      <c r="H33" s="129">
        <v>0.9891950207888147</v>
      </c>
      <c r="I33" s="148">
        <f t="shared" si="13"/>
        <v>344.2475</v>
      </c>
      <c r="J33" s="114">
        <f t="shared" si="14"/>
        <v>345.2695833</v>
      </c>
      <c r="K33" s="114">
        <f t="shared" si="15"/>
        <v>1.091379079</v>
      </c>
      <c r="L33" s="129">
        <f t="shared" si="16"/>
        <v>1.105550132</v>
      </c>
      <c r="M33" s="131">
        <f t="shared" si="4"/>
        <v>340.8438831</v>
      </c>
      <c r="N33" s="46">
        <v>20.0</v>
      </c>
      <c r="O33" s="134">
        <f t="shared" si="5"/>
        <v>400</v>
      </c>
      <c r="P33" s="136">
        <f t="shared" si="6"/>
        <v>6816.877662</v>
      </c>
      <c r="Q33" s="147">
        <f t="shared" si="7"/>
        <v>344.74</v>
      </c>
      <c r="R33" s="147">
        <f t="shared" si="8"/>
        <v>381.1273526</v>
      </c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>
      <c r="A34" s="143">
        <v>21.0</v>
      </c>
      <c r="B34" s="144" t="s">
        <v>126</v>
      </c>
      <c r="C34" s="143">
        <v>265.0</v>
      </c>
      <c r="D34" s="144">
        <v>9.0</v>
      </c>
      <c r="E34" s="149">
        <f t="shared" si="9"/>
        <v>328.385</v>
      </c>
      <c r="F34" s="114">
        <f t="shared" si="10"/>
        <v>331.31</v>
      </c>
      <c r="G34" s="114">
        <f t="shared" si="11"/>
        <v>0.7998551206</v>
      </c>
      <c r="H34" s="129">
        <v>1.03577871997257</v>
      </c>
      <c r="I34" s="148">
        <f t="shared" si="13"/>
        <v>346.2916667</v>
      </c>
      <c r="J34" s="114">
        <f t="shared" si="14"/>
        <v>347.37375</v>
      </c>
      <c r="K34" s="114">
        <f t="shared" si="15"/>
        <v>0.7628670848</v>
      </c>
      <c r="L34" s="129">
        <f t="shared" si="16"/>
        <v>0.7915509744</v>
      </c>
      <c r="M34" s="131">
        <f t="shared" si="4"/>
        <v>334.7857669</v>
      </c>
      <c r="N34" s="132">
        <v>21.0</v>
      </c>
      <c r="O34" s="134">
        <f t="shared" si="5"/>
        <v>441</v>
      </c>
      <c r="P34" s="136">
        <f t="shared" si="6"/>
        <v>7030.501105</v>
      </c>
      <c r="Q34" s="147">
        <f t="shared" si="7"/>
        <v>346.5</v>
      </c>
      <c r="R34" s="147">
        <f t="shared" si="8"/>
        <v>274.2724126</v>
      </c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>
      <c r="A35" s="143">
        <v>22.0</v>
      </c>
      <c r="B35" s="144" t="s">
        <v>127</v>
      </c>
      <c r="C35" s="143">
        <v>304.26</v>
      </c>
      <c r="D35" s="144">
        <v>10.0</v>
      </c>
      <c r="E35" s="149">
        <f t="shared" si="9"/>
        <v>334.235</v>
      </c>
      <c r="F35" s="114">
        <f t="shared" si="10"/>
        <v>355.6325</v>
      </c>
      <c r="G35" s="114">
        <f t="shared" si="11"/>
        <v>0.8555461045</v>
      </c>
      <c r="H35" s="129">
        <v>0.9633348179862871</v>
      </c>
      <c r="I35" s="148">
        <f t="shared" si="13"/>
        <v>348.4558333</v>
      </c>
      <c r="J35" s="114">
        <f t="shared" si="14"/>
        <v>349.1770833</v>
      </c>
      <c r="K35" s="114">
        <f t="shared" si="15"/>
        <v>0.8713630262</v>
      </c>
      <c r="L35" s="129">
        <f t="shared" si="16"/>
        <v>0.9193410411</v>
      </c>
      <c r="M35" s="131">
        <f t="shared" si="4"/>
        <v>330.9544406</v>
      </c>
      <c r="N35" s="46">
        <v>22.0</v>
      </c>
      <c r="O35" s="134">
        <f t="shared" si="5"/>
        <v>484</v>
      </c>
      <c r="P35" s="136">
        <f t="shared" si="6"/>
        <v>7280.997694</v>
      </c>
      <c r="Q35" s="147">
        <f t="shared" si="7"/>
        <v>348.26</v>
      </c>
      <c r="R35" s="147">
        <f t="shared" si="8"/>
        <v>320.169711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>
      <c r="A36" s="143">
        <v>23.0</v>
      </c>
      <c r="B36" s="144" t="s">
        <v>128</v>
      </c>
      <c r="C36" s="143">
        <v>390.86</v>
      </c>
      <c r="D36" s="144">
        <v>11.0</v>
      </c>
      <c r="E36" s="149">
        <f t="shared" si="9"/>
        <v>377.03</v>
      </c>
      <c r="F36" s="114">
        <f t="shared" si="10"/>
        <v>394.765</v>
      </c>
      <c r="G36" s="114">
        <f t="shared" si="11"/>
        <v>0.990108039</v>
      </c>
      <c r="H36" s="129">
        <v>0.9724843899088441</v>
      </c>
      <c r="I36" s="148">
        <f t="shared" si="13"/>
        <v>349.8983333</v>
      </c>
      <c r="J36" s="114">
        <f t="shared" si="14"/>
        <v>350.92</v>
      </c>
      <c r="K36" s="114">
        <f t="shared" si="15"/>
        <v>1.113815115</v>
      </c>
      <c r="L36" s="129">
        <f t="shared" si="16"/>
        <v>1.09737712</v>
      </c>
      <c r="M36" s="131">
        <f t="shared" si="4"/>
        <v>356.176553</v>
      </c>
      <c r="N36" s="132">
        <v>23.0</v>
      </c>
      <c r="O36" s="134">
        <f t="shared" si="5"/>
        <v>529</v>
      </c>
      <c r="P36" s="136">
        <f t="shared" si="6"/>
        <v>8192.06072</v>
      </c>
      <c r="Q36" s="147">
        <f t="shared" si="7"/>
        <v>350.02</v>
      </c>
      <c r="R36" s="147">
        <f t="shared" si="8"/>
        <v>384.1039396</v>
      </c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>
      <c r="A37" s="143">
        <v>24.0</v>
      </c>
      <c r="B37" s="144" t="s">
        <v>129</v>
      </c>
      <c r="C37" s="143">
        <v>548.0</v>
      </c>
      <c r="D37" s="144">
        <v>12.0</v>
      </c>
      <c r="E37" s="149">
        <f t="shared" si="9"/>
        <v>412.5</v>
      </c>
      <c r="F37" s="114">
        <f t="shared" si="10"/>
        <v>420.4575</v>
      </c>
      <c r="G37" s="114">
        <f t="shared" si="11"/>
        <v>1.303342193</v>
      </c>
      <c r="H37" s="129">
        <v>0.9891950207888147</v>
      </c>
      <c r="I37" s="148">
        <f t="shared" si="13"/>
        <v>351.9416667</v>
      </c>
      <c r="J37" s="114">
        <f t="shared" si="14"/>
        <v>352.6029167</v>
      </c>
      <c r="K37" s="114">
        <f t="shared" si="15"/>
        <v>1.554156174</v>
      </c>
      <c r="L37" s="129">
        <f t="shared" si="16"/>
        <v>1.496918142</v>
      </c>
      <c r="M37" s="131">
        <f t="shared" si="4"/>
        <v>366.0854824</v>
      </c>
      <c r="N37" s="46">
        <v>24.0</v>
      </c>
      <c r="O37" s="134">
        <f t="shared" si="5"/>
        <v>576</v>
      </c>
      <c r="P37" s="136">
        <f t="shared" si="6"/>
        <v>8786.051577</v>
      </c>
      <c r="Q37" s="147">
        <f t="shared" si="7"/>
        <v>351.78</v>
      </c>
      <c r="R37" s="147">
        <f t="shared" si="8"/>
        <v>526.5858639</v>
      </c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>
      <c r="A38" s="143">
        <v>25.0</v>
      </c>
      <c r="B38" s="144" t="s">
        <v>130</v>
      </c>
      <c r="C38" s="143">
        <v>406.88</v>
      </c>
      <c r="D38" s="144">
        <v>1.0</v>
      </c>
      <c r="E38" s="149">
        <f t="shared" si="9"/>
        <v>428.415</v>
      </c>
      <c r="F38" s="114">
        <f t="shared" si="10"/>
        <v>427.35125</v>
      </c>
      <c r="G38" s="114">
        <f t="shared" si="11"/>
        <v>0.9520973672</v>
      </c>
      <c r="H38" s="129">
        <v>1.03577871997257</v>
      </c>
      <c r="I38" s="148">
        <f t="shared" si="13"/>
        <v>353.2641667</v>
      </c>
      <c r="J38" s="114">
        <f t="shared" si="14"/>
        <v>354.1416667</v>
      </c>
      <c r="K38" s="114">
        <f t="shared" si="15"/>
        <v>1.148918747</v>
      </c>
      <c r="L38" s="129">
        <f t="shared" si="16"/>
        <v>1.149408205</v>
      </c>
      <c r="M38" s="131">
        <f t="shared" si="4"/>
        <v>353.9908609</v>
      </c>
      <c r="N38" s="46">
        <v>25.0</v>
      </c>
      <c r="O38" s="134">
        <f t="shared" si="5"/>
        <v>625</v>
      </c>
      <c r="P38" s="136">
        <f t="shared" si="6"/>
        <v>8849.771523</v>
      </c>
      <c r="Q38" s="147">
        <f t="shared" si="7"/>
        <v>353.54</v>
      </c>
      <c r="R38" s="147">
        <f t="shared" si="8"/>
        <v>406.3617767</v>
      </c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>
      <c r="A39" s="143">
        <v>26.0</v>
      </c>
      <c r="B39" s="144" t="s">
        <v>131</v>
      </c>
      <c r="C39" s="143">
        <v>367.92</v>
      </c>
      <c r="D39" s="144">
        <v>2.0</v>
      </c>
      <c r="E39" s="149">
        <f t="shared" si="9"/>
        <v>426.2875</v>
      </c>
      <c r="F39" s="114">
        <f t="shared" si="10"/>
        <v>394.76</v>
      </c>
      <c r="G39" s="114">
        <f t="shared" si="11"/>
        <v>0.9320093221</v>
      </c>
      <c r="H39" s="129">
        <v>0.9633348179862871</v>
      </c>
      <c r="I39" s="148">
        <f t="shared" si="13"/>
        <v>355.0191667</v>
      </c>
      <c r="J39" s="114">
        <f t="shared" si="14"/>
        <v>356.2870833</v>
      </c>
      <c r="K39" s="114">
        <f t="shared" si="15"/>
        <v>1.032650402</v>
      </c>
      <c r="L39" s="129">
        <f t="shared" si="16"/>
        <v>1.033412622</v>
      </c>
      <c r="M39" s="131">
        <f t="shared" si="4"/>
        <v>356.0242947</v>
      </c>
      <c r="N39" s="46">
        <v>26.0</v>
      </c>
      <c r="O39" s="134">
        <f t="shared" si="5"/>
        <v>676</v>
      </c>
      <c r="P39" s="136">
        <f t="shared" si="6"/>
        <v>9256.631663</v>
      </c>
      <c r="Q39" s="147">
        <f t="shared" si="7"/>
        <v>355.3</v>
      </c>
      <c r="R39" s="147">
        <f t="shared" si="8"/>
        <v>367.1715047</v>
      </c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>
      <c r="A40" s="143">
        <v>27.0</v>
      </c>
      <c r="B40" s="144" t="s">
        <v>132</v>
      </c>
      <c r="C40" s="143">
        <v>382.35</v>
      </c>
      <c r="D40" s="144">
        <v>3.0</v>
      </c>
      <c r="E40" s="149">
        <f t="shared" si="9"/>
        <v>363.2325</v>
      </c>
      <c r="F40" s="114">
        <f t="shared" si="10"/>
        <v>350.24625</v>
      </c>
      <c r="G40" s="114">
        <f t="shared" si="11"/>
        <v>1.09166051</v>
      </c>
      <c r="H40" s="129">
        <v>0.9724843899088441</v>
      </c>
      <c r="I40" s="148">
        <f t="shared" si="13"/>
        <v>357.555</v>
      </c>
      <c r="J40" s="114">
        <f t="shared" si="14"/>
        <v>358.8008333</v>
      </c>
      <c r="K40" s="114">
        <f t="shared" si="15"/>
        <v>1.065632977</v>
      </c>
      <c r="L40" s="129">
        <f t="shared" si="16"/>
        <v>1.067544902</v>
      </c>
      <c r="M40" s="131">
        <f t="shared" si="4"/>
        <v>358.1582371</v>
      </c>
      <c r="N40" s="132">
        <v>27.0</v>
      </c>
      <c r="O40" s="134">
        <f t="shared" si="5"/>
        <v>729</v>
      </c>
      <c r="P40" s="136">
        <f t="shared" si="6"/>
        <v>9670.272403</v>
      </c>
      <c r="Q40" s="147">
        <f t="shared" si="7"/>
        <v>357.06</v>
      </c>
      <c r="R40" s="147">
        <f t="shared" si="8"/>
        <v>381.1775825</v>
      </c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>
      <c r="A41" s="143">
        <v>28.0</v>
      </c>
      <c r="B41" s="144" t="s">
        <v>133</v>
      </c>
      <c r="C41" s="143">
        <v>295.78</v>
      </c>
      <c r="D41" s="144">
        <v>4.0</v>
      </c>
      <c r="E41" s="149">
        <f t="shared" si="9"/>
        <v>337.26</v>
      </c>
      <c r="F41" s="114">
        <f t="shared" si="10"/>
        <v>320.12625</v>
      </c>
      <c r="G41" s="114">
        <f t="shared" si="11"/>
        <v>0.9239479737</v>
      </c>
      <c r="H41" s="129">
        <v>0.9891950207888147</v>
      </c>
      <c r="I41" s="148">
        <f t="shared" si="13"/>
        <v>360.0466667</v>
      </c>
      <c r="J41" s="114">
        <f t="shared" si="14"/>
        <v>361.8020833</v>
      </c>
      <c r="K41" s="114">
        <f t="shared" si="15"/>
        <v>0.8175187862</v>
      </c>
      <c r="L41" s="129">
        <f t="shared" si="16"/>
        <v>0.8261941041</v>
      </c>
      <c r="M41" s="131">
        <f t="shared" si="4"/>
        <v>358.0030389</v>
      </c>
      <c r="N41" s="46">
        <v>28.0</v>
      </c>
      <c r="O41" s="134">
        <f t="shared" si="5"/>
        <v>784</v>
      </c>
      <c r="P41" s="136">
        <f t="shared" si="6"/>
        <v>10024.08509</v>
      </c>
      <c r="Q41" s="147">
        <f t="shared" si="7"/>
        <v>358.82</v>
      </c>
      <c r="R41" s="147">
        <f t="shared" si="8"/>
        <v>296.4549684</v>
      </c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>
      <c r="A42" s="143">
        <v>29.0</v>
      </c>
      <c r="B42" s="144" t="s">
        <v>134</v>
      </c>
      <c r="C42" s="143">
        <v>302.99</v>
      </c>
      <c r="D42" s="144">
        <v>5.0</v>
      </c>
      <c r="E42" s="149">
        <f t="shared" si="9"/>
        <v>302.9925</v>
      </c>
      <c r="F42" s="114">
        <f t="shared" si="10"/>
        <v>303.76375</v>
      </c>
      <c r="G42" s="114">
        <f t="shared" si="11"/>
        <v>0.9974527902</v>
      </c>
      <c r="H42" s="129">
        <v>1.03577871997257</v>
      </c>
      <c r="I42" s="148">
        <f t="shared" si="13"/>
        <v>363.5575</v>
      </c>
      <c r="J42" s="114">
        <f t="shared" si="14"/>
        <v>364.1429167</v>
      </c>
      <c r="K42" s="114">
        <f t="shared" si="15"/>
        <v>0.8320634183</v>
      </c>
      <c r="L42" s="129">
        <f t="shared" si="16"/>
        <v>0.8316441008</v>
      </c>
      <c r="M42" s="131">
        <f t="shared" si="4"/>
        <v>364.3265187</v>
      </c>
      <c r="N42" s="46">
        <v>29.0</v>
      </c>
      <c r="O42" s="134">
        <f t="shared" si="5"/>
        <v>841</v>
      </c>
      <c r="P42" s="136">
        <f t="shared" si="6"/>
        <v>10565.46904</v>
      </c>
      <c r="Q42" s="147">
        <f t="shared" si="7"/>
        <v>360.58</v>
      </c>
      <c r="R42" s="147">
        <f t="shared" si="8"/>
        <v>299.8742299</v>
      </c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>
      <c r="A43" s="143">
        <v>30.0</v>
      </c>
      <c r="B43" s="144" t="s">
        <v>135</v>
      </c>
      <c r="C43" s="143">
        <v>230.85</v>
      </c>
      <c r="D43" s="144">
        <v>6.0</v>
      </c>
      <c r="E43" s="149">
        <f t="shared" si="9"/>
        <v>304.535</v>
      </c>
      <c r="F43" s="114">
        <f t="shared" si="10"/>
        <v>318.46875</v>
      </c>
      <c r="G43" s="114">
        <f t="shared" si="11"/>
        <v>0.7248748896</v>
      </c>
      <c r="H43" s="129">
        <v>0.9633348179862871</v>
      </c>
      <c r="I43" s="148">
        <f t="shared" si="13"/>
        <v>364.7283333</v>
      </c>
      <c r="J43" s="114">
        <f t="shared" si="14"/>
        <v>364.8125</v>
      </c>
      <c r="K43" s="114">
        <f t="shared" si="15"/>
        <v>0.6327908172</v>
      </c>
      <c r="L43" s="129">
        <f t="shared" si="16"/>
        <v>0.6332709706</v>
      </c>
      <c r="M43" s="131">
        <f t="shared" si="4"/>
        <v>364.535895</v>
      </c>
      <c r="N43" s="46">
        <v>30.0</v>
      </c>
      <c r="O43" s="134">
        <f t="shared" si="5"/>
        <v>900</v>
      </c>
      <c r="P43" s="136">
        <f t="shared" si="6"/>
        <v>10936.07685</v>
      </c>
      <c r="Q43" s="147">
        <f t="shared" si="7"/>
        <v>362.34</v>
      </c>
      <c r="R43" s="147">
        <f t="shared" si="8"/>
        <v>229.4594035</v>
      </c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>
      <c r="A44" s="143">
        <v>31.0</v>
      </c>
      <c r="B44" s="144" t="s">
        <v>136</v>
      </c>
      <c r="C44" s="143">
        <v>388.52</v>
      </c>
      <c r="D44" s="144">
        <v>7.0</v>
      </c>
      <c r="E44" s="149">
        <f t="shared" si="9"/>
        <v>332.4025</v>
      </c>
      <c r="F44" s="114">
        <f t="shared" si="10"/>
        <v>331.39125</v>
      </c>
      <c r="G44" s="114">
        <f t="shared" si="11"/>
        <v>1.172390641</v>
      </c>
      <c r="H44" s="129">
        <v>0.9724843899088441</v>
      </c>
      <c r="I44" s="148">
        <f t="shared" si="13"/>
        <v>364.8966667</v>
      </c>
      <c r="J44" s="114">
        <f t="shared" si="14"/>
        <v>362.9883333</v>
      </c>
      <c r="K44" s="114">
        <f t="shared" si="15"/>
        <v>1.07033743</v>
      </c>
      <c r="L44" s="129">
        <f t="shared" si="16"/>
        <v>1.063938998</v>
      </c>
      <c r="M44" s="131">
        <f t="shared" si="4"/>
        <v>365.1713123</v>
      </c>
      <c r="N44" s="132">
        <v>31.0</v>
      </c>
      <c r="O44" s="134">
        <f t="shared" si="5"/>
        <v>961</v>
      </c>
      <c r="P44" s="136">
        <f t="shared" si="6"/>
        <v>11320.31068</v>
      </c>
      <c r="Q44" s="147">
        <f t="shared" si="7"/>
        <v>364.1</v>
      </c>
      <c r="R44" s="147">
        <f t="shared" si="8"/>
        <v>387.3801891</v>
      </c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>
      <c r="A45" s="143">
        <v>32.0</v>
      </c>
      <c r="B45" s="144" t="s">
        <v>137</v>
      </c>
      <c r="C45" s="143">
        <v>407.25</v>
      </c>
      <c r="D45" s="144">
        <v>8.0</v>
      </c>
      <c r="E45" s="149">
        <f t="shared" si="9"/>
        <v>330.38</v>
      </c>
      <c r="F45" s="114">
        <f t="shared" si="10"/>
        <v>344.8225</v>
      </c>
      <c r="G45" s="114">
        <f t="shared" si="11"/>
        <v>1.18104242</v>
      </c>
      <c r="H45" s="129">
        <v>0.9891950207888147</v>
      </c>
      <c r="I45" s="148">
        <f t="shared" si="13"/>
        <v>361.08</v>
      </c>
      <c r="J45" s="114">
        <f t="shared" si="14"/>
        <v>360.738</v>
      </c>
      <c r="K45" s="114">
        <f t="shared" si="15"/>
        <v>1.128935682</v>
      </c>
      <c r="L45" s="129">
        <f t="shared" si="16"/>
        <v>1.105550132</v>
      </c>
      <c r="M45" s="131">
        <f t="shared" si="4"/>
        <v>368.3686412</v>
      </c>
      <c r="N45" s="46">
        <v>32.0</v>
      </c>
      <c r="O45" s="134">
        <f t="shared" si="5"/>
        <v>1024</v>
      </c>
      <c r="P45" s="136">
        <f t="shared" si="6"/>
        <v>11787.79652</v>
      </c>
      <c r="Q45" s="147">
        <f t="shared" si="7"/>
        <v>365.86</v>
      </c>
      <c r="R45" s="147">
        <f t="shared" si="8"/>
        <v>404.4765713</v>
      </c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>
      <c r="A46" s="143">
        <v>33.0</v>
      </c>
      <c r="B46" s="144" t="s">
        <v>138</v>
      </c>
      <c r="C46" s="143">
        <v>294.9</v>
      </c>
      <c r="D46" s="144">
        <v>9.0</v>
      </c>
      <c r="E46" s="149">
        <f t="shared" si="9"/>
        <v>359.265</v>
      </c>
      <c r="F46" s="114">
        <f t="shared" si="10"/>
        <v>361.31375</v>
      </c>
      <c r="G46" s="114">
        <f t="shared" si="11"/>
        <v>0.8161881467</v>
      </c>
      <c r="H46" s="129">
        <v>1.03577871997257</v>
      </c>
      <c r="I46" s="148">
        <f t="shared" si="13"/>
        <v>360.396</v>
      </c>
      <c r="J46" s="114">
        <f t="shared" si="14"/>
        <v>359.1763333</v>
      </c>
      <c r="K46" s="114">
        <f t="shared" si="15"/>
        <v>0.8210451876</v>
      </c>
      <c r="L46" s="129">
        <f t="shared" si="16"/>
        <v>0.7915509744</v>
      </c>
      <c r="M46" s="131">
        <f t="shared" si="4"/>
        <v>372.5597081</v>
      </c>
      <c r="N46" s="46">
        <v>33.0</v>
      </c>
      <c r="O46" s="134">
        <f t="shared" si="5"/>
        <v>1089</v>
      </c>
      <c r="P46" s="136">
        <f t="shared" si="6"/>
        <v>12294.47037</v>
      </c>
      <c r="Q46" s="147">
        <f t="shared" si="7"/>
        <v>367.62</v>
      </c>
      <c r="R46" s="147">
        <f t="shared" si="8"/>
        <v>290.9899692</v>
      </c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>
      <c r="A47" s="143">
        <v>34.0</v>
      </c>
      <c r="B47" s="144" t="s">
        <v>139</v>
      </c>
      <c r="C47" s="143">
        <v>346.39</v>
      </c>
      <c r="D47" s="144">
        <v>10.0</v>
      </c>
      <c r="E47" s="149">
        <f t="shared" si="9"/>
        <v>363.3625</v>
      </c>
      <c r="F47" s="114">
        <f t="shared" si="10"/>
        <v>381.20875</v>
      </c>
      <c r="G47" s="114">
        <f t="shared" si="11"/>
        <v>0.9086622487</v>
      </c>
      <c r="H47" s="129">
        <v>0.9633348179862871</v>
      </c>
      <c r="I47" s="148">
        <f t="shared" si="13"/>
        <v>357.9566667</v>
      </c>
      <c r="J47" s="114">
        <f t="shared" si="14"/>
        <v>361.8427083</v>
      </c>
      <c r="K47" s="114">
        <f t="shared" si="15"/>
        <v>0.9572944045</v>
      </c>
      <c r="L47" s="129">
        <f t="shared" si="16"/>
        <v>0.9193410411</v>
      </c>
      <c r="M47" s="131">
        <f t="shared" si="4"/>
        <v>376.7807424</v>
      </c>
      <c r="N47" s="46">
        <v>34.0</v>
      </c>
      <c r="O47" s="134">
        <f t="shared" si="5"/>
        <v>1156</v>
      </c>
      <c r="P47" s="136">
        <f t="shared" si="6"/>
        <v>12810.54524</v>
      </c>
      <c r="Q47" s="147">
        <f t="shared" si="7"/>
        <v>369.38</v>
      </c>
      <c r="R47" s="147">
        <f t="shared" si="8"/>
        <v>339.5861937</v>
      </c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>
      <c r="A48" s="143">
        <v>35.0</v>
      </c>
      <c r="B48" s="144" t="s">
        <v>140</v>
      </c>
      <c r="C48" s="143">
        <v>404.91</v>
      </c>
      <c r="D48" s="144">
        <v>11.0</v>
      </c>
      <c r="E48" s="149">
        <f t="shared" si="9"/>
        <v>399.055</v>
      </c>
      <c r="F48" s="114">
        <f t="shared" si="10"/>
        <v>416.4141667</v>
      </c>
      <c r="G48" s="114">
        <f t="shared" si="11"/>
        <v>0.9723732582</v>
      </c>
      <c r="H48" s="129">
        <v>0.9724843899088441</v>
      </c>
      <c r="I48" s="148">
        <f t="shared" si="13"/>
        <v>365.72875</v>
      </c>
      <c r="J48" s="114">
        <f t="shared" si="14"/>
        <v>370.2100893</v>
      </c>
      <c r="K48" s="114">
        <f t="shared" si="15"/>
        <v>1.093730322</v>
      </c>
      <c r="L48" s="129">
        <f t="shared" si="16"/>
        <v>1.09737712</v>
      </c>
      <c r="M48" s="131">
        <f t="shared" si="4"/>
        <v>368.9798088</v>
      </c>
      <c r="N48" s="132">
        <v>35.0</v>
      </c>
      <c r="O48" s="134">
        <f t="shared" si="5"/>
        <v>1225</v>
      </c>
      <c r="P48" s="136">
        <f t="shared" si="6"/>
        <v>12914.29331</v>
      </c>
      <c r="Q48" s="147">
        <f t="shared" si="7"/>
        <v>371.14</v>
      </c>
      <c r="R48" s="147">
        <f t="shared" si="8"/>
        <v>407.2805444</v>
      </c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>
      <c r="A49" s="197">
        <v>36.0</v>
      </c>
      <c r="B49" s="198" t="s">
        <v>142</v>
      </c>
      <c r="C49" s="197">
        <v>550.02</v>
      </c>
      <c r="D49" s="198">
        <v>12.0</v>
      </c>
      <c r="E49" s="199">
        <f t="shared" si="9"/>
        <v>433.7733333</v>
      </c>
      <c r="F49" s="170">
        <f t="shared" si="10"/>
        <v>433.7733333</v>
      </c>
      <c r="G49" s="170">
        <f t="shared" si="11"/>
        <v>1.267989426</v>
      </c>
      <c r="H49" s="200">
        <v>0.9891950207888147</v>
      </c>
      <c r="I49" s="168">
        <f t="shared" si="13"/>
        <v>374.6914286</v>
      </c>
      <c r="J49" s="170">
        <f t="shared" si="14"/>
        <v>374.6914286</v>
      </c>
      <c r="K49" s="170">
        <f t="shared" si="15"/>
        <v>1.467927895</v>
      </c>
      <c r="L49" s="200">
        <f t="shared" si="16"/>
        <v>1.496918142</v>
      </c>
      <c r="M49" s="131">
        <f t="shared" si="4"/>
        <v>367.4349216</v>
      </c>
      <c r="N49" s="46">
        <v>36.0</v>
      </c>
      <c r="O49" s="134">
        <f t="shared" si="5"/>
        <v>1296</v>
      </c>
      <c r="P49" s="136">
        <f t="shared" si="6"/>
        <v>13227.65718</v>
      </c>
      <c r="Q49" s="147">
        <f t="shared" si="7"/>
        <v>372.9</v>
      </c>
      <c r="R49" s="147">
        <f t="shared" si="8"/>
        <v>558.200775</v>
      </c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>
      <c r="A50" s="46">
        <v>37.0</v>
      </c>
      <c r="B50" s="144" t="s">
        <v>143</v>
      </c>
      <c r="C50" s="6"/>
      <c r="D50" s="6"/>
      <c r="E50" s="6"/>
      <c r="F50" s="6"/>
      <c r="G50" s="6"/>
      <c r="H50" s="6"/>
      <c r="I50" s="6"/>
      <c r="J50" s="6"/>
      <c r="K50" s="114"/>
      <c r="L50" s="129">
        <v>1.1494082048336582</v>
      </c>
      <c r="M50" s="6"/>
      <c r="N50" s="46">
        <v>37.0</v>
      </c>
      <c r="O50" s="6"/>
      <c r="P50" s="6"/>
      <c r="Q50" s="147">
        <f t="shared" si="7"/>
        <v>374.66</v>
      </c>
      <c r="R50" s="147">
        <f t="shared" si="8"/>
        <v>430.637278</v>
      </c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>
      <c r="A51" s="46">
        <v>38.0</v>
      </c>
      <c r="B51" s="144" t="s">
        <v>144</v>
      </c>
      <c r="C51" s="6"/>
      <c r="D51" s="6"/>
      <c r="E51" s="6"/>
      <c r="F51" s="6"/>
      <c r="G51" s="6"/>
      <c r="H51" s="6"/>
      <c r="I51" s="6"/>
      <c r="J51" s="6"/>
      <c r="K51" s="114"/>
      <c r="L51" s="129">
        <v>1.033412622274332</v>
      </c>
      <c r="M51" s="6"/>
      <c r="N51" s="46">
        <v>38.0</v>
      </c>
      <c r="O51" s="6"/>
      <c r="P51" s="6"/>
      <c r="Q51" s="147">
        <f t="shared" si="7"/>
        <v>376.42</v>
      </c>
      <c r="R51" s="147">
        <f t="shared" si="8"/>
        <v>388.9971793</v>
      </c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>
      <c r="A52" s="46">
        <v>39.0</v>
      </c>
      <c r="B52" s="144" t="s">
        <v>145</v>
      </c>
      <c r="C52" s="6"/>
      <c r="D52" s="6"/>
      <c r="E52" s="6"/>
      <c r="F52" s="6"/>
      <c r="G52" s="6"/>
      <c r="H52" s="6"/>
      <c r="I52" s="6"/>
      <c r="J52" s="6"/>
      <c r="K52" s="114"/>
      <c r="L52" s="129">
        <v>1.0675449015484573</v>
      </c>
      <c r="M52" s="6"/>
      <c r="N52" s="132">
        <v>39.0</v>
      </c>
      <c r="O52" s="6"/>
      <c r="P52" s="6"/>
      <c r="Q52" s="147">
        <f t="shared" si="7"/>
        <v>378.18</v>
      </c>
      <c r="R52" s="147">
        <f t="shared" si="8"/>
        <v>403.7241309</v>
      </c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>
      <c r="A53" s="46">
        <v>40.0</v>
      </c>
      <c r="B53" s="144" t="s">
        <v>146</v>
      </c>
      <c r="C53" s="6"/>
      <c r="D53" s="6"/>
      <c r="E53" s="6"/>
      <c r="F53" s="6"/>
      <c r="G53" s="6"/>
      <c r="H53" s="6"/>
      <c r="I53" s="6"/>
      <c r="J53" s="6"/>
      <c r="K53" s="114"/>
      <c r="L53" s="129">
        <v>0.8261941041089982</v>
      </c>
      <c r="M53" s="6"/>
      <c r="N53" s="46">
        <v>40.0</v>
      </c>
      <c r="O53" s="6"/>
      <c r="P53" s="6"/>
      <c r="Q53" s="147">
        <f t="shared" si="7"/>
        <v>379.94</v>
      </c>
      <c r="R53" s="147">
        <f t="shared" si="8"/>
        <v>313.9041879</v>
      </c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>
      <c r="A54" s="46">
        <v>41.0</v>
      </c>
      <c r="B54" s="144" t="s">
        <v>147</v>
      </c>
      <c r="C54" s="6"/>
      <c r="D54" s="6"/>
      <c r="E54" s="6"/>
      <c r="F54" s="6"/>
      <c r="G54" s="6"/>
      <c r="H54" s="6"/>
      <c r="I54" s="6"/>
      <c r="J54" s="6"/>
      <c r="K54" s="114"/>
      <c r="L54" s="129">
        <v>0.8316441007700628</v>
      </c>
      <c r="M54" s="6"/>
      <c r="N54" s="46">
        <v>41.0</v>
      </c>
      <c r="O54" s="6"/>
      <c r="P54" s="6"/>
      <c r="Q54" s="147">
        <f t="shared" si="7"/>
        <v>381.7</v>
      </c>
      <c r="R54" s="147">
        <f t="shared" si="8"/>
        <v>317.4385533</v>
      </c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>
      <c r="A55" s="46">
        <v>42.0</v>
      </c>
      <c r="B55" s="144" t="s">
        <v>148</v>
      </c>
      <c r="C55" s="6"/>
      <c r="D55" s="6"/>
      <c r="E55" s="6"/>
      <c r="F55" s="6"/>
      <c r="G55" s="6"/>
      <c r="H55" s="6"/>
      <c r="I55" s="6"/>
      <c r="J55" s="6"/>
      <c r="K55" s="114"/>
      <c r="L55" s="129">
        <v>0.6332709705540156</v>
      </c>
      <c r="M55" s="6"/>
      <c r="N55" s="46">
        <v>42.0</v>
      </c>
      <c r="O55" s="6"/>
      <c r="P55" s="6"/>
      <c r="Q55" s="147">
        <f t="shared" si="7"/>
        <v>383.46</v>
      </c>
      <c r="R55" s="147">
        <f t="shared" si="8"/>
        <v>242.8340864</v>
      </c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>
      <c r="A56" s="46">
        <v>43.0</v>
      </c>
      <c r="B56" s="144" t="s">
        <v>149</v>
      </c>
      <c r="C56" s="6"/>
      <c r="D56" s="6"/>
      <c r="E56" s="6"/>
      <c r="F56" s="6"/>
      <c r="G56" s="6"/>
      <c r="H56" s="6"/>
      <c r="I56" s="6"/>
      <c r="J56" s="6"/>
      <c r="L56" s="129">
        <v>1.0639389978487228</v>
      </c>
      <c r="M56" s="6"/>
      <c r="N56" s="132">
        <v>43.0</v>
      </c>
      <c r="O56" s="6"/>
      <c r="P56" s="6"/>
      <c r="Q56" s="147">
        <f t="shared" si="7"/>
        <v>385.22</v>
      </c>
      <c r="R56" s="147">
        <f t="shared" si="8"/>
        <v>409.8505808</v>
      </c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>
      <c r="A57" s="46">
        <v>44.0</v>
      </c>
      <c r="B57" s="144" t="s">
        <v>150</v>
      </c>
      <c r="C57" s="6"/>
      <c r="D57" s="6"/>
      <c r="E57" s="6"/>
      <c r="F57" s="6"/>
      <c r="G57" s="6"/>
      <c r="H57" s="6"/>
      <c r="I57" s="6"/>
      <c r="J57" s="6"/>
      <c r="K57" s="149"/>
      <c r="L57" s="129">
        <v>1.105550132138063</v>
      </c>
      <c r="M57" s="6"/>
      <c r="N57" s="46">
        <v>44.0</v>
      </c>
      <c r="O57" s="6"/>
      <c r="P57" s="6"/>
      <c r="Q57" s="147">
        <f t="shared" si="7"/>
        <v>386.98</v>
      </c>
      <c r="R57" s="147">
        <f t="shared" si="8"/>
        <v>427.8257901</v>
      </c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>
      <c r="A58" s="46">
        <v>45.0</v>
      </c>
      <c r="B58" s="144" t="s">
        <v>151</v>
      </c>
      <c r="C58" s="6"/>
      <c r="D58" s="6"/>
      <c r="E58" s="6"/>
      <c r="F58" s="6"/>
      <c r="G58" s="6"/>
      <c r="H58" s="6"/>
      <c r="I58" s="6"/>
      <c r="J58" s="6"/>
      <c r="K58" s="114"/>
      <c r="L58" s="129">
        <v>0.7915509743781265</v>
      </c>
      <c r="M58" s="6"/>
      <c r="N58" s="46">
        <v>45.0</v>
      </c>
      <c r="O58" s="6"/>
      <c r="P58" s="6"/>
      <c r="Q58" s="147">
        <f t="shared" si="7"/>
        <v>388.74</v>
      </c>
      <c r="R58" s="147">
        <f t="shared" si="8"/>
        <v>307.7075258</v>
      </c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>
      <c r="A59" s="46">
        <v>46.0</v>
      </c>
      <c r="B59" s="144" t="s">
        <v>152</v>
      </c>
      <c r="C59" s="6"/>
      <c r="D59" s="6"/>
      <c r="E59" s="6"/>
      <c r="F59" s="6"/>
      <c r="G59" s="6"/>
      <c r="H59" s="6"/>
      <c r="I59" s="6"/>
      <c r="J59" s="6"/>
      <c r="K59" s="114"/>
      <c r="L59" s="129">
        <v>0.9193410410538739</v>
      </c>
      <c r="M59" s="6"/>
      <c r="N59" s="46">
        <v>46.0</v>
      </c>
      <c r="O59" s="6"/>
      <c r="P59" s="6"/>
      <c r="Q59" s="147">
        <f t="shared" si="7"/>
        <v>390.5</v>
      </c>
      <c r="R59" s="147">
        <f t="shared" si="8"/>
        <v>359.0026765</v>
      </c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>
      <c r="A60" s="46">
        <v>47.0</v>
      </c>
      <c r="B60" s="144" t="s">
        <v>153</v>
      </c>
      <c r="C60" s="6"/>
      <c r="D60" s="6"/>
      <c r="E60" s="6"/>
      <c r="F60" s="6"/>
      <c r="G60" s="6"/>
      <c r="H60" s="6"/>
      <c r="I60" s="6"/>
      <c r="J60" s="6"/>
      <c r="K60" s="114"/>
      <c r="L60" s="129">
        <v>1.097377120090128</v>
      </c>
      <c r="M60" s="6"/>
      <c r="N60" s="132">
        <v>47.0</v>
      </c>
      <c r="O60" s="6"/>
      <c r="P60" s="6"/>
      <c r="Q60" s="147">
        <f t="shared" si="7"/>
        <v>392.26</v>
      </c>
      <c r="R60" s="147">
        <f t="shared" si="8"/>
        <v>430.4571491</v>
      </c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>
      <c r="A61" s="46">
        <v>48.0</v>
      </c>
      <c r="B61" s="198" t="s">
        <v>154</v>
      </c>
      <c r="C61" s="6"/>
      <c r="D61" s="6"/>
      <c r="E61" s="6"/>
      <c r="F61" s="6"/>
      <c r="G61" s="6"/>
      <c r="H61" s="6"/>
      <c r="I61" s="6"/>
      <c r="J61" s="6"/>
      <c r="K61" s="114"/>
      <c r="L61" s="129">
        <v>1.4969181417021673</v>
      </c>
      <c r="M61" s="6"/>
      <c r="N61" s="46">
        <v>48.0</v>
      </c>
      <c r="O61" s="6"/>
      <c r="P61" s="6"/>
      <c r="Q61" s="147">
        <f t="shared" si="7"/>
        <v>394.02</v>
      </c>
      <c r="R61" s="147">
        <f t="shared" si="8"/>
        <v>589.8156862</v>
      </c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114"/>
      <c r="L62" s="200">
        <f>L50</f>
        <v>1.149408205</v>
      </c>
      <c r="M62" s="6"/>
      <c r="N62" s="46">
        <v>49.0</v>
      </c>
      <c r="O62" s="6"/>
      <c r="P62" s="6"/>
      <c r="Q62" s="203">
        <f t="shared" si="7"/>
        <v>395.78</v>
      </c>
      <c r="R62" s="203">
        <f t="shared" si="8"/>
        <v>454.9127793</v>
      </c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114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114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114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114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114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>
      <c r="A68" s="6"/>
      <c r="B68" s="6"/>
      <c r="C68" s="6"/>
      <c r="D68" s="6"/>
      <c r="E68" s="6"/>
      <c r="F68" s="6"/>
      <c r="G68" s="149" t="s">
        <v>155</v>
      </c>
      <c r="H68" s="6"/>
      <c r="I68" s="6"/>
      <c r="J68" s="6"/>
      <c r="K68" s="114"/>
      <c r="L68" s="6"/>
      <c r="M68" s="6"/>
      <c r="N68" s="6"/>
      <c r="O68" s="6"/>
      <c r="P68" s="6"/>
      <c r="Q68" s="7" t="s">
        <v>75</v>
      </c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114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114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114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114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114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114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114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114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114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114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114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114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114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114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114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114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114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114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114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114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114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114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114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114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114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114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114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114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114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114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114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114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114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114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114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114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114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114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114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114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114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114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114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114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114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114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114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114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114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114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114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114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114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114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114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114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114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114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114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114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114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114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114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114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114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114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114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114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114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114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114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114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114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114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114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114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114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114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114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114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114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114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114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114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114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114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114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114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114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114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114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114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114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114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114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114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114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114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114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114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114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114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114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114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114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114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114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114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114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114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114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114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114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114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114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114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114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114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114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114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114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114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114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114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114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114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114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114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114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114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114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114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114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114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114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114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114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114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114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114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114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114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114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114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114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114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114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114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114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114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114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114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114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114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114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114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114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114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114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114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114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114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114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114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114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114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114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114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114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114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114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114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114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114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114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114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114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114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114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114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114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114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114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114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114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114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114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114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114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114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114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114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114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114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114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114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114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114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114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114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114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114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114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114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114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114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114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114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114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114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114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114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114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114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114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114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114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114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114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114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114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114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114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114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114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114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114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114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114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114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114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114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114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114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114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114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114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114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114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114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114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114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114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114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114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114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114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114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114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114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114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114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114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114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114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114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114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114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114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114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114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114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114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114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114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114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114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114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114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114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114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114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114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114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114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114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114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114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114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114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114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114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114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114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114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114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114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114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114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114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114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114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114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114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114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114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114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114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114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114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114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114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114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114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114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114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114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114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114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114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114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114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114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114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114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114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114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114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114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114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114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114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114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114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114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114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114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114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114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114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114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114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114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114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114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114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114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114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114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114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114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114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114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114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114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114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114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114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114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114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114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114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114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114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114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114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114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114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114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114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114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114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114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114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114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114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114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114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114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114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114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114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114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114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114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114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114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114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114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114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114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114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114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114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114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114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114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114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114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114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114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114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114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114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114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114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114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114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114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114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114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114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114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114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114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114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114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114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114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114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114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114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114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114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114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114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114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114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114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114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114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114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114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114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114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114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114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114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114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114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114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114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114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114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114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114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114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114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114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114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114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114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114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114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114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114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114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114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114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114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114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114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114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114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114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114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114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114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114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114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114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114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114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114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114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114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114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114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114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114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114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114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114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114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114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114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114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114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114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114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114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114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114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114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114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114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114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114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114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114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114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114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114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114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114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114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114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114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114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114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114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114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114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114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114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114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114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114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114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114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114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114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114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114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114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114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114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114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114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114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114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114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114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114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114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114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114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114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114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114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114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114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114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114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114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114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114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114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114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114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114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114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114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114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114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114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114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114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114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114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114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114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114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114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114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114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114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114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114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114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114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114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114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114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114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114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114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114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114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114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114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114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114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114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114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114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114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114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114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114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114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114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114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114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114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114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114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114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114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114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114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114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114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114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114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114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114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114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114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114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114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114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114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114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114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114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114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114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114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114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114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114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114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114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114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114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114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114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114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114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114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114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114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114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114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114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114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114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114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114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114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114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114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114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114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114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114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114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114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114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114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114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114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114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114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114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114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114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114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114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114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114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114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114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114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114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114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114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114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114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114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114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114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114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114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114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114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114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114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114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114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114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114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114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114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114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114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114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114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114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114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114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114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114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114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114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114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114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114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114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114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114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114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114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114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114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114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114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114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114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114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114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114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114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114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114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114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114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114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114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114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114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114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114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114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114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114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114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114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114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114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114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114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114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114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114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114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114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114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114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114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114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114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114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114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114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114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114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114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114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114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114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114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114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114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114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114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114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114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114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114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114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114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114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114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114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114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114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114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114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114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114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114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114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114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114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114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114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114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114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114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114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114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114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114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114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114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114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114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114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114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114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114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114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114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114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114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114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114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114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114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114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114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114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114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114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114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114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114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114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114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114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114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114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114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114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114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114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114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114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114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114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114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114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114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114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114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114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114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114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114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114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114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114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114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114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114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114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114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114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114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114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114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114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114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114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114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114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114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114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114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114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114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114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114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114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114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114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114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114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114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114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114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114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114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114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114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114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114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114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114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114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114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114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114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114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114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114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114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114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114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114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114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114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114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114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114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114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114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114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114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114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114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114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114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114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114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114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114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114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114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114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114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114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114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114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114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114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114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114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114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114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114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114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114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114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114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114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114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114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114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114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114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114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114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114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114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114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114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114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114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114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114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114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114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114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114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114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114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114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114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114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</row>
  </sheetData>
  <drawing r:id="rId2"/>
  <legacyDrawing r:id="rId3"/>
  <tableParts count="2">
    <tablePart r:id="rId6"/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3.63"/>
    <col customWidth="1" min="13" max="13" width="17.25"/>
    <col customWidth="1" min="18" max="18" width="14.63"/>
  </cols>
  <sheetData>
    <row r="1">
      <c r="A1" s="6"/>
      <c r="B1" s="6"/>
      <c r="C1" s="6"/>
      <c r="D1" s="6"/>
      <c r="E1" s="6"/>
      <c r="F1" s="6"/>
      <c r="G1" s="6"/>
      <c r="H1" s="6"/>
      <c r="I1" s="6"/>
      <c r="J1" s="6"/>
      <c r="K1" s="114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114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114"/>
      <c r="L3" s="6"/>
      <c r="M3" s="6"/>
      <c r="N3" s="39"/>
      <c r="O3" s="39"/>
      <c r="P3" s="39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114"/>
      <c r="L4" s="6"/>
      <c r="M4" s="6"/>
      <c r="N4" s="39"/>
      <c r="O4" s="39"/>
      <c r="P4" s="39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114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114"/>
      <c r="L6" s="6"/>
      <c r="M6" s="6"/>
      <c r="N6" s="6"/>
      <c r="O6" s="6"/>
      <c r="P6" s="6"/>
      <c r="Q6" s="6"/>
      <c r="R6" s="39" t="s">
        <v>50</v>
      </c>
      <c r="S6" s="39">
        <v>-1.54</v>
      </c>
      <c r="T6" s="6"/>
      <c r="U6" s="6"/>
      <c r="V6" s="6"/>
      <c r="W6" s="6"/>
      <c r="X6" s="6"/>
      <c r="Y6" s="6"/>
      <c r="Z6" s="6"/>
      <c r="AA6" s="6"/>
      <c r="AB6" s="6"/>
      <c r="AC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114"/>
      <c r="L7" s="6"/>
      <c r="M7" s="6"/>
      <c r="N7" s="6"/>
      <c r="O7" s="6"/>
      <c r="P7" s="6"/>
      <c r="Q7" s="6"/>
      <c r="R7" s="39" t="s">
        <v>51</v>
      </c>
      <c r="S7" s="39">
        <v>275.0</v>
      </c>
      <c r="T7" s="6"/>
      <c r="U7" s="6"/>
      <c r="V7" s="6"/>
      <c r="W7" s="6"/>
      <c r="X7" s="6"/>
      <c r="Y7" s="6"/>
      <c r="Z7" s="6"/>
      <c r="AA7" s="6"/>
      <c r="AB7" s="6"/>
      <c r="AC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114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114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114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114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>
      <c r="A12" s="39" t="s">
        <v>17</v>
      </c>
      <c r="B12" s="6"/>
      <c r="C12" s="6"/>
      <c r="D12" s="6"/>
      <c r="E12" s="6"/>
      <c r="F12" s="6"/>
      <c r="G12" s="6"/>
      <c r="H12" s="6"/>
      <c r="I12" s="6"/>
      <c r="J12" s="6"/>
      <c r="K12" s="114"/>
      <c r="L12" s="6"/>
      <c r="M12" s="114">
        <f t="shared" ref="M12:P12" si="1">SUM(M14:M49)</f>
        <v>8923.139329</v>
      </c>
      <c r="N12" s="6">
        <f t="shared" si="1"/>
        <v>666</v>
      </c>
      <c r="O12" s="6">
        <f t="shared" si="1"/>
        <v>16206</v>
      </c>
      <c r="P12" s="114">
        <f t="shared" si="1"/>
        <v>159097.511</v>
      </c>
      <c r="Q12" s="39" t="s">
        <v>88</v>
      </c>
      <c r="R12" s="6"/>
      <c r="S12" s="6"/>
      <c r="T12" s="39" t="s">
        <v>102</v>
      </c>
      <c r="U12" s="6"/>
      <c r="V12" s="6"/>
      <c r="W12" s="6"/>
      <c r="X12" s="6"/>
      <c r="Y12" s="6"/>
      <c r="Z12" s="6"/>
      <c r="AA12" s="6"/>
      <c r="AB12" s="6"/>
      <c r="AC12" s="6"/>
    </row>
    <row r="13">
      <c r="A13" s="116" t="s">
        <v>89</v>
      </c>
      <c r="B13" s="117" t="s">
        <v>90</v>
      </c>
      <c r="C13" s="118" t="s">
        <v>91</v>
      </c>
      <c r="D13" s="117" t="s">
        <v>92</v>
      </c>
      <c r="E13" s="96" t="s">
        <v>79</v>
      </c>
      <c r="F13" s="96" t="s">
        <v>93</v>
      </c>
      <c r="G13" s="96" t="s">
        <v>94</v>
      </c>
      <c r="H13" s="119" t="s">
        <v>95</v>
      </c>
      <c r="I13" s="120" t="s">
        <v>96</v>
      </c>
      <c r="J13" s="121" t="s">
        <v>97</v>
      </c>
      <c r="K13" s="122" t="s">
        <v>98</v>
      </c>
      <c r="L13" s="123" t="s">
        <v>99</v>
      </c>
      <c r="M13" s="124" t="s">
        <v>83</v>
      </c>
      <c r="N13" s="125" t="s">
        <v>100</v>
      </c>
      <c r="O13" s="125" t="s">
        <v>29</v>
      </c>
      <c r="P13" s="125" t="s">
        <v>59</v>
      </c>
      <c r="Q13" s="124" t="s">
        <v>85</v>
      </c>
      <c r="R13" s="126" t="s">
        <v>86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>
      <c r="A14" s="127">
        <v>1.0</v>
      </c>
      <c r="B14" s="128" t="s">
        <v>101</v>
      </c>
      <c r="C14" s="127">
        <v>242.65</v>
      </c>
      <c r="D14" s="128">
        <v>1.0</v>
      </c>
      <c r="E14" s="6"/>
      <c r="F14" s="6"/>
      <c r="G14" s="6"/>
      <c r="H14" s="129">
        <v>1.03577871997257</v>
      </c>
      <c r="I14" s="130"/>
      <c r="J14" s="6"/>
      <c r="K14" s="114"/>
      <c r="L14" s="129">
        <f t="shared" ref="L14:L31" si="2">AVERAGE(K14,K26,K38)</f>
        <v>0.871432843</v>
      </c>
      <c r="M14" s="131">
        <f t="shared" ref="M14:M49" si="3">C14/L14</f>
        <v>278.4494548</v>
      </c>
      <c r="N14" s="132">
        <v>1.0</v>
      </c>
      <c r="O14" s="134">
        <f t="shared" ref="O14:O49" si="4">N14*N14</f>
        <v>1</v>
      </c>
      <c r="P14" s="136">
        <f t="shared" ref="P14:P49" si="5">M14*N14</f>
        <v>278.4494548</v>
      </c>
      <c r="Q14" s="141">
        <f t="shared" ref="Q14:Q62" si="6">285-1.86*N14</f>
        <v>283.14</v>
      </c>
      <c r="R14" s="141">
        <f t="shared" ref="R14:R62" si="7">Q14*L14</f>
        <v>246.7374952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>
      <c r="A15" s="143">
        <v>2.0</v>
      </c>
      <c r="B15" s="144" t="s">
        <v>106</v>
      </c>
      <c r="C15" s="143">
        <v>178.63</v>
      </c>
      <c r="D15" s="144">
        <v>2.0</v>
      </c>
      <c r="E15" s="6"/>
      <c r="F15" s="6"/>
      <c r="G15" s="6"/>
      <c r="H15" s="129">
        <v>0.9633348179862871</v>
      </c>
      <c r="I15" s="130"/>
      <c r="J15" s="6"/>
      <c r="K15" s="114"/>
      <c r="L15" s="129">
        <f t="shared" si="2"/>
        <v>0.6422334461</v>
      </c>
      <c r="M15" s="131">
        <f t="shared" si="3"/>
        <v>278.1387377</v>
      </c>
      <c r="N15" s="46">
        <v>2.0</v>
      </c>
      <c r="O15" s="134">
        <f t="shared" si="4"/>
        <v>4</v>
      </c>
      <c r="P15" s="136">
        <f t="shared" si="5"/>
        <v>556.2774754</v>
      </c>
      <c r="Q15" s="141">
        <f t="shared" si="6"/>
        <v>281.28</v>
      </c>
      <c r="R15" s="147">
        <f t="shared" si="7"/>
        <v>180.6474237</v>
      </c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>
      <c r="A16" s="143">
        <v>3.0</v>
      </c>
      <c r="B16" s="144" t="s">
        <v>107</v>
      </c>
      <c r="C16" s="143">
        <v>152.82</v>
      </c>
      <c r="D16" s="144">
        <v>3.0</v>
      </c>
      <c r="E16" s="149">
        <f t="shared" ref="E16:E49" si="8">AVERAGE(C14:C17)</f>
        <v>176.05</v>
      </c>
      <c r="F16" s="114">
        <f t="shared" ref="F16:F49" si="9">AVERAGE(E16:E17)</f>
        <v>168.1775</v>
      </c>
      <c r="G16" s="114">
        <f t="shared" ref="G16:G49" si="10">C16/F16</f>
        <v>0.9086827905</v>
      </c>
      <c r="H16" s="153">
        <f t="shared" ref="H16:H19" si="11">AVERAGE(G16,G19,G22,G25,G28,G31,G34,G37,G40,G43,G46,G49)</f>
        <v>0.8617656869</v>
      </c>
      <c r="I16" s="130"/>
      <c r="J16" s="6"/>
      <c r="K16" s="114"/>
      <c r="L16" s="129">
        <f t="shared" si="2"/>
        <v>0.5349921987</v>
      </c>
      <c r="M16" s="131">
        <f t="shared" si="3"/>
        <v>285.6490251</v>
      </c>
      <c r="N16" s="46">
        <v>3.0</v>
      </c>
      <c r="O16" s="134">
        <f t="shared" si="4"/>
        <v>9</v>
      </c>
      <c r="P16" s="136">
        <f t="shared" si="5"/>
        <v>856.9470754</v>
      </c>
      <c r="Q16" s="141">
        <f t="shared" si="6"/>
        <v>279.42</v>
      </c>
      <c r="R16" s="147">
        <f t="shared" si="7"/>
        <v>149.4875201</v>
      </c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>
      <c r="A17" s="143">
        <v>4.0</v>
      </c>
      <c r="B17" s="144" t="s">
        <v>108</v>
      </c>
      <c r="C17" s="143">
        <v>130.1</v>
      </c>
      <c r="D17" s="144">
        <v>4.0</v>
      </c>
      <c r="E17" s="149">
        <f t="shared" si="8"/>
        <v>160.305</v>
      </c>
      <c r="F17" s="114">
        <f t="shared" si="9"/>
        <v>159.4025</v>
      </c>
      <c r="G17" s="114">
        <f t="shared" si="10"/>
        <v>0.8161728957</v>
      </c>
      <c r="H17" s="153">
        <f t="shared" si="11"/>
        <v>1.202075309</v>
      </c>
      <c r="I17" s="130"/>
      <c r="J17" s="6"/>
      <c r="K17" s="114"/>
      <c r="L17" s="129">
        <f t="shared" si="2"/>
        <v>3.588887651</v>
      </c>
      <c r="M17" s="131">
        <f t="shared" si="3"/>
        <v>36.2507865</v>
      </c>
      <c r="N17" s="46">
        <v>4.0</v>
      </c>
      <c r="O17" s="134">
        <f t="shared" si="4"/>
        <v>16</v>
      </c>
      <c r="P17" s="136">
        <f t="shared" si="5"/>
        <v>145.003146</v>
      </c>
      <c r="Q17" s="141">
        <f t="shared" si="6"/>
        <v>277.56</v>
      </c>
      <c r="R17" s="147">
        <f t="shared" si="7"/>
        <v>996.1316563</v>
      </c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>
      <c r="A18" s="143">
        <v>5.0</v>
      </c>
      <c r="B18" s="144" t="s">
        <v>109</v>
      </c>
      <c r="C18" s="143">
        <v>179.67</v>
      </c>
      <c r="D18" s="144">
        <v>5.0</v>
      </c>
      <c r="E18" s="149">
        <f t="shared" si="8"/>
        <v>158.5</v>
      </c>
      <c r="F18" s="114">
        <f t="shared" si="9"/>
        <v>161.595</v>
      </c>
      <c r="G18" s="114">
        <f t="shared" si="10"/>
        <v>1.111853708</v>
      </c>
      <c r="H18" s="153">
        <f t="shared" si="11"/>
        <v>0.8923661205</v>
      </c>
      <c r="I18" s="130"/>
      <c r="J18" s="6"/>
      <c r="K18" s="114"/>
      <c r="L18" s="129">
        <f t="shared" si="2"/>
        <v>0.6434711749</v>
      </c>
      <c r="M18" s="131">
        <f t="shared" si="3"/>
        <v>279.2199666</v>
      </c>
      <c r="N18" s="132">
        <v>5.0</v>
      </c>
      <c r="O18" s="134">
        <f t="shared" si="4"/>
        <v>25</v>
      </c>
      <c r="P18" s="136">
        <f t="shared" si="5"/>
        <v>1396.099833</v>
      </c>
      <c r="Q18" s="141">
        <f t="shared" si="6"/>
        <v>275.7</v>
      </c>
      <c r="R18" s="147">
        <f t="shared" si="7"/>
        <v>177.4050029</v>
      </c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43">
        <v>6.0</v>
      </c>
      <c r="B19" s="144" t="s">
        <v>110</v>
      </c>
      <c r="C19" s="143">
        <v>171.41</v>
      </c>
      <c r="D19" s="144">
        <v>6.0</v>
      </c>
      <c r="E19" s="149">
        <f t="shared" si="8"/>
        <v>164.69</v>
      </c>
      <c r="F19" s="114">
        <f t="shared" si="9"/>
        <v>174.64875</v>
      </c>
      <c r="G19" s="114">
        <f t="shared" si="10"/>
        <v>0.981455636</v>
      </c>
      <c r="H19" s="153">
        <f t="shared" si="11"/>
        <v>0.8575004956</v>
      </c>
      <c r="I19" s="130"/>
      <c r="J19" s="6"/>
      <c r="K19" s="114"/>
      <c r="L19" s="129">
        <f t="shared" si="2"/>
        <v>0.6214020044</v>
      </c>
      <c r="M19" s="131">
        <f t="shared" si="3"/>
        <v>275.8439766</v>
      </c>
      <c r="N19" s="46">
        <v>6.0</v>
      </c>
      <c r="O19" s="134">
        <f t="shared" si="4"/>
        <v>36</v>
      </c>
      <c r="P19" s="136">
        <f t="shared" si="5"/>
        <v>1655.06386</v>
      </c>
      <c r="Q19" s="141">
        <f t="shared" si="6"/>
        <v>273.84</v>
      </c>
      <c r="R19" s="147">
        <f t="shared" si="7"/>
        <v>170.1647249</v>
      </c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143">
        <v>7.0</v>
      </c>
      <c r="B20" s="144" t="s">
        <v>111</v>
      </c>
      <c r="C20" s="143">
        <v>177.58</v>
      </c>
      <c r="D20" s="144">
        <v>7.0</v>
      </c>
      <c r="E20" s="149">
        <f t="shared" si="8"/>
        <v>184.6075</v>
      </c>
      <c r="F20" s="114">
        <f t="shared" si="9"/>
        <v>187.745</v>
      </c>
      <c r="G20" s="114">
        <f t="shared" si="10"/>
        <v>0.945857413</v>
      </c>
      <c r="H20" s="129">
        <v>0.9724843899088441</v>
      </c>
      <c r="I20" s="148">
        <f t="shared" ref="I20:I49" si="12">AVERAGE(C14:C25)</f>
        <v>204.0425</v>
      </c>
      <c r="J20" s="114">
        <f t="shared" ref="J20:J49" si="13">AVERAGE(I20:I21)</f>
        <v>203.8275</v>
      </c>
      <c r="K20" s="114">
        <f t="shared" ref="K20:K49" si="14">C20/J20</f>
        <v>0.8712268953</v>
      </c>
      <c r="L20" s="129">
        <f t="shared" si="2"/>
        <v>0.6791186326</v>
      </c>
      <c r="M20" s="131">
        <f t="shared" si="3"/>
        <v>261.4859783</v>
      </c>
      <c r="N20" s="46">
        <v>7.0</v>
      </c>
      <c r="O20" s="134">
        <f t="shared" si="4"/>
        <v>49</v>
      </c>
      <c r="P20" s="136">
        <f t="shared" si="5"/>
        <v>1830.401848</v>
      </c>
      <c r="Q20" s="141">
        <f t="shared" si="6"/>
        <v>271.98</v>
      </c>
      <c r="R20" s="147">
        <f t="shared" si="7"/>
        <v>184.7066857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>
      <c r="A21" s="143">
        <v>8.0</v>
      </c>
      <c r="B21" s="144" t="s">
        <v>112</v>
      </c>
      <c r="C21" s="143">
        <v>209.77</v>
      </c>
      <c r="D21" s="144">
        <v>8.0</v>
      </c>
      <c r="E21" s="149">
        <f t="shared" si="8"/>
        <v>190.8825</v>
      </c>
      <c r="F21" s="114">
        <f t="shared" si="9"/>
        <v>202.54375</v>
      </c>
      <c r="G21" s="114">
        <f t="shared" si="10"/>
        <v>1.035677477</v>
      </c>
      <c r="H21" s="129">
        <v>0.9891950207888147</v>
      </c>
      <c r="I21" s="148">
        <f t="shared" si="12"/>
        <v>203.6125</v>
      </c>
      <c r="J21" s="114">
        <f t="shared" si="13"/>
        <v>203.3545833</v>
      </c>
      <c r="K21" s="114">
        <f t="shared" si="14"/>
        <v>1.031547932</v>
      </c>
      <c r="L21" s="129">
        <f t="shared" si="2"/>
        <v>0.8539112884</v>
      </c>
      <c r="M21" s="131">
        <f t="shared" si="3"/>
        <v>245.6578369</v>
      </c>
      <c r="N21" s="46">
        <v>8.0</v>
      </c>
      <c r="O21" s="134">
        <f t="shared" si="4"/>
        <v>64</v>
      </c>
      <c r="P21" s="136">
        <f t="shared" si="5"/>
        <v>1965.262695</v>
      </c>
      <c r="Q21" s="141">
        <f t="shared" si="6"/>
        <v>270.12</v>
      </c>
      <c r="R21" s="147">
        <f t="shared" si="7"/>
        <v>230.6585172</v>
      </c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>
      <c r="A22" s="143">
        <v>9.0</v>
      </c>
      <c r="B22" s="144" t="s">
        <v>113</v>
      </c>
      <c r="C22" s="143">
        <v>204.77</v>
      </c>
      <c r="D22" s="144">
        <v>9.0</v>
      </c>
      <c r="E22" s="149">
        <f t="shared" si="8"/>
        <v>214.205</v>
      </c>
      <c r="F22" s="114">
        <f t="shared" si="9"/>
        <v>223.8475</v>
      </c>
      <c r="G22" s="114">
        <f t="shared" si="10"/>
        <v>0.9147745675</v>
      </c>
      <c r="H22" s="129">
        <v>1.03577871997257</v>
      </c>
      <c r="I22" s="148">
        <f t="shared" si="12"/>
        <v>203.0966667</v>
      </c>
      <c r="J22" s="114">
        <f t="shared" si="13"/>
        <v>202.3220833</v>
      </c>
      <c r="K22" s="114">
        <f t="shared" si="14"/>
        <v>1.012099108</v>
      </c>
      <c r="L22" s="129">
        <f t="shared" si="2"/>
        <v>0.830073882</v>
      </c>
      <c r="M22" s="131">
        <f t="shared" si="3"/>
        <v>246.6888845</v>
      </c>
      <c r="N22" s="132">
        <v>9.0</v>
      </c>
      <c r="O22" s="134">
        <f t="shared" si="4"/>
        <v>81</v>
      </c>
      <c r="P22" s="136">
        <f t="shared" si="5"/>
        <v>2220.19996</v>
      </c>
      <c r="Q22" s="141">
        <f t="shared" si="6"/>
        <v>268.26</v>
      </c>
      <c r="R22" s="147">
        <f t="shared" si="7"/>
        <v>222.6756196</v>
      </c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>
      <c r="A23" s="143">
        <v>10.0</v>
      </c>
      <c r="B23" s="144" t="s">
        <v>114</v>
      </c>
      <c r="C23" s="143">
        <v>264.7</v>
      </c>
      <c r="D23" s="144">
        <v>10.0</v>
      </c>
      <c r="E23" s="149">
        <f t="shared" si="8"/>
        <v>233.49</v>
      </c>
      <c r="F23" s="114">
        <f t="shared" si="9"/>
        <v>242.48</v>
      </c>
      <c r="G23" s="114">
        <f t="shared" si="10"/>
        <v>1.091636424</v>
      </c>
      <c r="H23" s="129">
        <v>0.9633348179862871</v>
      </c>
      <c r="I23" s="148">
        <f t="shared" si="12"/>
        <v>201.5475</v>
      </c>
      <c r="J23" s="114">
        <f t="shared" si="13"/>
        <v>300.8766667</v>
      </c>
      <c r="K23" s="114">
        <f t="shared" si="14"/>
        <v>0.8797624719</v>
      </c>
      <c r="L23" s="129">
        <f t="shared" si="2"/>
        <v>0.9932985416</v>
      </c>
      <c r="M23" s="131">
        <f t="shared" si="3"/>
        <v>266.4858438</v>
      </c>
      <c r="N23" s="46">
        <v>10.0</v>
      </c>
      <c r="O23" s="134">
        <f t="shared" si="4"/>
        <v>100</v>
      </c>
      <c r="P23" s="136">
        <f t="shared" si="5"/>
        <v>2664.858438</v>
      </c>
      <c r="Q23" s="141">
        <f t="shared" si="6"/>
        <v>266.4</v>
      </c>
      <c r="R23" s="147">
        <f t="shared" si="7"/>
        <v>264.6147315</v>
      </c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>
      <c r="A24" s="143">
        <v>11.0</v>
      </c>
      <c r="B24" s="144" t="s">
        <v>115</v>
      </c>
      <c r="C24" s="143">
        <v>254.72</v>
      </c>
      <c r="D24" s="144">
        <v>11.0</v>
      </c>
      <c r="E24" s="149">
        <f t="shared" si="8"/>
        <v>251.47</v>
      </c>
      <c r="F24" s="114">
        <f t="shared" si="9"/>
        <v>255.56</v>
      </c>
      <c r="G24" s="114">
        <f t="shared" si="10"/>
        <v>0.9967131006</v>
      </c>
      <c r="H24" s="129">
        <v>0.9724843899088441</v>
      </c>
      <c r="I24" s="148">
        <f t="shared" si="12"/>
        <v>400.2058333</v>
      </c>
      <c r="J24" s="114">
        <f t="shared" si="13"/>
        <v>399.64625</v>
      </c>
      <c r="K24" s="114">
        <f t="shared" si="14"/>
        <v>0.6373636685</v>
      </c>
      <c r="L24" s="129">
        <f t="shared" si="2"/>
        <v>1.04268895</v>
      </c>
      <c r="M24" s="131">
        <f t="shared" si="3"/>
        <v>244.2914544</v>
      </c>
      <c r="N24" s="46">
        <v>11.0</v>
      </c>
      <c r="O24" s="134">
        <f t="shared" si="4"/>
        <v>121</v>
      </c>
      <c r="P24" s="136">
        <f t="shared" si="5"/>
        <v>2687.205998</v>
      </c>
      <c r="Q24" s="141">
        <f t="shared" si="6"/>
        <v>264.54</v>
      </c>
      <c r="R24" s="147">
        <f t="shared" si="7"/>
        <v>275.8329348</v>
      </c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>
      <c r="A25" s="143">
        <v>12.0</v>
      </c>
      <c r="B25" s="144" t="s">
        <v>116</v>
      </c>
      <c r="C25" s="143">
        <v>281.69</v>
      </c>
      <c r="D25" s="144">
        <v>12.0</v>
      </c>
      <c r="E25" s="149">
        <f t="shared" si="8"/>
        <v>259.65</v>
      </c>
      <c r="F25" s="114">
        <f t="shared" si="9"/>
        <v>248.1175</v>
      </c>
      <c r="G25" s="114">
        <f t="shared" si="10"/>
        <v>1.135308876</v>
      </c>
      <c r="H25" s="129">
        <v>0.9891950207888147</v>
      </c>
      <c r="I25" s="148">
        <f t="shared" si="12"/>
        <v>399.0866667</v>
      </c>
      <c r="J25" s="114">
        <f t="shared" si="13"/>
        <v>398.6991667</v>
      </c>
      <c r="K25" s="114">
        <f t="shared" si="14"/>
        <v>0.7065226706</v>
      </c>
      <c r="L25" s="129">
        <f t="shared" si="2"/>
        <v>1.119496793</v>
      </c>
      <c r="M25" s="131">
        <f t="shared" si="3"/>
        <v>251.6219804</v>
      </c>
      <c r="N25" s="46">
        <v>12.0</v>
      </c>
      <c r="O25" s="134">
        <f t="shared" si="4"/>
        <v>144</v>
      </c>
      <c r="P25" s="136">
        <f t="shared" si="5"/>
        <v>3019.463765</v>
      </c>
      <c r="Q25" s="141">
        <f t="shared" si="6"/>
        <v>262.68</v>
      </c>
      <c r="R25" s="147">
        <f t="shared" si="7"/>
        <v>294.0694175</v>
      </c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>
      <c r="A26" s="143">
        <v>13.0</v>
      </c>
      <c r="B26" s="144" t="s">
        <v>118</v>
      </c>
      <c r="C26" s="143">
        <v>237.49</v>
      </c>
      <c r="D26" s="144">
        <v>1.0</v>
      </c>
      <c r="E26" s="149">
        <f t="shared" si="8"/>
        <v>236.585</v>
      </c>
      <c r="F26" s="114">
        <f t="shared" si="9"/>
        <v>221.52375</v>
      </c>
      <c r="G26" s="114">
        <f t="shared" si="10"/>
        <v>1.072074665</v>
      </c>
      <c r="H26" s="129">
        <v>1.03577871997257</v>
      </c>
      <c r="I26" s="148">
        <f t="shared" si="12"/>
        <v>398.3116667</v>
      </c>
      <c r="J26" s="114">
        <f t="shared" si="13"/>
        <v>397.11375</v>
      </c>
      <c r="K26" s="114">
        <f t="shared" si="14"/>
        <v>0.5980402341</v>
      </c>
      <c r="L26" s="129">
        <f t="shared" si="2"/>
        <v>0.871432843</v>
      </c>
      <c r="M26" s="131">
        <f t="shared" si="3"/>
        <v>272.5281723</v>
      </c>
      <c r="N26" s="132">
        <v>13.0</v>
      </c>
      <c r="O26" s="134">
        <f t="shared" si="4"/>
        <v>169</v>
      </c>
      <c r="P26" s="136">
        <f t="shared" si="5"/>
        <v>3542.86624</v>
      </c>
      <c r="Q26" s="141">
        <f t="shared" si="6"/>
        <v>260.82</v>
      </c>
      <c r="R26" s="147">
        <f t="shared" si="7"/>
        <v>227.2871141</v>
      </c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>
      <c r="A27" s="143">
        <v>14.0</v>
      </c>
      <c r="B27" s="144" t="s">
        <v>119</v>
      </c>
      <c r="C27" s="143">
        <v>172.44</v>
      </c>
      <c r="D27" s="144">
        <v>2.0</v>
      </c>
      <c r="E27" s="149">
        <f t="shared" si="8"/>
        <v>206.4625</v>
      </c>
      <c r="F27" s="114">
        <f t="shared" si="9"/>
        <v>485.50125</v>
      </c>
      <c r="G27" s="114">
        <f t="shared" si="10"/>
        <v>0.3551793121</v>
      </c>
      <c r="H27" s="129">
        <v>0.9633348179862871</v>
      </c>
      <c r="I27" s="148">
        <f t="shared" si="12"/>
        <v>395.9158333</v>
      </c>
      <c r="J27" s="114">
        <f t="shared" si="13"/>
        <v>395.2079167</v>
      </c>
      <c r="K27" s="114">
        <f t="shared" si="14"/>
        <v>0.4363272919</v>
      </c>
      <c r="L27" s="129">
        <f t="shared" si="2"/>
        <v>0.6422334461</v>
      </c>
      <c r="M27" s="131">
        <f t="shared" si="3"/>
        <v>268.5004978</v>
      </c>
      <c r="N27" s="46">
        <v>14.0</v>
      </c>
      <c r="O27" s="134">
        <f t="shared" si="4"/>
        <v>196</v>
      </c>
      <c r="P27" s="136">
        <f t="shared" si="5"/>
        <v>3759.00697</v>
      </c>
      <c r="Q27" s="141">
        <f t="shared" si="6"/>
        <v>258.96</v>
      </c>
      <c r="R27" s="147">
        <f t="shared" si="7"/>
        <v>166.3127732</v>
      </c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>
      <c r="A28" s="143">
        <v>15.0</v>
      </c>
      <c r="B28" s="144" t="s">
        <v>120</v>
      </c>
      <c r="C28" s="143">
        <v>134.23</v>
      </c>
      <c r="D28" s="144">
        <v>3.0</v>
      </c>
      <c r="E28" s="149">
        <f t="shared" si="8"/>
        <v>764.54</v>
      </c>
      <c r="F28" s="114">
        <f t="shared" si="9"/>
        <v>755.63375</v>
      </c>
      <c r="G28" s="114">
        <f t="shared" si="10"/>
        <v>0.1776389686</v>
      </c>
      <c r="H28" s="129">
        <v>0.9724843899088441</v>
      </c>
      <c r="I28" s="148">
        <f t="shared" si="12"/>
        <v>394.5</v>
      </c>
      <c r="J28" s="114">
        <f t="shared" si="13"/>
        <v>394.0004167</v>
      </c>
      <c r="K28" s="114">
        <f t="shared" si="14"/>
        <v>0.3406849189</v>
      </c>
      <c r="L28" s="129">
        <f t="shared" si="2"/>
        <v>0.5349921987</v>
      </c>
      <c r="M28" s="131">
        <f t="shared" si="3"/>
        <v>250.9008549</v>
      </c>
      <c r="N28" s="46">
        <v>15.0</v>
      </c>
      <c r="O28" s="134">
        <f t="shared" si="4"/>
        <v>225</v>
      </c>
      <c r="P28" s="136">
        <f t="shared" si="5"/>
        <v>3763.512823</v>
      </c>
      <c r="Q28" s="141">
        <f t="shared" si="6"/>
        <v>257.1</v>
      </c>
      <c r="R28" s="147">
        <f t="shared" si="7"/>
        <v>137.5464943</v>
      </c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>
      <c r="A29" s="143">
        <v>16.0</v>
      </c>
      <c r="B29" s="144" t="s">
        <v>121</v>
      </c>
      <c r="C29" s="143">
        <v>2514.0</v>
      </c>
      <c r="D29" s="144">
        <v>4.0</v>
      </c>
      <c r="E29" s="149">
        <f t="shared" si="8"/>
        <v>746.7275</v>
      </c>
      <c r="F29" s="114">
        <f t="shared" si="9"/>
        <v>745.43625</v>
      </c>
      <c r="G29" s="114">
        <f t="shared" si="10"/>
        <v>3.372521795</v>
      </c>
      <c r="H29" s="129">
        <v>0.9891950207888147</v>
      </c>
      <c r="I29" s="148">
        <f t="shared" si="12"/>
        <v>393.5008333</v>
      </c>
      <c r="J29" s="114">
        <f t="shared" si="13"/>
        <v>392.7516667</v>
      </c>
      <c r="K29" s="114">
        <f t="shared" si="14"/>
        <v>6.400991296</v>
      </c>
      <c r="L29" s="129">
        <f t="shared" si="2"/>
        <v>3.588887651</v>
      </c>
      <c r="M29" s="131">
        <f t="shared" si="3"/>
        <v>700.4955977</v>
      </c>
      <c r="N29" s="46">
        <v>16.0</v>
      </c>
      <c r="O29" s="134">
        <f t="shared" si="4"/>
        <v>256</v>
      </c>
      <c r="P29" s="136">
        <f t="shared" si="5"/>
        <v>11207.92956</v>
      </c>
      <c r="Q29" s="141">
        <f t="shared" si="6"/>
        <v>255.24</v>
      </c>
      <c r="R29" s="147">
        <f t="shared" si="7"/>
        <v>916.0276839</v>
      </c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>
      <c r="A30" s="143">
        <v>17.0</v>
      </c>
      <c r="B30" s="144" t="s">
        <v>122</v>
      </c>
      <c r="C30" s="143">
        <v>166.24</v>
      </c>
      <c r="D30" s="144">
        <v>5.0</v>
      </c>
      <c r="E30" s="149">
        <f t="shared" si="8"/>
        <v>744.145</v>
      </c>
      <c r="F30" s="114">
        <f t="shared" si="9"/>
        <v>745.97</v>
      </c>
      <c r="G30" s="114">
        <f t="shared" si="10"/>
        <v>0.2228507849</v>
      </c>
      <c r="H30" s="129">
        <v>1.03577871997257</v>
      </c>
      <c r="I30" s="148">
        <f t="shared" si="12"/>
        <v>392.0025</v>
      </c>
      <c r="J30" s="114">
        <f t="shared" si="13"/>
        <v>391.2945833</v>
      </c>
      <c r="K30" s="114">
        <f t="shared" si="14"/>
        <v>0.424846157</v>
      </c>
      <c r="L30" s="129">
        <f t="shared" si="2"/>
        <v>0.6434711749</v>
      </c>
      <c r="M30" s="131">
        <f t="shared" si="3"/>
        <v>258.3487909</v>
      </c>
      <c r="N30" s="132">
        <v>17.0</v>
      </c>
      <c r="O30" s="134">
        <f t="shared" si="4"/>
        <v>289</v>
      </c>
      <c r="P30" s="136">
        <f t="shared" si="5"/>
        <v>4391.929445</v>
      </c>
      <c r="Q30" s="141">
        <f t="shared" si="6"/>
        <v>253.38</v>
      </c>
      <c r="R30" s="147">
        <f t="shared" si="7"/>
        <v>163.0427263</v>
      </c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>
      <c r="A31" s="143">
        <v>18.0</v>
      </c>
      <c r="B31" s="144" t="s">
        <v>123</v>
      </c>
      <c r="C31" s="143">
        <v>162.11</v>
      </c>
      <c r="D31" s="144">
        <v>6.0</v>
      </c>
      <c r="E31" s="149">
        <f t="shared" si="8"/>
        <v>747.795</v>
      </c>
      <c r="F31" s="114">
        <f t="shared" si="9"/>
        <v>457.6425</v>
      </c>
      <c r="G31" s="114">
        <f t="shared" si="10"/>
        <v>0.3542284644</v>
      </c>
      <c r="H31" s="129">
        <v>0.9633348179862871</v>
      </c>
      <c r="I31" s="148">
        <f t="shared" si="12"/>
        <v>390.5866667</v>
      </c>
      <c r="J31" s="114">
        <f t="shared" si="13"/>
        <v>389.7958333</v>
      </c>
      <c r="K31" s="114">
        <f t="shared" si="14"/>
        <v>0.4158843839</v>
      </c>
      <c r="L31" s="129">
        <f t="shared" si="2"/>
        <v>0.6214020044</v>
      </c>
      <c r="M31" s="131">
        <f t="shared" si="3"/>
        <v>260.8778196</v>
      </c>
      <c r="N31" s="46">
        <v>18.0</v>
      </c>
      <c r="O31" s="134">
        <f t="shared" si="4"/>
        <v>324</v>
      </c>
      <c r="P31" s="136">
        <f t="shared" si="5"/>
        <v>4695.800752</v>
      </c>
      <c r="Q31" s="141">
        <f t="shared" si="6"/>
        <v>251.52</v>
      </c>
      <c r="R31" s="147">
        <f t="shared" si="7"/>
        <v>156.2950322</v>
      </c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>
      <c r="A32" s="143">
        <v>19.0</v>
      </c>
      <c r="B32" s="144" t="s">
        <v>124</v>
      </c>
      <c r="C32" s="143">
        <v>148.83</v>
      </c>
      <c r="D32" s="144">
        <v>7.0</v>
      </c>
      <c r="E32" s="149">
        <f t="shared" si="8"/>
        <v>167.49</v>
      </c>
      <c r="F32" s="114">
        <f t="shared" si="9"/>
        <v>170.8075</v>
      </c>
      <c r="G32" s="114">
        <f t="shared" si="10"/>
        <v>0.8713317624</v>
      </c>
      <c r="H32" s="129">
        <v>0.9724843899088441</v>
      </c>
      <c r="I32" s="148">
        <f t="shared" si="12"/>
        <v>389.005</v>
      </c>
      <c r="J32" s="114">
        <f t="shared" si="13"/>
        <v>387.9725</v>
      </c>
      <c r="K32" s="114">
        <f t="shared" si="14"/>
        <v>0.3836096631</v>
      </c>
      <c r="L32" s="129">
        <f t="shared" ref="L32:L49" si="15">L20</f>
        <v>0.6791186326</v>
      </c>
      <c r="M32" s="131">
        <f t="shared" si="3"/>
        <v>219.1516958</v>
      </c>
      <c r="N32" s="46">
        <v>19.0</v>
      </c>
      <c r="O32" s="134">
        <f t="shared" si="4"/>
        <v>361</v>
      </c>
      <c r="P32" s="136">
        <f t="shared" si="5"/>
        <v>4163.882221</v>
      </c>
      <c r="Q32" s="141">
        <f t="shared" si="6"/>
        <v>249.66</v>
      </c>
      <c r="R32" s="147">
        <f t="shared" si="7"/>
        <v>169.5487578</v>
      </c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>
      <c r="A33" s="143">
        <v>20.0</v>
      </c>
      <c r="B33" s="144" t="s">
        <v>125</v>
      </c>
      <c r="C33" s="143">
        <v>192.78</v>
      </c>
      <c r="D33" s="144">
        <v>8.0</v>
      </c>
      <c r="E33" s="149">
        <f t="shared" si="8"/>
        <v>174.125</v>
      </c>
      <c r="F33" s="114">
        <f t="shared" si="9"/>
        <v>184.70125</v>
      </c>
      <c r="G33" s="114">
        <f t="shared" si="10"/>
        <v>1.043739552</v>
      </c>
      <c r="H33" s="129">
        <v>0.9891950207888147</v>
      </c>
      <c r="I33" s="148">
        <f t="shared" si="12"/>
        <v>386.94</v>
      </c>
      <c r="J33" s="114">
        <f t="shared" si="13"/>
        <v>386.2945833</v>
      </c>
      <c r="K33" s="114">
        <f t="shared" si="14"/>
        <v>0.4990491928</v>
      </c>
      <c r="L33" s="129">
        <f t="shared" si="15"/>
        <v>0.8539112884</v>
      </c>
      <c r="M33" s="131">
        <f t="shared" si="3"/>
        <v>225.7611565</v>
      </c>
      <c r="N33" s="46">
        <v>20.0</v>
      </c>
      <c r="O33" s="134">
        <f t="shared" si="4"/>
        <v>400</v>
      </c>
      <c r="P33" s="136">
        <f t="shared" si="5"/>
        <v>4515.22313</v>
      </c>
      <c r="Q33" s="141">
        <f t="shared" si="6"/>
        <v>247.8</v>
      </c>
      <c r="R33" s="147">
        <f t="shared" si="7"/>
        <v>211.5992173</v>
      </c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>
      <c r="A34" s="143">
        <v>21.0</v>
      </c>
      <c r="B34" s="144" t="s">
        <v>126</v>
      </c>
      <c r="C34" s="143">
        <v>192.78</v>
      </c>
      <c r="D34" s="144">
        <v>9.0</v>
      </c>
      <c r="E34" s="149">
        <f t="shared" si="8"/>
        <v>195.2775</v>
      </c>
      <c r="F34" s="114">
        <f t="shared" si="9"/>
        <v>206.39</v>
      </c>
      <c r="G34" s="114">
        <f t="shared" si="10"/>
        <v>0.9340568826</v>
      </c>
      <c r="H34" s="129">
        <v>1.03577871997257</v>
      </c>
      <c r="I34" s="148">
        <f t="shared" si="12"/>
        <v>385.6491667</v>
      </c>
      <c r="J34" s="114">
        <f t="shared" si="13"/>
        <v>385.6491667</v>
      </c>
      <c r="K34" s="114">
        <f t="shared" si="14"/>
        <v>0.4998843941</v>
      </c>
      <c r="L34" s="129">
        <f t="shared" si="15"/>
        <v>0.830073882</v>
      </c>
      <c r="M34" s="131">
        <f t="shared" si="3"/>
        <v>232.2443871</v>
      </c>
      <c r="N34" s="132">
        <v>21.0</v>
      </c>
      <c r="O34" s="134">
        <f t="shared" si="4"/>
        <v>441</v>
      </c>
      <c r="P34" s="136">
        <f t="shared" si="5"/>
        <v>4877.13213</v>
      </c>
      <c r="Q34" s="141">
        <f t="shared" si="6"/>
        <v>245.94</v>
      </c>
      <c r="R34" s="147">
        <f t="shared" si="7"/>
        <v>204.1483705</v>
      </c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>
      <c r="A35" s="143">
        <v>22.0</v>
      </c>
      <c r="B35" s="144" t="s">
        <v>127</v>
      </c>
      <c r="C35" s="143">
        <v>246.72</v>
      </c>
      <c r="D35" s="144">
        <v>10.0</v>
      </c>
      <c r="E35" s="149">
        <f t="shared" si="8"/>
        <v>217.5025</v>
      </c>
      <c r="F35" s="114">
        <f t="shared" si="9"/>
        <v>226.24375</v>
      </c>
      <c r="G35" s="114">
        <f t="shared" si="10"/>
        <v>1.090505263</v>
      </c>
      <c r="H35" s="129">
        <v>0.9633348179862871</v>
      </c>
      <c r="I35" s="148">
        <f t="shared" si="12"/>
        <v>385.6491667</v>
      </c>
      <c r="J35" s="114">
        <f t="shared" si="13"/>
        <v>286.8158333</v>
      </c>
      <c r="K35" s="114">
        <f t="shared" si="14"/>
        <v>0.8602035569</v>
      </c>
      <c r="L35" s="129">
        <f t="shared" si="15"/>
        <v>0.9932985416</v>
      </c>
      <c r="M35" s="131">
        <f t="shared" si="3"/>
        <v>248.3845387</v>
      </c>
      <c r="N35" s="46">
        <v>22.0</v>
      </c>
      <c r="O35" s="134">
        <f t="shared" si="4"/>
        <v>484</v>
      </c>
      <c r="P35" s="136">
        <f t="shared" si="5"/>
        <v>5464.45985</v>
      </c>
      <c r="Q35" s="141">
        <f t="shared" si="6"/>
        <v>244.08</v>
      </c>
      <c r="R35" s="147">
        <f t="shared" si="7"/>
        <v>242.444308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>
      <c r="A36" s="143">
        <v>23.0</v>
      </c>
      <c r="B36" s="144" t="s">
        <v>128</v>
      </c>
      <c r="C36" s="143">
        <v>237.73</v>
      </c>
      <c r="D36" s="144">
        <v>11.0</v>
      </c>
      <c r="E36" s="149">
        <f t="shared" si="8"/>
        <v>234.985</v>
      </c>
      <c r="F36" s="114">
        <f t="shared" si="9"/>
        <v>237.47625</v>
      </c>
      <c r="G36" s="114">
        <f t="shared" si="10"/>
        <v>1.001068528</v>
      </c>
      <c r="H36" s="129">
        <v>0.9724843899088441</v>
      </c>
      <c r="I36" s="148">
        <f t="shared" si="12"/>
        <v>187.9825</v>
      </c>
      <c r="J36" s="114">
        <f t="shared" si="13"/>
        <v>187.5954167</v>
      </c>
      <c r="K36" s="114">
        <f t="shared" si="14"/>
        <v>1.267248445</v>
      </c>
      <c r="L36" s="129">
        <f t="shared" si="15"/>
        <v>1.04268895</v>
      </c>
      <c r="M36" s="131">
        <f t="shared" si="3"/>
        <v>227.9970456</v>
      </c>
      <c r="N36" s="132">
        <v>23.0</v>
      </c>
      <c r="O36" s="134">
        <f t="shared" si="4"/>
        <v>529</v>
      </c>
      <c r="P36" s="136">
        <f t="shared" si="5"/>
        <v>5243.932048</v>
      </c>
      <c r="Q36" s="141">
        <f t="shared" si="6"/>
        <v>242.22</v>
      </c>
      <c r="R36" s="147">
        <f t="shared" si="7"/>
        <v>252.5601174</v>
      </c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>
      <c r="A37" s="143">
        <v>24.0</v>
      </c>
      <c r="B37" s="144" t="s">
        <v>129</v>
      </c>
      <c r="C37" s="143">
        <v>262.71</v>
      </c>
      <c r="D37" s="144">
        <v>12.0</v>
      </c>
      <c r="E37" s="149">
        <f t="shared" si="8"/>
        <v>239.9675</v>
      </c>
      <c r="F37" s="114">
        <f t="shared" si="9"/>
        <v>228.74625</v>
      </c>
      <c r="G37" s="114">
        <f t="shared" si="10"/>
        <v>1.148477844</v>
      </c>
      <c r="H37" s="129">
        <v>0.9891950207888147</v>
      </c>
      <c r="I37" s="148">
        <f t="shared" si="12"/>
        <v>187.2083333</v>
      </c>
      <c r="J37" s="114">
        <f t="shared" si="13"/>
        <v>186.6920833</v>
      </c>
      <c r="K37" s="114">
        <f t="shared" si="14"/>
        <v>1.407183397</v>
      </c>
      <c r="L37" s="129">
        <f t="shared" si="15"/>
        <v>1.119496793</v>
      </c>
      <c r="M37" s="131">
        <f t="shared" si="3"/>
        <v>234.6679345</v>
      </c>
      <c r="N37" s="46">
        <v>24.0</v>
      </c>
      <c r="O37" s="134">
        <f t="shared" si="4"/>
        <v>576</v>
      </c>
      <c r="P37" s="136">
        <f t="shared" si="5"/>
        <v>5632.030428</v>
      </c>
      <c r="Q37" s="141">
        <f t="shared" si="6"/>
        <v>240.36</v>
      </c>
      <c r="R37" s="147">
        <f t="shared" si="7"/>
        <v>269.0822491</v>
      </c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>
      <c r="A38" s="143">
        <v>25.0</v>
      </c>
      <c r="B38" s="144" t="s">
        <v>130</v>
      </c>
      <c r="C38" s="143">
        <v>212.71</v>
      </c>
      <c r="D38" s="144">
        <v>1.0</v>
      </c>
      <c r="E38" s="149">
        <f t="shared" si="8"/>
        <v>217.525</v>
      </c>
      <c r="F38" s="114">
        <f t="shared" si="9"/>
        <v>204.5875</v>
      </c>
      <c r="G38" s="114">
        <f t="shared" si="10"/>
        <v>1.039701839</v>
      </c>
      <c r="H38" s="129">
        <v>1.03577871997257</v>
      </c>
      <c r="I38" s="148">
        <f t="shared" si="12"/>
        <v>186.1758333</v>
      </c>
      <c r="J38" s="114">
        <f t="shared" si="13"/>
        <v>185.80125</v>
      </c>
      <c r="K38" s="114">
        <f t="shared" si="14"/>
        <v>1.144825452</v>
      </c>
      <c r="L38" s="129">
        <f t="shared" si="15"/>
        <v>0.871432843</v>
      </c>
      <c r="M38" s="131">
        <f t="shared" si="3"/>
        <v>244.0922461</v>
      </c>
      <c r="N38" s="46">
        <v>25.0</v>
      </c>
      <c r="O38" s="134">
        <f t="shared" si="4"/>
        <v>625</v>
      </c>
      <c r="P38" s="136">
        <f t="shared" si="5"/>
        <v>6102.306153</v>
      </c>
      <c r="Q38" s="141">
        <f t="shared" si="6"/>
        <v>238.5</v>
      </c>
      <c r="R38" s="147">
        <f t="shared" si="7"/>
        <v>207.8367331</v>
      </c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>
      <c r="A39" s="143">
        <v>26.0</v>
      </c>
      <c r="B39" s="144" t="s">
        <v>131</v>
      </c>
      <c r="C39" s="143">
        <v>156.95</v>
      </c>
      <c r="D39" s="144">
        <v>2.0</v>
      </c>
      <c r="E39" s="149">
        <f t="shared" si="8"/>
        <v>191.65</v>
      </c>
      <c r="F39" s="114">
        <f t="shared" si="9"/>
        <v>176.56125</v>
      </c>
      <c r="G39" s="114">
        <f t="shared" si="10"/>
        <v>0.8889266473</v>
      </c>
      <c r="H39" s="129">
        <v>0.9633348179862871</v>
      </c>
      <c r="I39" s="148">
        <f t="shared" si="12"/>
        <v>185.4266667</v>
      </c>
      <c r="J39" s="114">
        <f t="shared" si="13"/>
        <v>185.0520833</v>
      </c>
      <c r="K39" s="114">
        <f t="shared" si="14"/>
        <v>0.8481396003</v>
      </c>
      <c r="L39" s="129">
        <f t="shared" si="15"/>
        <v>0.6422334461</v>
      </c>
      <c r="M39" s="131">
        <f t="shared" si="3"/>
        <v>244.3815422</v>
      </c>
      <c r="N39" s="46">
        <v>26.0</v>
      </c>
      <c r="O39" s="134">
        <f t="shared" si="4"/>
        <v>676</v>
      </c>
      <c r="P39" s="136">
        <f t="shared" si="5"/>
        <v>6353.920097</v>
      </c>
      <c r="Q39" s="141">
        <f t="shared" si="6"/>
        <v>236.64</v>
      </c>
      <c r="R39" s="147">
        <f t="shared" si="7"/>
        <v>151.9781227</v>
      </c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>
      <c r="A40" s="143">
        <v>27.0</v>
      </c>
      <c r="B40" s="144" t="s">
        <v>132</v>
      </c>
      <c r="C40" s="143">
        <v>134.23</v>
      </c>
      <c r="D40" s="144">
        <v>3.0</v>
      </c>
      <c r="E40" s="149">
        <f t="shared" si="8"/>
        <v>161.4725</v>
      </c>
      <c r="F40" s="114">
        <f t="shared" si="9"/>
        <v>154.5025</v>
      </c>
      <c r="G40" s="114">
        <f t="shared" si="10"/>
        <v>0.8687885309</v>
      </c>
      <c r="H40" s="129">
        <v>0.9724843899088441</v>
      </c>
      <c r="I40" s="148">
        <f t="shared" si="12"/>
        <v>184.6775</v>
      </c>
      <c r="J40" s="114">
        <f t="shared" si="13"/>
        <v>184.0533333</v>
      </c>
      <c r="K40" s="114">
        <f t="shared" si="14"/>
        <v>0.7292994784</v>
      </c>
      <c r="L40" s="129">
        <f t="shared" si="15"/>
        <v>0.5349921987</v>
      </c>
      <c r="M40" s="131">
        <f t="shared" si="3"/>
        <v>250.9008549</v>
      </c>
      <c r="N40" s="132">
        <v>27.0</v>
      </c>
      <c r="O40" s="134">
        <f t="shared" si="4"/>
        <v>729</v>
      </c>
      <c r="P40" s="136">
        <f t="shared" si="5"/>
        <v>6774.323082</v>
      </c>
      <c r="Q40" s="141">
        <f t="shared" si="6"/>
        <v>234.78</v>
      </c>
      <c r="R40" s="147">
        <f t="shared" si="7"/>
        <v>125.6054684</v>
      </c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>
      <c r="A41" s="143">
        <v>28.0</v>
      </c>
      <c r="B41" s="144" t="s">
        <v>133</v>
      </c>
      <c r="C41" s="143">
        <v>142.0</v>
      </c>
      <c r="D41" s="144">
        <v>4.0</v>
      </c>
      <c r="E41" s="149">
        <f t="shared" si="8"/>
        <v>147.5325</v>
      </c>
      <c r="F41" s="114">
        <f t="shared" si="9"/>
        <v>146.62875</v>
      </c>
      <c r="G41" s="114">
        <f t="shared" si="10"/>
        <v>0.9684321799</v>
      </c>
      <c r="H41" s="129">
        <v>0.9891950207888147</v>
      </c>
      <c r="I41" s="148">
        <f t="shared" si="12"/>
        <v>183.4291667</v>
      </c>
      <c r="J41" s="114">
        <f t="shared" si="13"/>
        <v>182.805</v>
      </c>
      <c r="K41" s="114">
        <f t="shared" si="14"/>
        <v>0.7767840048</v>
      </c>
      <c r="L41" s="129">
        <f t="shared" si="15"/>
        <v>3.588887651</v>
      </c>
      <c r="M41" s="131">
        <f t="shared" si="3"/>
        <v>39.56657712</v>
      </c>
      <c r="N41" s="46">
        <v>28.0</v>
      </c>
      <c r="O41" s="134">
        <f t="shared" si="4"/>
        <v>784</v>
      </c>
      <c r="P41" s="136">
        <f t="shared" si="5"/>
        <v>1107.864159</v>
      </c>
      <c r="Q41" s="141">
        <f t="shared" si="6"/>
        <v>232.92</v>
      </c>
      <c r="R41" s="147">
        <f t="shared" si="7"/>
        <v>835.9237116</v>
      </c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>
      <c r="A42" s="143">
        <v>29.0</v>
      </c>
      <c r="B42" s="144" t="s">
        <v>134</v>
      </c>
      <c r="C42" s="143">
        <v>156.95</v>
      </c>
      <c r="D42" s="144">
        <v>5.0</v>
      </c>
      <c r="E42" s="149">
        <f t="shared" si="8"/>
        <v>145.725</v>
      </c>
      <c r="F42" s="114">
        <f t="shared" si="9"/>
        <v>146.42625</v>
      </c>
      <c r="G42" s="114">
        <f t="shared" si="10"/>
        <v>1.071870652</v>
      </c>
      <c r="H42" s="129">
        <v>1.03577871997257</v>
      </c>
      <c r="I42" s="148">
        <f t="shared" si="12"/>
        <v>182.1808333</v>
      </c>
      <c r="J42" s="114">
        <f t="shared" si="13"/>
        <v>182.05625</v>
      </c>
      <c r="K42" s="114">
        <f t="shared" si="14"/>
        <v>0.8620961928</v>
      </c>
      <c r="L42" s="129">
        <f t="shared" si="15"/>
        <v>0.6434711749</v>
      </c>
      <c r="M42" s="131">
        <f t="shared" si="3"/>
        <v>243.9114697</v>
      </c>
      <c r="N42" s="46">
        <v>29.0</v>
      </c>
      <c r="O42" s="134">
        <f t="shared" si="4"/>
        <v>841</v>
      </c>
      <c r="P42" s="136">
        <f t="shared" si="5"/>
        <v>7073.432622</v>
      </c>
      <c r="Q42" s="141">
        <f t="shared" si="6"/>
        <v>231.06</v>
      </c>
      <c r="R42" s="147">
        <f t="shared" si="7"/>
        <v>148.6804497</v>
      </c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>
      <c r="A43" s="143">
        <v>30.0</v>
      </c>
      <c r="B43" s="144" t="s">
        <v>135</v>
      </c>
      <c r="C43" s="143">
        <v>149.72</v>
      </c>
      <c r="D43" s="144">
        <v>6.0</v>
      </c>
      <c r="E43" s="149">
        <f t="shared" si="8"/>
        <v>147.1275</v>
      </c>
      <c r="F43" s="114">
        <f t="shared" si="9"/>
        <v>152.35125</v>
      </c>
      <c r="G43" s="114">
        <f t="shared" si="10"/>
        <v>0.9827290554</v>
      </c>
      <c r="H43" s="129">
        <v>0.9633348179862871</v>
      </c>
      <c r="I43" s="148">
        <f t="shared" si="12"/>
        <v>181.9316667</v>
      </c>
      <c r="J43" s="114">
        <f t="shared" si="13"/>
        <v>181.0575</v>
      </c>
      <c r="K43" s="114">
        <f t="shared" si="14"/>
        <v>0.826919625</v>
      </c>
      <c r="L43" s="129">
        <f t="shared" si="15"/>
        <v>0.6214020044</v>
      </c>
      <c r="M43" s="131">
        <f t="shared" si="3"/>
        <v>240.9390361</v>
      </c>
      <c r="N43" s="46">
        <v>30.0</v>
      </c>
      <c r="O43" s="134">
        <f t="shared" si="4"/>
        <v>900</v>
      </c>
      <c r="P43" s="136">
        <f t="shared" si="5"/>
        <v>7228.171084</v>
      </c>
      <c r="Q43" s="141">
        <f t="shared" si="6"/>
        <v>229.2</v>
      </c>
      <c r="R43" s="147">
        <f t="shared" si="7"/>
        <v>142.4253394</v>
      </c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>
      <c r="A44" s="143">
        <v>31.0</v>
      </c>
      <c r="B44" s="144" t="s">
        <v>136</v>
      </c>
      <c r="C44" s="143">
        <v>139.84</v>
      </c>
      <c r="D44" s="144">
        <v>7.0</v>
      </c>
      <c r="E44" s="149">
        <f t="shared" si="8"/>
        <v>157.575</v>
      </c>
      <c r="F44" s="114">
        <f t="shared" si="9"/>
        <v>160.18125</v>
      </c>
      <c r="G44" s="114">
        <f t="shared" si="10"/>
        <v>0.8730110422</v>
      </c>
      <c r="H44" s="129">
        <v>0.9724843899088441</v>
      </c>
      <c r="I44" s="148">
        <f t="shared" si="12"/>
        <v>180.1833333</v>
      </c>
      <c r="J44" s="114">
        <f t="shared" si="13"/>
        <v>178.7048485</v>
      </c>
      <c r="K44" s="114">
        <f t="shared" si="14"/>
        <v>0.7825193395</v>
      </c>
      <c r="L44" s="129">
        <f t="shared" si="15"/>
        <v>0.6791186326</v>
      </c>
      <c r="M44" s="131">
        <f t="shared" si="3"/>
        <v>205.9139498</v>
      </c>
      <c r="N44" s="132">
        <v>31.0</v>
      </c>
      <c r="O44" s="134">
        <f t="shared" si="4"/>
        <v>961</v>
      </c>
      <c r="P44" s="136">
        <f t="shared" si="5"/>
        <v>6383.332443</v>
      </c>
      <c r="Q44" s="141">
        <f t="shared" si="6"/>
        <v>227.34</v>
      </c>
      <c r="R44" s="147">
        <f t="shared" si="7"/>
        <v>154.3908299</v>
      </c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>
      <c r="A45" s="143">
        <v>32.0</v>
      </c>
      <c r="B45" s="144" t="s">
        <v>137</v>
      </c>
      <c r="C45" s="143">
        <v>183.79</v>
      </c>
      <c r="D45" s="144">
        <v>8.0</v>
      </c>
      <c r="E45" s="149">
        <f t="shared" si="8"/>
        <v>162.7875</v>
      </c>
      <c r="F45" s="114">
        <f t="shared" si="9"/>
        <v>173.04</v>
      </c>
      <c r="G45" s="114">
        <f t="shared" si="10"/>
        <v>1.062124364</v>
      </c>
      <c r="H45" s="129">
        <v>0.9891950207888147</v>
      </c>
      <c r="I45" s="148">
        <f t="shared" si="12"/>
        <v>177.2263636</v>
      </c>
      <c r="J45" s="114">
        <f t="shared" si="13"/>
        <v>178.2401818</v>
      </c>
      <c r="K45" s="114">
        <f t="shared" si="14"/>
        <v>1.03113674</v>
      </c>
      <c r="L45" s="129">
        <f t="shared" si="15"/>
        <v>0.8539112884</v>
      </c>
      <c r="M45" s="131">
        <f t="shared" si="3"/>
        <v>215.2331308</v>
      </c>
      <c r="N45" s="46">
        <v>32.0</v>
      </c>
      <c r="O45" s="134">
        <f t="shared" si="4"/>
        <v>1024</v>
      </c>
      <c r="P45" s="136">
        <f t="shared" si="5"/>
        <v>6887.460185</v>
      </c>
      <c r="Q45" s="141">
        <f t="shared" si="6"/>
        <v>225.48</v>
      </c>
      <c r="R45" s="147">
        <f t="shared" si="7"/>
        <v>192.5399173</v>
      </c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>
      <c r="A46" s="143">
        <v>33.0</v>
      </c>
      <c r="B46" s="144" t="s">
        <v>138</v>
      </c>
      <c r="C46" s="143">
        <v>177.8</v>
      </c>
      <c r="D46" s="144">
        <v>9.0</v>
      </c>
      <c r="E46" s="149">
        <f t="shared" si="8"/>
        <v>183.2925</v>
      </c>
      <c r="F46" s="114">
        <f t="shared" si="9"/>
        <v>195.155</v>
      </c>
      <c r="G46" s="114">
        <f t="shared" si="10"/>
        <v>0.9110706874</v>
      </c>
      <c r="H46" s="129">
        <v>1.03577871997257</v>
      </c>
      <c r="I46" s="148">
        <f t="shared" si="12"/>
        <v>179.254</v>
      </c>
      <c r="J46" s="114">
        <f t="shared" si="13"/>
        <v>181.7553333</v>
      </c>
      <c r="K46" s="114">
        <f t="shared" si="14"/>
        <v>0.9782381443</v>
      </c>
      <c r="L46" s="129">
        <f t="shared" si="15"/>
        <v>0.830073882</v>
      </c>
      <c r="M46" s="131">
        <f t="shared" si="3"/>
        <v>214.1978008</v>
      </c>
      <c r="N46" s="46">
        <v>33.0</v>
      </c>
      <c r="O46" s="134">
        <f t="shared" si="4"/>
        <v>1089</v>
      </c>
      <c r="P46" s="136">
        <f t="shared" si="5"/>
        <v>7068.527425</v>
      </c>
      <c r="Q46" s="141">
        <f t="shared" si="6"/>
        <v>223.62</v>
      </c>
      <c r="R46" s="147">
        <f t="shared" si="7"/>
        <v>185.6211215</v>
      </c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>
      <c r="A47" s="143">
        <v>34.0</v>
      </c>
      <c r="B47" s="144" t="s">
        <v>139</v>
      </c>
      <c r="C47" s="143">
        <v>231.74</v>
      </c>
      <c r="D47" s="144">
        <v>10.0</v>
      </c>
      <c r="E47" s="149">
        <f t="shared" si="8"/>
        <v>207.0175</v>
      </c>
      <c r="F47" s="114">
        <f t="shared" si="9"/>
        <v>214.26</v>
      </c>
      <c r="G47" s="114">
        <f t="shared" si="10"/>
        <v>1.081583123</v>
      </c>
      <c r="H47" s="129">
        <v>0.9633348179862871</v>
      </c>
      <c r="I47" s="148">
        <f t="shared" si="12"/>
        <v>184.2566667</v>
      </c>
      <c r="J47" s="114">
        <f t="shared" si="13"/>
        <v>186.8977083</v>
      </c>
      <c r="K47" s="114">
        <f t="shared" si="14"/>
        <v>1.239929596</v>
      </c>
      <c r="L47" s="129">
        <f t="shared" si="15"/>
        <v>0.9932985416</v>
      </c>
      <c r="M47" s="131">
        <f t="shared" si="3"/>
        <v>233.3034735</v>
      </c>
      <c r="N47" s="46">
        <v>34.0</v>
      </c>
      <c r="O47" s="134">
        <f t="shared" si="4"/>
        <v>1156</v>
      </c>
      <c r="P47" s="136">
        <f t="shared" si="5"/>
        <v>7932.3181</v>
      </c>
      <c r="Q47" s="141">
        <f t="shared" si="6"/>
        <v>221.76</v>
      </c>
      <c r="R47" s="147">
        <f t="shared" si="7"/>
        <v>220.2738846</v>
      </c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>
      <c r="A48" s="143">
        <v>35.0</v>
      </c>
      <c r="B48" s="144" t="s">
        <v>140</v>
      </c>
      <c r="C48" s="143">
        <v>234.74</v>
      </c>
      <c r="D48" s="144">
        <v>11.0</v>
      </c>
      <c r="E48" s="149">
        <f t="shared" si="8"/>
        <v>221.5025</v>
      </c>
      <c r="F48" s="114">
        <f t="shared" si="9"/>
        <v>228.78625</v>
      </c>
      <c r="G48" s="114">
        <f t="shared" si="10"/>
        <v>1.026023199</v>
      </c>
      <c r="H48" s="129">
        <v>0.9724843899088441</v>
      </c>
      <c r="I48" s="148">
        <f t="shared" si="12"/>
        <v>189.53875</v>
      </c>
      <c r="J48" s="114">
        <f t="shared" si="13"/>
        <v>191.8665179</v>
      </c>
      <c r="K48" s="114">
        <f t="shared" si="14"/>
        <v>1.223454736</v>
      </c>
      <c r="L48" s="129">
        <f t="shared" si="15"/>
        <v>1.04268895</v>
      </c>
      <c r="M48" s="131">
        <f t="shared" si="3"/>
        <v>225.1294598</v>
      </c>
      <c r="N48" s="132">
        <v>35.0</v>
      </c>
      <c r="O48" s="134">
        <f t="shared" si="4"/>
        <v>1225</v>
      </c>
      <c r="P48" s="136">
        <f t="shared" si="5"/>
        <v>7879.531093</v>
      </c>
      <c r="Q48" s="141">
        <f t="shared" si="6"/>
        <v>219.9</v>
      </c>
      <c r="R48" s="147">
        <f t="shared" si="7"/>
        <v>229.2873001</v>
      </c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>
      <c r="A49" s="197">
        <v>36.0</v>
      </c>
      <c r="B49" s="198" t="s">
        <v>142</v>
      </c>
      <c r="C49" s="197">
        <v>241.73</v>
      </c>
      <c r="D49" s="198">
        <v>12.0</v>
      </c>
      <c r="E49" s="199">
        <f t="shared" si="8"/>
        <v>236.07</v>
      </c>
      <c r="F49" s="170">
        <f t="shared" si="9"/>
        <v>236.07</v>
      </c>
      <c r="G49" s="170">
        <f t="shared" si="10"/>
        <v>1.023975939</v>
      </c>
      <c r="H49" s="200">
        <v>0.9891950207888147</v>
      </c>
      <c r="I49" s="168">
        <f t="shared" si="12"/>
        <v>194.1942857</v>
      </c>
      <c r="J49" s="170">
        <f t="shared" si="13"/>
        <v>194.1942857</v>
      </c>
      <c r="K49" s="170">
        <f t="shared" si="14"/>
        <v>1.24478431</v>
      </c>
      <c r="L49" s="200">
        <f t="shared" si="15"/>
        <v>1.119496793</v>
      </c>
      <c r="M49" s="131">
        <f t="shared" si="3"/>
        <v>215.9273717</v>
      </c>
      <c r="N49" s="46">
        <v>36.0</v>
      </c>
      <c r="O49" s="134">
        <f t="shared" si="4"/>
        <v>1296</v>
      </c>
      <c r="P49" s="136">
        <f t="shared" si="5"/>
        <v>7773.38538</v>
      </c>
      <c r="Q49" s="141">
        <f t="shared" si="6"/>
        <v>218.04</v>
      </c>
      <c r="R49" s="147">
        <f t="shared" si="7"/>
        <v>244.0950807</v>
      </c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>
      <c r="A50" s="46">
        <v>37.0</v>
      </c>
      <c r="B50" s="144" t="s">
        <v>143</v>
      </c>
      <c r="C50" s="6"/>
      <c r="D50" s="6"/>
      <c r="E50" s="6"/>
      <c r="F50" s="6"/>
      <c r="G50" s="6"/>
      <c r="H50" s="6"/>
      <c r="I50" s="6"/>
      <c r="J50" s="6"/>
      <c r="K50" s="114"/>
      <c r="L50" s="129">
        <v>0.8714328429958583</v>
      </c>
      <c r="M50" s="6"/>
      <c r="N50" s="46">
        <v>37.0</v>
      </c>
      <c r="O50" s="6"/>
      <c r="P50" s="6"/>
      <c r="Q50" s="141">
        <f t="shared" si="6"/>
        <v>216.18</v>
      </c>
      <c r="R50" s="147">
        <f t="shared" si="7"/>
        <v>188.386352</v>
      </c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>
      <c r="A51" s="46">
        <v>38.0</v>
      </c>
      <c r="B51" s="144" t="s">
        <v>144</v>
      </c>
      <c r="C51" s="6"/>
      <c r="D51" s="6"/>
      <c r="E51" s="6"/>
      <c r="F51" s="6"/>
      <c r="G51" s="6"/>
      <c r="H51" s="6"/>
      <c r="I51" s="6"/>
      <c r="J51" s="6"/>
      <c r="K51" s="114"/>
      <c r="L51" s="129">
        <v>0.6422334460978602</v>
      </c>
      <c r="M51" s="6"/>
      <c r="N51" s="46">
        <v>38.0</v>
      </c>
      <c r="O51" s="6"/>
      <c r="P51" s="6"/>
      <c r="Q51" s="141">
        <f t="shared" si="6"/>
        <v>214.32</v>
      </c>
      <c r="R51" s="147">
        <f t="shared" si="7"/>
        <v>137.6434722</v>
      </c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>
      <c r="A52" s="46">
        <v>39.0</v>
      </c>
      <c r="B52" s="144" t="s">
        <v>145</v>
      </c>
      <c r="C52" s="6"/>
      <c r="D52" s="6"/>
      <c r="E52" s="6"/>
      <c r="F52" s="6"/>
      <c r="G52" s="6"/>
      <c r="H52" s="6"/>
      <c r="I52" s="6"/>
      <c r="J52" s="6"/>
      <c r="K52" s="114"/>
      <c r="L52" s="129">
        <v>0.534992198657741</v>
      </c>
      <c r="M52" s="6"/>
      <c r="N52" s="132">
        <v>39.0</v>
      </c>
      <c r="O52" s="6"/>
      <c r="P52" s="6"/>
      <c r="Q52" s="141">
        <f t="shared" si="6"/>
        <v>212.46</v>
      </c>
      <c r="R52" s="147">
        <f t="shared" si="7"/>
        <v>113.6644425</v>
      </c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>
      <c r="A53" s="46">
        <v>40.0</v>
      </c>
      <c r="B53" s="144" t="s">
        <v>146</v>
      </c>
      <c r="C53" s="6"/>
      <c r="D53" s="6"/>
      <c r="E53" s="6"/>
      <c r="F53" s="6"/>
      <c r="G53" s="6"/>
      <c r="H53" s="6"/>
      <c r="I53" s="6"/>
      <c r="J53" s="6"/>
      <c r="K53" s="114"/>
      <c r="L53" s="129">
        <v>3.5888876506324903</v>
      </c>
      <c r="M53" s="6"/>
      <c r="N53" s="46">
        <v>40.0</v>
      </c>
      <c r="O53" s="6"/>
      <c r="P53" s="6"/>
      <c r="Q53" s="141">
        <f t="shared" si="6"/>
        <v>210.6</v>
      </c>
      <c r="R53" s="147">
        <f t="shared" si="7"/>
        <v>755.8197392</v>
      </c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>
      <c r="A54" s="46">
        <v>41.0</v>
      </c>
      <c r="B54" s="144" t="s">
        <v>147</v>
      </c>
      <c r="C54" s="6"/>
      <c r="D54" s="6"/>
      <c r="E54" s="6"/>
      <c r="F54" s="6"/>
      <c r="G54" s="6"/>
      <c r="H54" s="6"/>
      <c r="I54" s="6"/>
      <c r="J54" s="6"/>
      <c r="K54" s="114"/>
      <c r="L54" s="129">
        <v>0.6434711749191169</v>
      </c>
      <c r="M54" s="6"/>
      <c r="N54" s="46">
        <v>41.0</v>
      </c>
      <c r="O54" s="6"/>
      <c r="P54" s="6"/>
      <c r="Q54" s="141">
        <f t="shared" si="6"/>
        <v>208.74</v>
      </c>
      <c r="R54" s="147">
        <f t="shared" si="7"/>
        <v>134.3181731</v>
      </c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>
      <c r="A55" s="46">
        <v>42.0</v>
      </c>
      <c r="B55" s="144" t="s">
        <v>148</v>
      </c>
      <c r="C55" s="6"/>
      <c r="D55" s="6"/>
      <c r="E55" s="6"/>
      <c r="F55" s="6"/>
      <c r="G55" s="6"/>
      <c r="H55" s="6"/>
      <c r="I55" s="6"/>
      <c r="J55" s="6"/>
      <c r="K55" s="114"/>
      <c r="L55" s="129">
        <v>0.6214020044499733</v>
      </c>
      <c r="M55" s="6"/>
      <c r="N55" s="46">
        <v>42.0</v>
      </c>
      <c r="O55" s="6"/>
      <c r="P55" s="6"/>
      <c r="Q55" s="141">
        <f t="shared" si="6"/>
        <v>206.88</v>
      </c>
      <c r="R55" s="147">
        <f t="shared" si="7"/>
        <v>128.5556467</v>
      </c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>
      <c r="A56" s="46">
        <v>43.0</v>
      </c>
      <c r="B56" s="144" t="s">
        <v>149</v>
      </c>
      <c r="C56" s="6"/>
      <c r="D56" s="6"/>
      <c r="E56" s="6"/>
      <c r="F56" s="6"/>
      <c r="G56" s="6"/>
      <c r="H56" s="6"/>
      <c r="I56" s="6"/>
      <c r="J56" s="6"/>
      <c r="L56" s="129">
        <v>0.679118632612414</v>
      </c>
      <c r="M56" s="6"/>
      <c r="N56" s="132">
        <v>43.0</v>
      </c>
      <c r="O56" s="6"/>
      <c r="P56" s="6"/>
      <c r="Q56" s="141">
        <f t="shared" si="6"/>
        <v>205.02</v>
      </c>
      <c r="R56" s="147">
        <f t="shared" si="7"/>
        <v>139.2329021</v>
      </c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>
      <c r="A57" s="46">
        <v>44.0</v>
      </c>
      <c r="B57" s="144" t="s">
        <v>150</v>
      </c>
      <c r="C57" s="6"/>
      <c r="D57" s="6"/>
      <c r="E57" s="6"/>
      <c r="F57" s="6"/>
      <c r="G57" s="6"/>
      <c r="H57" s="6"/>
      <c r="I57" s="6"/>
      <c r="J57" s="6"/>
      <c r="K57" s="149"/>
      <c r="L57" s="129">
        <v>0.853911288402287</v>
      </c>
      <c r="M57" s="6"/>
      <c r="N57" s="46">
        <v>44.0</v>
      </c>
      <c r="O57" s="6"/>
      <c r="P57" s="6"/>
      <c r="Q57" s="141">
        <f t="shared" si="6"/>
        <v>203.16</v>
      </c>
      <c r="R57" s="147">
        <f t="shared" si="7"/>
        <v>173.4806174</v>
      </c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>
      <c r="A58" s="46">
        <v>45.0</v>
      </c>
      <c r="B58" s="144" t="s">
        <v>151</v>
      </c>
      <c r="C58" s="6"/>
      <c r="D58" s="6"/>
      <c r="E58" s="6"/>
      <c r="F58" s="6"/>
      <c r="G58" s="6"/>
      <c r="H58" s="6"/>
      <c r="I58" s="6"/>
      <c r="J58" s="6"/>
      <c r="K58" s="114"/>
      <c r="L58" s="129">
        <v>0.8300738820111914</v>
      </c>
      <c r="M58" s="6"/>
      <c r="N58" s="46">
        <v>45.0</v>
      </c>
      <c r="O58" s="6"/>
      <c r="P58" s="6"/>
      <c r="Q58" s="141">
        <f t="shared" si="6"/>
        <v>201.3</v>
      </c>
      <c r="R58" s="147">
        <f t="shared" si="7"/>
        <v>167.0938724</v>
      </c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>
      <c r="A59" s="46">
        <v>46.0</v>
      </c>
      <c r="B59" s="144" t="s">
        <v>152</v>
      </c>
      <c r="C59" s="6"/>
      <c r="D59" s="6"/>
      <c r="E59" s="6"/>
      <c r="F59" s="6"/>
      <c r="G59" s="6"/>
      <c r="H59" s="6"/>
      <c r="I59" s="6"/>
      <c r="J59" s="6"/>
      <c r="K59" s="114"/>
      <c r="L59" s="129">
        <v>0.9932985416089913</v>
      </c>
      <c r="M59" s="6"/>
      <c r="N59" s="46">
        <v>46.0</v>
      </c>
      <c r="O59" s="6"/>
      <c r="P59" s="6"/>
      <c r="Q59" s="141">
        <f t="shared" si="6"/>
        <v>199.44</v>
      </c>
      <c r="R59" s="147">
        <f t="shared" si="7"/>
        <v>198.1034611</v>
      </c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>
      <c r="A60" s="46">
        <v>47.0</v>
      </c>
      <c r="B60" s="144" t="s">
        <v>153</v>
      </c>
      <c r="C60" s="6"/>
      <c r="D60" s="6"/>
      <c r="E60" s="6"/>
      <c r="F60" s="6"/>
      <c r="G60" s="6"/>
      <c r="H60" s="6"/>
      <c r="I60" s="6"/>
      <c r="J60" s="6"/>
      <c r="K60" s="114"/>
      <c r="L60" s="129">
        <v>1.0426889498080303</v>
      </c>
      <c r="M60" s="6"/>
      <c r="N60" s="132">
        <v>47.0</v>
      </c>
      <c r="O60" s="6"/>
      <c r="P60" s="6"/>
      <c r="Q60" s="141">
        <f t="shared" si="6"/>
        <v>197.58</v>
      </c>
      <c r="R60" s="147">
        <f t="shared" si="7"/>
        <v>206.0144827</v>
      </c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>
      <c r="A61" s="46">
        <v>48.0</v>
      </c>
      <c r="B61" s="198" t="s">
        <v>154</v>
      </c>
      <c r="C61" s="6"/>
      <c r="D61" s="6"/>
      <c r="E61" s="6"/>
      <c r="F61" s="6"/>
      <c r="G61" s="6"/>
      <c r="H61" s="6"/>
      <c r="I61" s="6"/>
      <c r="J61" s="6"/>
      <c r="K61" s="114"/>
      <c r="L61" s="129">
        <v>1.1194967925896286</v>
      </c>
      <c r="M61" s="6"/>
      <c r="N61" s="46">
        <v>48.0</v>
      </c>
      <c r="O61" s="6"/>
      <c r="P61" s="6"/>
      <c r="Q61" s="141">
        <f t="shared" si="6"/>
        <v>195.72</v>
      </c>
      <c r="R61" s="147">
        <f t="shared" si="7"/>
        <v>219.1079122</v>
      </c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114"/>
      <c r="L62" s="200">
        <f>L50</f>
        <v>0.871432843</v>
      </c>
      <c r="M62" s="6"/>
      <c r="N62" s="46">
        <v>49.0</v>
      </c>
      <c r="O62" s="6"/>
      <c r="P62" s="6"/>
      <c r="Q62" s="141">
        <f t="shared" si="6"/>
        <v>193.86</v>
      </c>
      <c r="R62" s="203">
        <f t="shared" si="7"/>
        <v>168.9359709</v>
      </c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114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114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114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114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114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>
      <c r="A68" s="6"/>
      <c r="B68" s="6"/>
      <c r="C68" s="6"/>
      <c r="D68" s="6"/>
      <c r="E68" s="6"/>
      <c r="F68" s="6"/>
      <c r="G68" s="149" t="s">
        <v>155</v>
      </c>
      <c r="H68" s="6"/>
      <c r="I68" s="6"/>
      <c r="J68" s="6"/>
      <c r="K68" s="114"/>
      <c r="L68" s="6"/>
      <c r="M68" s="6"/>
      <c r="N68" s="6"/>
      <c r="O68" s="6"/>
      <c r="P68" s="6"/>
      <c r="Q68" s="7" t="s">
        <v>75</v>
      </c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114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114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114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114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114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114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114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114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114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114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114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114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114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114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114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114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114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114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114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114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114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114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114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114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114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114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114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114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114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114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114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114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114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114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114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114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114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114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114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114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114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114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114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114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114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114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114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114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114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114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114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114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114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114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114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114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114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114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114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114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114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114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114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114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114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114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114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114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114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114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114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114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114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114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114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114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114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114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114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114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114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114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114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114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114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114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114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114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114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114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114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114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114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114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114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114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114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114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114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114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114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114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114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114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114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114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114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114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114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114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114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114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114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114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114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114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114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114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114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114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114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114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114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114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114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114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114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114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114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114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114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114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114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114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114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114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114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114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114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114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114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114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114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114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114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114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114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114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114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114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114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114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114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114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114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114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114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114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114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114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114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114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114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114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114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114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114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114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114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114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114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114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114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114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114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114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114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114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114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114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114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114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114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114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114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114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114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114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114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114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114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114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114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114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114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114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114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114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114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114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114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114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114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114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114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114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114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114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114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114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114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114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114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114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114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114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114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114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114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114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114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114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114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114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114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114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114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114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114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114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114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114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114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114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114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114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114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114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114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114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114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114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114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114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114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114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114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114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114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114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114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114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114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114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114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114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114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114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114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114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114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114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114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114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114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114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114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114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114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114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114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114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114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114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114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114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114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114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114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114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114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114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114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114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114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114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114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114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114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114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114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114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114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114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114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114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114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114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114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114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114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114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114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114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114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114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114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114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114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114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114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114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114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114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114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114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114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114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114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114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114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114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114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114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114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114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114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114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114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114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114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114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114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114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114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114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114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114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114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114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114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114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114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114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114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114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114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114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114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114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114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114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114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114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114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114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114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114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114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114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114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114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114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114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114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114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114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114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114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114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114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114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114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114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114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114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114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114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114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114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114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114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114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114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114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114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114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114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114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114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114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114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114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114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114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114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114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114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114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114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114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114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114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114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114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114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114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114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114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114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114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114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114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114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114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114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114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114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114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114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114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114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114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114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114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114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114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114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114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114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114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114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114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114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114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114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114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114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114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114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114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114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114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114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114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114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114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114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114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114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114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114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114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114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114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114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114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114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114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114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114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114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114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114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114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114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114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114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114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114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114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114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114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114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114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114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114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114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114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114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114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114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114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114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114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114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114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114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114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114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114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114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114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114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114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114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114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114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114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114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114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114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114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114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114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114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114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114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114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114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114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114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114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114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114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114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114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114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114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114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114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114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114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114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114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114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114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114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114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114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114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114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114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114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114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114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114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114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114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114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114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114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114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114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114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114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114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114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114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114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114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114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114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114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114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114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114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114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114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114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114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114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114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114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114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114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114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114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114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114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114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114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114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114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114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114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114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114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114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114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114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114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114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114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114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114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114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114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114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114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114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114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114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114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114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114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114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114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114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114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114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114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114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114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114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114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114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114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114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114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114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114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114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114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114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114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114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114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114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114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114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114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114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114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114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114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114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114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114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114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114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114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114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114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114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114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114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114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114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114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114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114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114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114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114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114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114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114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114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114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114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114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114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114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114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114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114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114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114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114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114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114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114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114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114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114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114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114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114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114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114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114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114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114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114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114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114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114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114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114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114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114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114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114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114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114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114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114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114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114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114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114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114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114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114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114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114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114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114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114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114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114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114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114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114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114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114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114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114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114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114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114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114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114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114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114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114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114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114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114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114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114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114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114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114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114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114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114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114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114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114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114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114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114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114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114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114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114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114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114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114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114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114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114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114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114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114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114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114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114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114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114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114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114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114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114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114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114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114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114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114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114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114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114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114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114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114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114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114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114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114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114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114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114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114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114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114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114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114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114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114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114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114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114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114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114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114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114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114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114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114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114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114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114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114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114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114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114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114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114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114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114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114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114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114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114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114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114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114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114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114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114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114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114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114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114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114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114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114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114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114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114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114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114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114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114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114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114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114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114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114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114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114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114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114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114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114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114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114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114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114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114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114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114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114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114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114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114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114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114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114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114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114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114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114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114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114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114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114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114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114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114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114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114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114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114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114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114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114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114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114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114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114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114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114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114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114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114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114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114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114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114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114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114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114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114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114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114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114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114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114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114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114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114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114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114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114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114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114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114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114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114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114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114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114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114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114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114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114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114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114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114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114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114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114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114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114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114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114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114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114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114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114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114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114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114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114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114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114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114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114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114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</row>
  </sheetData>
  <drawing r:id="rId2"/>
  <legacyDrawing r:id="rId3"/>
  <tableParts count="2">
    <tablePart r:id="rId6"/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33" t="s">
        <v>90</v>
      </c>
      <c r="B15" s="135" t="s">
        <v>19</v>
      </c>
      <c r="C15" s="137" t="s">
        <v>79</v>
      </c>
      <c r="D15" s="138" t="s">
        <v>22</v>
      </c>
      <c r="E15" s="138" t="s">
        <v>103</v>
      </c>
      <c r="F15" s="138" t="s">
        <v>104</v>
      </c>
      <c r="G15" s="135" t="s">
        <v>105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39">
        <v>1.0</v>
      </c>
      <c r="B16" s="140">
        <v>100.0</v>
      </c>
      <c r="C16" s="130"/>
      <c r="D16" s="6"/>
      <c r="E16" s="6"/>
      <c r="F16" s="6"/>
      <c r="G16" s="142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39">
        <v>2.0</v>
      </c>
      <c r="B17" s="140">
        <v>104.0</v>
      </c>
      <c r="C17" s="130"/>
      <c r="D17" s="6"/>
      <c r="E17" s="6"/>
      <c r="F17" s="6"/>
      <c r="G17" s="142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39">
        <v>3.0</v>
      </c>
      <c r="B18" s="140">
        <v>108.0</v>
      </c>
      <c r="C18" s="130"/>
      <c r="D18" s="6"/>
      <c r="E18" s="6"/>
      <c r="F18" s="6"/>
      <c r="G18" s="142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39">
        <v>4.0</v>
      </c>
      <c r="B19" s="140">
        <v>99.0</v>
      </c>
      <c r="C19" s="130"/>
      <c r="D19" s="6"/>
      <c r="E19" s="114"/>
      <c r="F19" s="6"/>
      <c r="G19" s="142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39">
        <v>5.0</v>
      </c>
      <c r="B20" s="140">
        <v>95.0</v>
      </c>
      <c r="C20" s="148">
        <f t="shared" ref="C20:C35" si="1">AVERAGE(B16:B19)</f>
        <v>102.75</v>
      </c>
      <c r="D20" s="114">
        <f t="shared" ref="D20:D35" si="2">B20-C20</f>
        <v>-7.75</v>
      </c>
      <c r="E20" s="114">
        <f t="shared" ref="E20:E35" si="3">ABS(D20)</f>
        <v>7.75</v>
      </c>
      <c r="F20" s="114">
        <f t="shared" ref="F20:F35" si="4">D20*D20</f>
        <v>60.0625</v>
      </c>
      <c r="G20" s="152">
        <f t="shared" ref="G20:G35" si="5">abs(C20/B20-1)</f>
        <v>0.08157894737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39">
        <v>6.0</v>
      </c>
      <c r="B21" s="140">
        <v>118.0</v>
      </c>
      <c r="C21" s="148">
        <f t="shared" si="1"/>
        <v>101.5</v>
      </c>
      <c r="D21" s="114">
        <f t="shared" si="2"/>
        <v>16.5</v>
      </c>
      <c r="E21" s="114">
        <f t="shared" si="3"/>
        <v>16.5</v>
      </c>
      <c r="F21" s="114">
        <f t="shared" si="4"/>
        <v>272.25</v>
      </c>
      <c r="G21" s="152">
        <f t="shared" si="5"/>
        <v>0.1398305085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39">
        <v>7.0</v>
      </c>
      <c r="B22" s="140">
        <v>97.0</v>
      </c>
      <c r="C22" s="148">
        <f t="shared" si="1"/>
        <v>105</v>
      </c>
      <c r="D22" s="114">
        <f t="shared" si="2"/>
        <v>-8</v>
      </c>
      <c r="E22" s="114">
        <f t="shared" si="3"/>
        <v>8</v>
      </c>
      <c r="F22" s="114">
        <f t="shared" si="4"/>
        <v>64</v>
      </c>
      <c r="G22" s="152">
        <f t="shared" si="5"/>
        <v>0.0824742268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39">
        <v>8.0</v>
      </c>
      <c r="B23" s="140">
        <v>99.0</v>
      </c>
      <c r="C23" s="148">
        <f t="shared" si="1"/>
        <v>102.25</v>
      </c>
      <c r="D23" s="114">
        <f t="shared" si="2"/>
        <v>-3.25</v>
      </c>
      <c r="E23" s="114">
        <f t="shared" si="3"/>
        <v>3.25</v>
      </c>
      <c r="F23" s="114">
        <f t="shared" si="4"/>
        <v>10.5625</v>
      </c>
      <c r="G23" s="152">
        <f t="shared" si="5"/>
        <v>0.03282828283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>
        <v>9.0</v>
      </c>
      <c r="B24" s="142">
        <v>102.0</v>
      </c>
      <c r="C24" s="148">
        <f t="shared" si="1"/>
        <v>102.25</v>
      </c>
      <c r="D24" s="114">
        <f t="shared" si="2"/>
        <v>-0.25</v>
      </c>
      <c r="E24" s="114">
        <f t="shared" si="3"/>
        <v>0.25</v>
      </c>
      <c r="F24" s="114">
        <f t="shared" si="4"/>
        <v>0.0625</v>
      </c>
      <c r="G24" s="152">
        <f t="shared" si="5"/>
        <v>0.002450980392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39">
        <v>10.0</v>
      </c>
      <c r="B25" s="140">
        <v>114.0</v>
      </c>
      <c r="C25" s="148">
        <f t="shared" si="1"/>
        <v>104</v>
      </c>
      <c r="D25" s="114">
        <f t="shared" si="2"/>
        <v>10</v>
      </c>
      <c r="E25" s="114">
        <f t="shared" si="3"/>
        <v>10</v>
      </c>
      <c r="F25" s="114">
        <f t="shared" si="4"/>
        <v>100</v>
      </c>
      <c r="G25" s="152">
        <f t="shared" si="5"/>
        <v>0.08771929825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39">
        <v>11.0</v>
      </c>
      <c r="B26" s="140">
        <v>118.0</v>
      </c>
      <c r="C26" s="148">
        <f t="shared" si="1"/>
        <v>103</v>
      </c>
      <c r="D26" s="114">
        <f t="shared" si="2"/>
        <v>15</v>
      </c>
      <c r="E26" s="114">
        <f t="shared" si="3"/>
        <v>15</v>
      </c>
      <c r="F26" s="114">
        <f t="shared" si="4"/>
        <v>225</v>
      </c>
      <c r="G26" s="152">
        <f t="shared" si="5"/>
        <v>0.1271186441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39">
        <v>12.0</v>
      </c>
      <c r="B27" s="140">
        <v>97.0</v>
      </c>
      <c r="C27" s="148">
        <f t="shared" si="1"/>
        <v>108.25</v>
      </c>
      <c r="D27" s="114">
        <f t="shared" si="2"/>
        <v>-11.25</v>
      </c>
      <c r="E27" s="114">
        <f t="shared" si="3"/>
        <v>11.25</v>
      </c>
      <c r="F27" s="114">
        <f t="shared" si="4"/>
        <v>126.5625</v>
      </c>
      <c r="G27" s="152">
        <f t="shared" si="5"/>
        <v>0.1159793814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139">
        <v>13.0</v>
      </c>
      <c r="B28" s="140">
        <v>99.0</v>
      </c>
      <c r="C28" s="148">
        <f t="shared" si="1"/>
        <v>107.75</v>
      </c>
      <c r="D28" s="114">
        <f t="shared" si="2"/>
        <v>-8.75</v>
      </c>
      <c r="E28" s="114">
        <f t="shared" si="3"/>
        <v>8.75</v>
      </c>
      <c r="F28" s="114">
        <f t="shared" si="4"/>
        <v>76.5625</v>
      </c>
      <c r="G28" s="152">
        <f t="shared" si="5"/>
        <v>0.08838383838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139">
        <v>14.0</v>
      </c>
      <c r="B29" s="140">
        <v>103.0</v>
      </c>
      <c r="C29" s="148">
        <f t="shared" si="1"/>
        <v>107</v>
      </c>
      <c r="D29" s="114">
        <f t="shared" si="2"/>
        <v>-4</v>
      </c>
      <c r="E29" s="114">
        <f t="shared" si="3"/>
        <v>4</v>
      </c>
      <c r="F29" s="114">
        <f t="shared" si="4"/>
        <v>16</v>
      </c>
      <c r="G29" s="152">
        <f t="shared" si="5"/>
        <v>0.03883495146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139">
        <v>15.0</v>
      </c>
      <c r="B30" s="140">
        <v>101.0</v>
      </c>
      <c r="C30" s="148">
        <f t="shared" si="1"/>
        <v>104.25</v>
      </c>
      <c r="D30" s="114">
        <f t="shared" si="2"/>
        <v>-3.25</v>
      </c>
      <c r="E30" s="114">
        <f t="shared" si="3"/>
        <v>3.25</v>
      </c>
      <c r="F30" s="114">
        <f t="shared" si="4"/>
        <v>10.5625</v>
      </c>
      <c r="G30" s="152">
        <f t="shared" si="5"/>
        <v>0.03217821782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139">
        <v>16.0</v>
      </c>
      <c r="B31" s="140">
        <v>98.0</v>
      </c>
      <c r="C31" s="148">
        <f t="shared" si="1"/>
        <v>100</v>
      </c>
      <c r="D31" s="114">
        <f t="shared" si="2"/>
        <v>-2</v>
      </c>
      <c r="E31" s="114">
        <f t="shared" si="3"/>
        <v>2</v>
      </c>
      <c r="F31" s="114">
        <f t="shared" si="4"/>
        <v>4</v>
      </c>
      <c r="G31" s="152">
        <f t="shared" si="5"/>
        <v>0.02040816327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39">
        <v>17.0</v>
      </c>
      <c r="B32" s="140">
        <v>107.0</v>
      </c>
      <c r="C32" s="148">
        <f t="shared" si="1"/>
        <v>100.25</v>
      </c>
      <c r="D32" s="114">
        <f t="shared" si="2"/>
        <v>6.75</v>
      </c>
      <c r="E32" s="114">
        <f t="shared" si="3"/>
        <v>6.75</v>
      </c>
      <c r="F32" s="114">
        <f t="shared" si="4"/>
        <v>45.5625</v>
      </c>
      <c r="G32" s="152">
        <f t="shared" si="5"/>
        <v>0.06308411215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139">
        <v>18.0</v>
      </c>
      <c r="B33" s="140">
        <v>101.0</v>
      </c>
      <c r="C33" s="148">
        <f t="shared" si="1"/>
        <v>102.25</v>
      </c>
      <c r="D33" s="114">
        <f t="shared" si="2"/>
        <v>-1.25</v>
      </c>
      <c r="E33" s="114">
        <f t="shared" si="3"/>
        <v>1.25</v>
      </c>
      <c r="F33" s="114">
        <f t="shared" si="4"/>
        <v>1.5625</v>
      </c>
      <c r="G33" s="152">
        <f t="shared" si="5"/>
        <v>0.01237623762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139">
        <v>19.0</v>
      </c>
      <c r="B34" s="140">
        <v>99.0</v>
      </c>
      <c r="C34" s="148">
        <f t="shared" si="1"/>
        <v>101.75</v>
      </c>
      <c r="D34" s="114">
        <f t="shared" si="2"/>
        <v>-2.75</v>
      </c>
      <c r="E34" s="114">
        <f t="shared" si="3"/>
        <v>2.75</v>
      </c>
      <c r="F34" s="114">
        <f t="shared" si="4"/>
        <v>7.5625</v>
      </c>
      <c r="G34" s="152">
        <f t="shared" si="5"/>
        <v>0.02777777778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165">
        <v>20.0</v>
      </c>
      <c r="B35" s="167">
        <v>102.0</v>
      </c>
      <c r="C35" s="168">
        <f t="shared" si="1"/>
        <v>101.25</v>
      </c>
      <c r="D35" s="170">
        <f t="shared" si="2"/>
        <v>0.75</v>
      </c>
      <c r="E35" s="170">
        <f t="shared" si="3"/>
        <v>0.75</v>
      </c>
      <c r="F35" s="170">
        <f t="shared" si="4"/>
        <v>0.5625</v>
      </c>
      <c r="G35" s="174">
        <f t="shared" si="5"/>
        <v>0.007352941176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114"/>
      <c r="D36" s="6"/>
      <c r="E36" s="178">
        <f t="shared" ref="E36:G36" si="6">AVERAGE(E20:E35)</f>
        <v>6.34375</v>
      </c>
      <c r="F36" s="178">
        <f t="shared" si="6"/>
        <v>63.8046875</v>
      </c>
      <c r="G36" s="180">
        <f t="shared" si="6"/>
        <v>0.06002353183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39" t="s">
        <v>35</v>
      </c>
      <c r="E37" s="183" t="s">
        <v>32</v>
      </c>
      <c r="F37" s="183" t="s">
        <v>33</v>
      </c>
      <c r="G37" s="183" t="s">
        <v>34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39" t="s">
        <v>117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39" t="s">
        <v>90</v>
      </c>
      <c r="B17" s="39" t="s">
        <v>19</v>
      </c>
      <c r="C17" s="137" t="s">
        <v>141</v>
      </c>
      <c r="D17" s="138" t="s">
        <v>22</v>
      </c>
      <c r="E17" s="138" t="s">
        <v>103</v>
      </c>
      <c r="F17" s="138" t="s">
        <v>104</v>
      </c>
      <c r="G17" s="135" t="s">
        <v>105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39">
        <v>1.0</v>
      </c>
      <c r="B18" s="39">
        <v>100.0</v>
      </c>
      <c r="C18" s="130"/>
      <c r="D18" s="6"/>
      <c r="E18" s="6"/>
      <c r="F18" s="6"/>
      <c r="G18" s="142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39">
        <v>2.0</v>
      </c>
      <c r="B19" s="39">
        <v>104.0</v>
      </c>
      <c r="C19" s="130"/>
      <c r="D19" s="6"/>
      <c r="E19" s="6"/>
      <c r="F19" s="6"/>
      <c r="G19" s="142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39">
        <v>3.0</v>
      </c>
      <c r="B20" s="39">
        <v>100.0</v>
      </c>
      <c r="C20" s="130"/>
      <c r="D20" s="6"/>
      <c r="E20" s="6"/>
      <c r="F20" s="6"/>
      <c r="G20" s="142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39">
        <v>4.0</v>
      </c>
      <c r="B21" s="39">
        <v>99.0</v>
      </c>
      <c r="C21" s="130"/>
      <c r="D21" s="6"/>
      <c r="E21" s="114"/>
      <c r="F21" s="6"/>
      <c r="G21" s="142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39">
        <v>5.0</v>
      </c>
      <c r="B22" s="39">
        <v>95.0</v>
      </c>
      <c r="C22" s="201"/>
      <c r="G22" s="202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39">
        <v>6.0</v>
      </c>
      <c r="B23" s="39">
        <v>118.0</v>
      </c>
      <c r="C23" s="148">
        <f t="shared" ref="C23:C33" si="1">AVERAGE(B18:B22)</f>
        <v>99.6</v>
      </c>
      <c r="D23" s="114">
        <f t="shared" ref="D23:D32" si="2">B23-C23</f>
        <v>18.4</v>
      </c>
      <c r="E23" s="114">
        <f t="shared" ref="E23:E32" si="3">ABS(D23)</f>
        <v>18.4</v>
      </c>
      <c r="F23" s="114">
        <f t="shared" ref="F23:F32" si="4">D23*D23</f>
        <v>338.56</v>
      </c>
      <c r="G23" s="152">
        <f t="shared" ref="G23:G32" si="5">abs(C23/B23-1)</f>
        <v>0.1559322034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39">
        <v>7.0</v>
      </c>
      <c r="B24" s="39">
        <v>97.0</v>
      </c>
      <c r="C24" s="148">
        <f t="shared" si="1"/>
        <v>103.2</v>
      </c>
      <c r="D24" s="114">
        <f t="shared" si="2"/>
        <v>-6.2</v>
      </c>
      <c r="E24" s="114">
        <f t="shared" si="3"/>
        <v>6.2</v>
      </c>
      <c r="F24" s="114">
        <f t="shared" si="4"/>
        <v>38.44</v>
      </c>
      <c r="G24" s="152">
        <f t="shared" si="5"/>
        <v>0.06391752577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39">
        <v>8.0</v>
      </c>
      <c r="B25" s="39">
        <v>99.0</v>
      </c>
      <c r="C25" s="148">
        <f t="shared" si="1"/>
        <v>101.8</v>
      </c>
      <c r="D25" s="114">
        <f t="shared" si="2"/>
        <v>-2.8</v>
      </c>
      <c r="E25" s="114">
        <f t="shared" si="3"/>
        <v>2.8</v>
      </c>
      <c r="F25" s="114">
        <f t="shared" si="4"/>
        <v>7.84</v>
      </c>
      <c r="G25" s="152">
        <f t="shared" si="5"/>
        <v>0.02828282828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39">
        <v>9.0</v>
      </c>
      <c r="B26" s="39">
        <v>99.0</v>
      </c>
      <c r="C26" s="148">
        <f t="shared" si="1"/>
        <v>101.6</v>
      </c>
      <c r="D26" s="114">
        <f t="shared" si="2"/>
        <v>-2.6</v>
      </c>
      <c r="E26" s="114">
        <f t="shared" si="3"/>
        <v>2.6</v>
      </c>
      <c r="F26" s="114">
        <f t="shared" si="4"/>
        <v>6.76</v>
      </c>
      <c r="G26" s="152">
        <f t="shared" si="5"/>
        <v>0.02626262626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39">
        <v>10.0</v>
      </c>
      <c r="B27" s="39">
        <v>114.0</v>
      </c>
      <c r="C27" s="148">
        <f t="shared" si="1"/>
        <v>101.6</v>
      </c>
      <c r="D27" s="114">
        <f t="shared" si="2"/>
        <v>12.4</v>
      </c>
      <c r="E27" s="114">
        <f t="shared" si="3"/>
        <v>12.4</v>
      </c>
      <c r="F27" s="114">
        <f t="shared" si="4"/>
        <v>153.76</v>
      </c>
      <c r="G27" s="152">
        <f t="shared" si="5"/>
        <v>0.1087719298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39">
        <v>11.0</v>
      </c>
      <c r="B28" s="39">
        <v>95.0</v>
      </c>
      <c r="C28" s="148">
        <f t="shared" si="1"/>
        <v>105.4</v>
      </c>
      <c r="D28" s="114">
        <f t="shared" si="2"/>
        <v>-10.4</v>
      </c>
      <c r="E28" s="114">
        <f t="shared" si="3"/>
        <v>10.4</v>
      </c>
      <c r="F28" s="114">
        <f t="shared" si="4"/>
        <v>108.16</v>
      </c>
      <c r="G28" s="152">
        <f t="shared" si="5"/>
        <v>0.1094736842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39">
        <v>12.0</v>
      </c>
      <c r="B29" s="39">
        <v>97.0</v>
      </c>
      <c r="C29" s="148">
        <f t="shared" si="1"/>
        <v>100.8</v>
      </c>
      <c r="D29" s="114">
        <f t="shared" si="2"/>
        <v>-3.8</v>
      </c>
      <c r="E29" s="114">
        <f t="shared" si="3"/>
        <v>3.8</v>
      </c>
      <c r="F29" s="114">
        <f t="shared" si="4"/>
        <v>14.44</v>
      </c>
      <c r="G29" s="152">
        <f t="shared" si="5"/>
        <v>0.03917525773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39">
        <v>13.0</v>
      </c>
      <c r="B30" s="39">
        <v>3114.0</v>
      </c>
      <c r="C30" s="148">
        <f t="shared" si="1"/>
        <v>100.8</v>
      </c>
      <c r="D30" s="114">
        <f t="shared" si="2"/>
        <v>3013.2</v>
      </c>
      <c r="E30" s="114">
        <f t="shared" si="3"/>
        <v>3013.2</v>
      </c>
      <c r="F30" s="114">
        <f t="shared" si="4"/>
        <v>9079374.24</v>
      </c>
      <c r="G30" s="152">
        <f t="shared" si="5"/>
        <v>0.9676300578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39">
        <v>14.0</v>
      </c>
      <c r="B31" s="39">
        <v>2999.0</v>
      </c>
      <c r="C31" s="148">
        <f t="shared" si="1"/>
        <v>703.8</v>
      </c>
      <c r="D31" s="114">
        <f t="shared" si="2"/>
        <v>2295.2</v>
      </c>
      <c r="E31" s="114">
        <f t="shared" si="3"/>
        <v>2295.2</v>
      </c>
      <c r="F31" s="114">
        <f t="shared" si="4"/>
        <v>5267943.04</v>
      </c>
      <c r="G31" s="152">
        <f t="shared" si="5"/>
        <v>0.7653217739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39">
        <v>15.0</v>
      </c>
      <c r="B32" s="39">
        <v>2850.0</v>
      </c>
      <c r="C32" s="148">
        <f t="shared" si="1"/>
        <v>1283.8</v>
      </c>
      <c r="D32" s="114">
        <f t="shared" si="2"/>
        <v>1566.2</v>
      </c>
      <c r="E32" s="114">
        <f t="shared" si="3"/>
        <v>1566.2</v>
      </c>
      <c r="F32" s="114">
        <f t="shared" si="4"/>
        <v>2452982.44</v>
      </c>
      <c r="G32" s="152">
        <f t="shared" si="5"/>
        <v>0.5495438596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39">
        <v>16.0</v>
      </c>
      <c r="B33" s="6"/>
      <c r="C33" s="204">
        <f t="shared" si="1"/>
        <v>1831</v>
      </c>
      <c r="D33" s="6"/>
      <c r="E33" s="114"/>
      <c r="F33" s="114"/>
      <c r="G33" s="152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148"/>
      <c r="D34" s="6"/>
      <c r="E34" s="114"/>
      <c r="F34" s="114"/>
      <c r="G34" s="152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148"/>
      <c r="D35" s="6"/>
      <c r="E35" s="114"/>
      <c r="F35" s="114"/>
      <c r="G35" s="152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148"/>
      <c r="D36" s="6"/>
      <c r="E36" s="114"/>
      <c r="F36" s="114"/>
      <c r="G36" s="152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168"/>
      <c r="D37" s="205"/>
      <c r="E37" s="170"/>
      <c r="F37" s="170"/>
      <c r="G37" s="174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114"/>
      <c r="D38" s="6"/>
      <c r="E38" s="178">
        <f t="shared" ref="E38:G38" si="6">AVERAGE(E23:E37)</f>
        <v>693.12</v>
      </c>
      <c r="F38" s="178">
        <f t="shared" si="6"/>
        <v>1680096.768</v>
      </c>
      <c r="G38" s="180">
        <f t="shared" si="6"/>
        <v>0.2814311747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39" t="s">
        <v>35</v>
      </c>
      <c r="E39" s="183" t="s">
        <v>32</v>
      </c>
      <c r="F39" s="183" t="s">
        <v>33</v>
      </c>
      <c r="G39" s="183" t="s">
        <v>34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39" t="s">
        <v>156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33" t="s">
        <v>157</v>
      </c>
      <c r="B21" s="138" t="s">
        <v>27</v>
      </c>
      <c r="C21" s="138" t="s">
        <v>158</v>
      </c>
      <c r="D21" s="138" t="s">
        <v>159</v>
      </c>
      <c r="E21" s="138" t="s">
        <v>160</v>
      </c>
      <c r="F21" s="135" t="s">
        <v>161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39">
        <v>1.0</v>
      </c>
      <c r="B22" s="39">
        <v>1.0</v>
      </c>
      <c r="C22" s="39">
        <v>1.0</v>
      </c>
      <c r="D22" s="39">
        <v>4.8</v>
      </c>
      <c r="E22" s="39">
        <v>0.932</v>
      </c>
      <c r="F22" s="140">
        <v>5.15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39">
        <v>2.0</v>
      </c>
      <c r="B23" s="39">
        <v>1.0</v>
      </c>
      <c r="C23" s="39">
        <v>2.0</v>
      </c>
      <c r="D23" s="39">
        <v>4.1</v>
      </c>
      <c r="E23" s="39">
        <v>0.838</v>
      </c>
      <c r="F23" s="140">
        <v>4.89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139">
        <v>3.0</v>
      </c>
      <c r="B24" s="39">
        <v>1.0</v>
      </c>
      <c r="C24" s="39">
        <v>3.0</v>
      </c>
      <c r="D24" s="39">
        <v>6.0</v>
      </c>
      <c r="E24" s="39">
        <v>1.093</v>
      </c>
      <c r="F24" s="140">
        <v>5.49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139">
        <v>4.0</v>
      </c>
      <c r="B25" s="39">
        <v>1.0</v>
      </c>
      <c r="C25" s="39">
        <v>4.0</v>
      </c>
      <c r="D25" s="39">
        <v>6.5</v>
      </c>
      <c r="E25" s="39">
        <v>1.143</v>
      </c>
      <c r="F25" s="140">
        <v>5.69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39">
        <v>5.0</v>
      </c>
      <c r="B26" s="39">
        <v>2.0</v>
      </c>
      <c r="C26" s="39">
        <v>1.0</v>
      </c>
      <c r="D26" s="39">
        <v>5.8</v>
      </c>
      <c r="E26" s="39">
        <v>0.932</v>
      </c>
      <c r="F26" s="140">
        <v>6.22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39">
        <v>6.0</v>
      </c>
      <c r="B27" s="39">
        <v>2.0</v>
      </c>
      <c r="C27" s="39">
        <v>2.0</v>
      </c>
      <c r="D27" s="39">
        <v>5.2</v>
      </c>
      <c r="E27" s="39">
        <v>0.838</v>
      </c>
      <c r="F27" s="140">
        <v>6.21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139">
        <v>7.0</v>
      </c>
      <c r="B28" s="39">
        <v>2.0</v>
      </c>
      <c r="C28" s="39">
        <v>3.0</v>
      </c>
      <c r="D28" s="39">
        <v>6.8</v>
      </c>
      <c r="E28" s="39">
        <v>1.093</v>
      </c>
      <c r="F28" s="140">
        <v>6.22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139">
        <v>8.0</v>
      </c>
      <c r="B29" s="39">
        <v>2.0</v>
      </c>
      <c r="C29" s="39">
        <v>4.0</v>
      </c>
      <c r="D29" s="39">
        <v>7.4</v>
      </c>
      <c r="E29" s="39">
        <v>1.143</v>
      </c>
      <c r="F29" s="140">
        <v>6.47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139">
        <v>9.0</v>
      </c>
      <c r="B30" s="39">
        <v>3.0</v>
      </c>
      <c r="C30" s="39">
        <v>1.0</v>
      </c>
      <c r="D30" s="39">
        <v>6.0</v>
      </c>
      <c r="E30" s="39">
        <v>0.932</v>
      </c>
      <c r="F30" s="140">
        <v>6.44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139">
        <v>10.0</v>
      </c>
      <c r="B31" s="39">
        <v>3.0</v>
      </c>
      <c r="C31" s="39">
        <v>2.0</v>
      </c>
      <c r="D31" s="39">
        <v>5.6</v>
      </c>
      <c r="E31" s="39">
        <v>0.838</v>
      </c>
      <c r="F31" s="140">
        <v>6.68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39">
        <v>11.0</v>
      </c>
      <c r="B32" s="39">
        <v>3.0</v>
      </c>
      <c r="C32" s="39">
        <v>3.0</v>
      </c>
      <c r="D32" s="39">
        <v>7.5</v>
      </c>
      <c r="E32" s="39">
        <v>1.093</v>
      </c>
      <c r="F32" s="140">
        <v>6.86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139">
        <v>12.0</v>
      </c>
      <c r="B33" s="39">
        <v>3.0</v>
      </c>
      <c r="C33" s="39">
        <v>4.0</v>
      </c>
      <c r="D33" s="39">
        <v>7.8</v>
      </c>
      <c r="E33" s="39">
        <v>1.143</v>
      </c>
      <c r="F33" s="140">
        <v>6.82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139">
        <v>13.0</v>
      </c>
      <c r="B34" s="39">
        <v>4.0</v>
      </c>
      <c r="C34" s="39">
        <v>1.0</v>
      </c>
      <c r="D34" s="39">
        <v>6.3</v>
      </c>
      <c r="E34" s="39">
        <v>0.932</v>
      </c>
      <c r="F34" s="140">
        <v>6.76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139">
        <v>14.0</v>
      </c>
      <c r="B35" s="39">
        <v>4.0</v>
      </c>
      <c r="C35" s="39">
        <v>2.0</v>
      </c>
      <c r="D35" s="39">
        <v>5.9</v>
      </c>
      <c r="E35" s="39">
        <v>0.838</v>
      </c>
      <c r="F35" s="140">
        <v>7.04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139">
        <v>15.0</v>
      </c>
      <c r="B36" s="39">
        <v>4.0</v>
      </c>
      <c r="C36" s="39">
        <v>3.0</v>
      </c>
      <c r="D36" s="39">
        <v>8.0</v>
      </c>
      <c r="E36" s="39">
        <v>1.093</v>
      </c>
      <c r="F36" s="140">
        <v>7.32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165">
        <v>16.0</v>
      </c>
      <c r="B37" s="206">
        <v>4.0</v>
      </c>
      <c r="C37" s="206">
        <v>4.0</v>
      </c>
      <c r="D37" s="206">
        <v>8.4</v>
      </c>
      <c r="E37" s="206">
        <v>1.143</v>
      </c>
      <c r="F37" s="167">
        <v>7.35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39" t="s">
        <v>162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39" t="s">
        <v>163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39" t="s">
        <v>164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39" t="s">
        <v>165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7" t="s">
        <v>158</v>
      </c>
      <c r="B48" s="7" t="s">
        <v>166</v>
      </c>
      <c r="C48" s="7" t="s">
        <v>167</v>
      </c>
      <c r="D48" s="7" t="s">
        <v>168</v>
      </c>
      <c r="E48" s="7" t="s">
        <v>169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39">
        <v>17.0</v>
      </c>
      <c r="B49" s="39">
        <v>1.0</v>
      </c>
      <c r="C49" s="6">
        <f t="shared" ref="C49:C51" si="1">5.1+0.147*A49</f>
        <v>7.599</v>
      </c>
      <c r="D49" s="6">
        <f>E22</f>
        <v>0.932</v>
      </c>
      <c r="E49" s="178">
        <f t="shared" ref="E49:E51" si="2">C49*D49</f>
        <v>7.082268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39">
        <v>19.0</v>
      </c>
      <c r="B50" s="39">
        <v>3.0</v>
      </c>
      <c r="C50" s="6">
        <f t="shared" si="1"/>
        <v>7.893</v>
      </c>
      <c r="D50" s="6">
        <f>E24</f>
        <v>1.093</v>
      </c>
      <c r="E50" s="178">
        <f t="shared" si="2"/>
        <v>8.627049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39">
        <v>21.0</v>
      </c>
      <c r="B51" s="39">
        <v>1.0</v>
      </c>
      <c r="C51" s="6">
        <f t="shared" si="1"/>
        <v>8.187</v>
      </c>
      <c r="D51" s="6">
        <f>E22</f>
        <v>0.932</v>
      </c>
      <c r="E51" s="178">
        <f t="shared" si="2"/>
        <v>7.630284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</cols>
  <sheetData>
    <row r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7" t="s">
        <v>170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39" t="s">
        <v>171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7" t="s">
        <v>172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39" t="s">
        <v>173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7" t="s">
        <v>174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207" t="s">
        <v>175</v>
      </c>
      <c r="B25" s="208">
        <f>SQRT(0.832)</f>
        <v>0.9121403401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39" t="s">
        <v>176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209" t="s">
        <v>177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39" t="s">
        <v>178</v>
      </c>
      <c r="B30" s="39">
        <v>1505.333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39" t="s">
        <v>179</v>
      </c>
      <c r="B31" s="149">
        <f>(B30-23.01)/1.93</f>
        <v>768.0430052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39" t="s">
        <v>180</v>
      </c>
      <c r="B32" s="39">
        <v>768.0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