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 Capacidades x hora - turno" sheetId="1" r:id="rId4"/>
    <sheet state="visible" name="1. Resumen Ejecutivo" sheetId="2" r:id="rId5"/>
    <sheet state="visible" name="2. PCP - Programa &amp; Lotes" sheetId="3" r:id="rId6"/>
    <sheet state="visible" name="3. Cuantificación Frecuencias" sheetId="4" r:id="rId7"/>
    <sheet state="visible" name="4. Dimensionamiento Stocks" sheetId="5" r:id="rId8"/>
    <sheet state="visible" name="5. Desde-Hasta (Viajes)" sheetId="6" r:id="rId9"/>
    <sheet state="visible" name="6. Desde-Hasta (Flujo Masa)" sheetId="7" r:id="rId10"/>
    <sheet state="visible" name="7. Carga-Distancia &amp; Horas" sheetId="8" r:id="rId11"/>
    <sheet state="visible" name="8. Carga REL" sheetId="9" r:id="rId12"/>
    <sheet state="visible" name="9. Diagrama REL" sheetId="10" r:id="rId13"/>
    <sheet state="visible" name="Superficies" sheetId="11" r:id="rId14"/>
    <sheet state="visible" name="Optimización" sheetId="12" r:id="rId15"/>
  </sheets>
  <definedNames/>
  <calcPr/>
  <extLst>
    <ext uri="GoogleSheetsCustomDataVersion2">
      <go:sheetsCustomData xmlns:go="http://customooxmlschemas.google.com/" r:id="rId16" roundtripDataChecksum="/T0OJ46ai0myK4viuQghariU9PwH6BG1gUcjCsgoH6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======
ID#AAACG61eYug
JoaquÍn Carrizo    (2026-09-05 03:37:46)
de donde salian los 300kg?</t>
      </text>
    </comment>
    <comment authorId="0" ref="H19">
      <text>
        <t xml:space="preserve">======
ID#AAACG61eYuc
Mateo AlbarracÍn    (2026-09-01 00:31:48)
Ponderado x % panes</t>
      </text>
    </comment>
    <comment authorId="0" ref="H17">
      <text>
        <t xml:space="preserve">======
ID#AAACG61eYuk
Mateo AlbarracÍn    (2026-09-01 00:31:48)
Ponderado x % panes</t>
      </text>
    </comment>
  </commentList>
  <extLst>
    <ext uri="GoogleSheetsCustomDataVersion2">
      <go:sheetsCustomData xmlns:go="http://customooxmlschemas.google.com/" r:id="rId1" roundtripDataSignature="AMtx7miyXLbvnXbrlL+z+w+3VpJ6eZk+O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======
ID#AAACG61eYuw
JoaquÍn Carrizo    (2026-09-05 03:37:46)
de donde salian los 300kg?</t>
      </text>
    </comment>
    <comment authorId="0" ref="G15">
      <text>
        <t xml:space="preserve">======
ID#AAACG61eYuo
Mateo AlbarracÍn    (2026-09-01 00:31:48)
Ponderado x % panes</t>
      </text>
    </comment>
    <comment authorId="0" ref="G13">
      <text>
        <t xml:space="preserve">======
ID#AAACG61eYus
Mateo AlbarracÍn    (2026-09-01 00:31:48)
Ponderado x % panes</t>
      </text>
    </comment>
  </commentList>
  <extLst>
    <ext uri="GoogleSheetsCustomDataVersion2">
      <go:sheetsCustomData xmlns:go="http://customooxmlschemas.google.com/" r:id="rId1" roundtripDataSignature="AMtx7mju/VY83xyewjpvSNLSBTVtyYtr0A=="/>
    </ext>
  </extLst>
</comments>
</file>

<file path=xl/sharedStrings.xml><?xml version="1.0" encoding="utf-8"?>
<sst xmlns="http://schemas.openxmlformats.org/spreadsheetml/2006/main" count="1947" uniqueCount="746">
  <si>
    <t>NECESIDAD ANUAL MP</t>
  </si>
  <si>
    <t>PLANTA DE ALIMENTOS LIBRES DE GLUTEN (CELI)</t>
  </si>
  <si>
    <t>PLANEAMIENTO Y CONTROL DE PRODUCCIÓN (PCP) - AÑO 10 (HOJA MAESTRA)</t>
  </si>
  <si>
    <t>Sección Operativa</t>
  </si>
  <si>
    <t>Proyecto Final de Ingeniería Industrial - UTN FRBA | Articulación Dinámica PCP vs. Layout</t>
  </si>
  <si>
    <t>Alimentación</t>
  </si>
  <si>
    <t>Desglose por SKU, Programa Maestro (MPS), Batches de Producción y Régimen de Turnos</t>
  </si>
  <si>
    <t>Agregado</t>
  </si>
  <si>
    <t>Desperdicios</t>
  </si>
  <si>
    <t>REFERENCIA DE FORMATO:</t>
  </si>
  <si>
    <t>Parámetro Configurable (Modificable)</t>
  </si>
  <si>
    <t>Producción</t>
  </si>
  <si>
    <t>Fórmula Automática / Vinculada</t>
  </si>
  <si>
    <t>1. DESGLOSE DE PRODUCCIÓN POR PRODUCTO (MIX DE VENTAS AÑO 10)</t>
  </si>
  <si>
    <t>1. OBJETIVO DEL ESTUDIO TÉCNICO-LOGÍSTICO</t>
  </si>
  <si>
    <t>CUANTIFICACIÓN FINA DE FRECUENCIAS, VELOCIDADES Y TIEMPOS DE TRASLADO</t>
  </si>
  <si>
    <t>Desglose Operativo por Tramo, Medios de Manutención, Peso, Velocidad y Horas de Transporte por Turno</t>
  </si>
  <si>
    <t>Capacidad kg/ciclo</t>
  </si>
  <si>
    <t>Ciclos /turno</t>
  </si>
  <si>
    <t>Capacidad real (kg/h)</t>
  </si>
  <si>
    <t>N° Tramo</t>
  </si>
  <si>
    <t>Hs activas/turno</t>
  </si>
  <si>
    <t>Origen</t>
  </si>
  <si>
    <t>Destino</t>
  </si>
  <si>
    <t>Material / Carga Transportada</t>
  </si>
  <si>
    <t>Medio de Transporte</t>
  </si>
  <si>
    <t>Peso por Viaje (kg)</t>
  </si>
  <si>
    <t>Frecuencia f (viajes/turno)</t>
  </si>
  <si>
    <t>Flujo Masa (kg/turno)</t>
  </si>
  <si>
    <t>Distancia d (m)</t>
  </si>
  <si>
    <t>Velocidad v (m/min)</t>
  </si>
  <si>
    <t>Tiempo Maniobra (min)</t>
  </si>
  <si>
    <t>Tiempo por Ciclo (min)</t>
  </si>
  <si>
    <t>Horas Traslado (hs/turno)</t>
  </si>
  <si>
    <t>Esfuerzo Carga-Dist (kg·m/turno)</t>
  </si>
  <si>
    <t>Ponderación flujo másico</t>
  </si>
  <si>
    <t>Intensidad masa</t>
  </si>
  <si>
    <t>Intensidad frecuencia</t>
  </si>
  <si>
    <t>TR-01</t>
  </si>
  <si>
    <t>Recuperable</t>
  </si>
  <si>
    <t>1. Depósito MP</t>
  </si>
  <si>
    <t>El presente modelo articula los datos maestros de Planeamiento y Control de la Producción (PCP), balance de masa (BOM) y dimensionamiento de equipos al Año 10 con la distribución en planta (Layout).</t>
  </si>
  <si>
    <t>No recuperable</t>
  </si>
  <si>
    <t>2. Aduana MP</t>
  </si>
  <si>
    <t>Bolsas harinas, féculas, azúcar, aditivos</t>
  </si>
  <si>
    <t>Todas las hojas se encuentran 100% vinculadas dinámicamente: cualquier modificación en la demanda, baches o rendimientos del PCP impacta de forma automática en los stocks, frecuencias y horas de traslado del layout.</t>
  </si>
  <si>
    <t>Zorra hidráulica HELI BF25</t>
  </si>
  <si>
    <t>2. INDICADORES MAESTROS DE PLANTA (VINCULADOS AL PCP Y LAYOUT)</t>
  </si>
  <si>
    <t>Línea</t>
  </si>
  <si>
    <t>PRODUCCIÓN TOTAL AÑO 10</t>
  </si>
  <si>
    <t>Amasado</t>
  </si>
  <si>
    <t>Cód.</t>
  </si>
  <si>
    <t>Denominación del Producto</t>
  </si>
  <si>
    <t>Present.</t>
  </si>
  <si>
    <t>PT Anual (kg)</t>
  </si>
  <si>
    <t>RÉGIMEN OPERATIVO</t>
  </si>
  <si>
    <t>% Mix</t>
  </si>
  <si>
    <t>PT Mensual (kg)</t>
  </si>
  <si>
    <t>PT Diario (kg)</t>
  </si>
  <si>
    <t>PT Turno (kg)</t>
  </si>
  <si>
    <t>SALIDA POR TURNO</t>
  </si>
  <si>
    <t>Cajas / Turno</t>
  </si>
  <si>
    <t>Pallets / Sem</t>
  </si>
  <si>
    <t>Frecuencia / Campaña</t>
  </si>
  <si>
    <t>Línea A - Galletitas</t>
  </si>
  <si>
    <t>A001</t>
  </si>
  <si>
    <t>-</t>
  </si>
  <si>
    <t>239 días / 3 turnos</t>
  </si>
  <si>
    <t>Chocolate con chips picante</t>
  </si>
  <si>
    <t>150g</t>
  </si>
  <si>
    <t>kg PT / año | Línea A: Galletitas | Línea B: Panificados</t>
  </si>
  <si>
    <t>5.736 hs activas/año (15 turnos/sem)</t>
  </si>
  <si>
    <t>kg PT / turno | Promedio ponderado total planta</t>
  </si>
  <si>
    <t>Moldeado</t>
  </si>
  <si>
    <t>PALLETS A EXPEDICIÓN</t>
  </si>
  <si>
    <t>POLÍTICA DE STOCK PT</t>
  </si>
  <si>
    <t>HORAS TRASLADO / TURNO</t>
  </si>
  <si>
    <t>pallets / semana | Galletitas: 30 pal/sem | Panif: 10 pal/sem</t>
  </si>
  <si>
    <t>Horneado</t>
  </si>
  <si>
    <t>días hábiles | Capacidad: 160 posiciones de rack</t>
  </si>
  <si>
    <t>hs / turno | Tiempo total en movimientos internos</t>
  </si>
  <si>
    <t>Alta</t>
  </si>
  <si>
    <t>Enfriado</t>
  </si>
  <si>
    <t>Media</t>
  </si>
  <si>
    <t>A</t>
  </si>
  <si>
    <t>3. METODOLOGÍA DE ARTICULACIÓN DINÁMICA ENTRE HOJAS</t>
  </si>
  <si>
    <t>Campaña quincenal (8-9 turnos/mes)</t>
  </si>
  <si>
    <t>bolsas</t>
  </si>
  <si>
    <t>TR-02</t>
  </si>
  <si>
    <t>Etapa Metodológica</t>
  </si>
  <si>
    <t>A002</t>
  </si>
  <si>
    <t>Descripción y Justificación Técnica</t>
  </si>
  <si>
    <t>Solapa de Referencia</t>
  </si>
  <si>
    <t>Galletitas símil chocolinas free</t>
  </si>
  <si>
    <t>Fraccionado</t>
  </si>
  <si>
    <t>2. Sección Pesado</t>
  </si>
  <si>
    <t>PASO 1: PCP MAESTRO (ENTRADA)</t>
  </si>
  <si>
    <t>Cálculo de turnos por SKU, batches por hora y masa a preparar según rendimientos del BOM.</t>
  </si>
  <si>
    <t>Solapa: 2. PCP - Programa &amp; Lotes</t>
  </si>
  <si>
    <t>PASO 2: CUANTIFICACIÓN DE FRECUENCIAS</t>
  </si>
  <si>
    <t>Envasado primario</t>
  </si>
  <si>
    <t>Análisis detallado tramo por tramo (pesos, velocidades, tiempos de maniobra y cálculo dinámico de horas).</t>
  </si>
  <si>
    <t>Solapa: 3. Cuantificación Frecuencias</t>
  </si>
  <si>
    <t>PASO 3: DIMENSIONAMIENTO DE STOCKS</t>
  </si>
  <si>
    <t>Cálculo automático de posiciones de racks PT (160 pal), MP (52 pal) y pulmones WIP alimentado por el PCP.</t>
  </si>
  <si>
    <t>Solapa: 4. Dimensionamiento Stocks</t>
  </si>
  <si>
    <t>PASO 4: MATRIZ DESDE-HASTA (VIAJES Y MASA)</t>
  </si>
  <si>
    <t>Matrices 18x18 con nombres de sectores en horizontal vinculadas a la solapa de cuantificación de frecuencias.</t>
  </si>
  <si>
    <t>Solapas: 5. Desde-Hasta (Viajes) / 6. (Masa)</t>
  </si>
  <si>
    <t>TR-03</t>
  </si>
  <si>
    <t>3. Amasado G</t>
  </si>
  <si>
    <t>PASO 5: EVALUACIÓN Y OPTIMIZACIÓN CAD</t>
  </si>
  <si>
    <t>Insumos pesados fraccionados para amasadora</t>
  </si>
  <si>
    <t>Campaña quincenal (1-2 turnos/mes)</t>
  </si>
  <si>
    <t>Cálculo del Momento de Transporte Ponderado (M = fij * dij y M_peso = fij * dij * peso) cruzando distancias CAD.</t>
  </si>
  <si>
    <t>Solapa: 7. Carga-Distancia &amp; Horas</t>
  </si>
  <si>
    <t>Envasado secundario</t>
  </si>
  <si>
    <t>Tachos / Contenedores rodantes</t>
  </si>
  <si>
    <t>Paletizado</t>
  </si>
  <si>
    <t>A003</t>
  </si>
  <si>
    <t>Galletitas símil chocolinas</t>
  </si>
  <si>
    <t>TOTALES</t>
  </si>
  <si>
    <t>Campaña quincenal (2-3 turnos/mes)</t>
  </si>
  <si>
    <t>A004</t>
  </si>
  <si>
    <t>Pepas chocolate y batata</t>
  </si>
  <si>
    <t>Campaña quincenal (8 turnos/mes)</t>
  </si>
  <si>
    <t>A005</t>
  </si>
  <si>
    <t>Bizcochos sabor queso free</t>
  </si>
  <si>
    <t>A006</t>
  </si>
  <si>
    <t>Bizcochos sabor queso</t>
  </si>
  <si>
    <t>E</t>
  </si>
  <si>
    <t>Desperdicio total</t>
  </si>
  <si>
    <t>Desvios</t>
  </si>
  <si>
    <t>TR-04</t>
  </si>
  <si>
    <t>4. Moldeado G</t>
  </si>
  <si>
    <t>Desperdicio no recuperable</t>
  </si>
  <si>
    <t>Amasijo volcado de amasadora a tolva</t>
  </si>
  <si>
    <t>Batea rodante volcable</t>
  </si>
  <si>
    <t>A007</t>
  </si>
  <si>
    <t>Polvorones free</t>
  </si>
  <si>
    <t>Linea B - Panificados</t>
  </si>
  <si>
    <t>TR-05</t>
  </si>
  <si>
    <t>5. Horno Túnel G</t>
  </si>
  <si>
    <t>Galletitas crudas formadas</t>
  </si>
  <si>
    <t>Cinta transportadora continua [C]</t>
  </si>
  <si>
    <t>N/A</t>
  </si>
  <si>
    <t>Campaña quincenal (2 turnos/mes)</t>
  </si>
  <si>
    <t>TR-06</t>
  </si>
  <si>
    <t>6. Cinta Enfriado G</t>
  </si>
  <si>
    <t>Galletitas cocidas calientes</t>
  </si>
  <si>
    <t>A008</t>
  </si>
  <si>
    <t>TR-07</t>
  </si>
  <si>
    <t>Capacidad/ciclo</t>
  </si>
  <si>
    <t>Polvorones</t>
  </si>
  <si>
    <t>7. Envasado 1° G</t>
  </si>
  <si>
    <t>Galletitas a temperatura ambiente</t>
  </si>
  <si>
    <t>Cinta inclinada de alimentación [C]</t>
  </si>
  <si>
    <t>TR-08</t>
  </si>
  <si>
    <t>17. Depósito PT</t>
  </si>
  <si>
    <t>Pallet Arlog conformado con 105 cajas</t>
  </si>
  <si>
    <t>Campaña quincenal (4-5 turnos/mes)</t>
  </si>
  <si>
    <t>Línea B - Panificados</t>
  </si>
  <si>
    <t>B001</t>
  </si>
  <si>
    <t>Baja</t>
  </si>
  <si>
    <t>I</t>
  </si>
  <si>
    <t>Pan de molde</t>
  </si>
  <si>
    <t>400g</t>
  </si>
  <si>
    <t>TR-09</t>
  </si>
  <si>
    <t>9. Batido Panif.</t>
  </si>
  <si>
    <t>Premezclas, huevo, aceite fraccionados</t>
  </si>
  <si>
    <t>Batido</t>
  </si>
  <si>
    <t>TR-10</t>
  </si>
  <si>
    <t>10. Dosificado P.</t>
  </si>
  <si>
    <t>Batido homogéneo volcado a tolva</t>
  </si>
  <si>
    <t>TR-11</t>
  </si>
  <si>
    <t>11. Fermentado P.</t>
  </si>
  <si>
    <t>Carros porta-bandejas con moldes (Pan)</t>
  </si>
  <si>
    <t>Carro con 15 bandejas (45x70)</t>
  </si>
  <si>
    <t>Lunes y Miércoles (TM, TT, TN)</t>
  </si>
  <si>
    <t>Dosificado</t>
  </si>
  <si>
    <t>TR-12</t>
  </si>
  <si>
    <t>B002</t>
  </si>
  <si>
    <t>12. Hornos Rotat. P.</t>
  </si>
  <si>
    <t>Budines vainilla / cítricos</t>
  </si>
  <si>
    <t>180g</t>
  </si>
  <si>
    <t>TR-13</t>
  </si>
  <si>
    <t>Carros leudados hacia hornos Pauna SIGMA</t>
  </si>
  <si>
    <t>Fermentado</t>
  </si>
  <si>
    <t>TR-14</t>
  </si>
  <si>
    <t>13. Enfriado P.</t>
  </si>
  <si>
    <t>Carros calientes a 180°C saliendo de cocción</t>
  </si>
  <si>
    <t>Martes, Jueves y Viernes</t>
  </si>
  <si>
    <t>B003</t>
  </si>
  <si>
    <t>TR-15</t>
  </si>
  <si>
    <t>Budines chocolate free</t>
  </si>
  <si>
    <t>15. Envasado 1° P.</t>
  </si>
  <si>
    <t>Bandejas frías hacia rebanadora y Flow-Pack</t>
  </si>
  <si>
    <t>Manual / Carro porta-bandejas</t>
  </si>
  <si>
    <t>Jueves y Viernes</t>
  </si>
  <si>
    <t>TOTAL GENERAL PLANTA CELI</t>
  </si>
  <si>
    <t>TR-16</t>
  </si>
  <si>
    <t>Pallet terminado enfardado con cajas</t>
  </si>
  <si>
    <t>TR-17</t>
  </si>
  <si>
    <t>Desechos recuperables</t>
  </si>
  <si>
    <t>Tachos de reproceso</t>
  </si>
  <si>
    <t>Desmolde</t>
  </si>
  <si>
    <t>O</t>
  </si>
  <si>
    <t>TR-18</t>
  </si>
  <si>
    <t>TR-19</t>
  </si>
  <si>
    <t>18. Lavado / Scrap</t>
  </si>
  <si>
    <t>Desechos no recuperables y limpieza</t>
  </si>
  <si>
    <t>TR-20</t>
  </si>
  <si>
    <t>40 pallets / semana a régimen</t>
  </si>
  <si>
    <t>TR-21</t>
  </si>
  <si>
    <t>Contenedor de residuos</t>
  </si>
  <si>
    <t>2. PARÁMETROS OPERATIVOS DE PROCESO Y TAMAÑOS DE BATCH</t>
  </si>
  <si>
    <t>TR-22</t>
  </si>
  <si>
    <t>Calidad crudo</t>
  </si>
  <si>
    <t>Una muestra por batido</t>
  </si>
  <si>
    <t>Probeta</t>
  </si>
  <si>
    <t>Parámetro Técnico / Operativo</t>
  </si>
  <si>
    <t>Unidad</t>
  </si>
  <si>
    <t>Impacto en el Layout / Manejo de Materiales</t>
  </si>
  <si>
    <t>Salida PT Neta por Turno (kg)</t>
  </si>
  <si>
    <t>TR-23</t>
  </si>
  <si>
    <t>Una muestra por amasado</t>
  </si>
  <si>
    <t>TR-24</t>
  </si>
  <si>
    <t>Calidad cocido</t>
  </si>
  <si>
    <t>Una muestra cada media hora</t>
  </si>
  <si>
    <t>TR-25</t>
  </si>
  <si>
    <t>kg PT / turno</t>
  </si>
  <si>
    <t>BATIDORA PLANETARIA</t>
  </si>
  <si>
    <t>Salida neta de producto terminado de cada línea</t>
  </si>
  <si>
    <t>TR-26</t>
  </si>
  <si>
    <t>TOTALES DE PLANTA</t>
  </si>
  <si>
    <t>Rendimiento Global de Proceso (%)</t>
  </si>
  <si>
    <t>% masa a PT</t>
  </si>
  <si>
    <t>Pérdidas de humedad, cocción y mermas (BOM)</t>
  </si>
  <si>
    <t>Masa total a preparar por turno</t>
  </si>
  <si>
    <t>AMASADORA</t>
  </si>
  <si>
    <t>kg masa / turno</t>
  </si>
  <si>
    <t>Flujo que ingresa a Pesado y Amasado/Batido</t>
  </si>
  <si>
    <t>Capacidad unitaria de máquina (Batea x6)</t>
  </si>
  <si>
    <t>RESUMEN DE RECURSOS DE MANEJO DE MATERIALES</t>
  </si>
  <si>
    <t>Horas totales de traslado y manipulación por turno</t>
  </si>
  <si>
    <t>kg / batch</t>
  </si>
  <si>
    <t>Amasadora HJ25B (25kg) vs. Batidora Moretti (45kg)</t>
  </si>
  <si>
    <t>hs / turno</t>
  </si>
  <si>
    <t>Tiempo total que demandan los movimientos internos en cada turno de 8h</t>
  </si>
  <si>
    <t>Cantidad de Batches por Turno</t>
  </si>
  <si>
    <t>Equivalente en Jornadas de Operario de Manutención</t>
  </si>
  <si>
    <t>operarios equiv. / turno</t>
  </si>
  <si>
    <t>Cantidad de operarios a tiempo completo dedicados al transporte interno</t>
  </si>
  <si>
    <t>CAPACIDAD</t>
  </si>
  <si>
    <t>Esfuerzo Total Carga-Distancia Ponderado por Masa</t>
  </si>
  <si>
    <t>kg · m / turno</t>
  </si>
  <si>
    <t>Indicador global de esfuerzo logístico interno (a minimizar en CAD)</t>
  </si>
  <si>
    <t>Capacidad máxima (kg)</t>
  </si>
  <si>
    <t>tandas / turno</t>
  </si>
  <si>
    <t>Define los viajes Pesado &lt;-&gt; Amasado en Desde-Hasta</t>
  </si>
  <si>
    <t>Capacidad de la Unidad Intermedia</t>
  </si>
  <si>
    <t>Tiempo batido prom (h)</t>
  </si>
  <si>
    <t>Tiempo amasado prom (h)</t>
  </si>
  <si>
    <t>Capacidad teórica (kg/h)</t>
  </si>
  <si>
    <t>kg / unidad</t>
  </si>
  <si>
    <t>Batea volcable (25kg) vs. Carro 15 bandejas (40,5kg)</t>
  </si>
  <si>
    <t>Carros / Bateas por Turno en Proceso</t>
  </si>
  <si>
    <t>Linea A - Galletitas</t>
  </si>
  <si>
    <t>CAPACIDAD REAL</t>
  </si>
  <si>
    <t>Horas activas/año</t>
  </si>
  <si>
    <t>unid. rodantes / turno</t>
  </si>
  <si>
    <t>Tráfico pesado en hornos, fermentador y enfriamiento</t>
  </si>
  <si>
    <t>Capacidad teórica/año</t>
  </si>
  <si>
    <t>Rendimiento operativo</t>
  </si>
  <si>
    <t>Capacidad real/año</t>
  </si>
  <si>
    <t>Tiempo de Residencia en Enfriado</t>
  </si>
  <si>
    <t>minutos</t>
  </si>
  <si>
    <t>Exige pulmón estático de 4 carros en Panificados</t>
  </si>
  <si>
    <t>Salida de Cajas Secundarias</t>
  </si>
  <si>
    <t>Envasado</t>
  </si>
  <si>
    <t>cajas / turno</t>
  </si>
  <si>
    <t>Flujo hacia mesa de encajonado manual</t>
  </si>
  <si>
    <t>Generación de Pallets PT</t>
  </si>
  <si>
    <t>pallets / turno</t>
  </si>
  <si>
    <t>Traslado con zorra hidráulica a depósito PT</t>
  </si>
  <si>
    <t>VERSION 2 PARA DESDE/HASTA</t>
  </si>
  <si>
    <t>DIMENSIONAMIENTO DE ALMACENES Y STOCKS (PCP -&gt; LAYOUT)</t>
  </si>
  <si>
    <t>Cálculo de Posiciones de Racks, Superficies de Depósitos (MP y PT) y Pulmones Intermedios (WIP)</t>
  </si>
  <si>
    <t>Parámetro de Dimensionamiento</t>
  </si>
  <si>
    <t>Valor / Fórmula</t>
  </si>
  <si>
    <t>Criterio Técnico / Normativa</t>
  </si>
  <si>
    <t>Salida semanal de Galletitas (PT)</t>
  </si>
  <si>
    <t>pallets / sem</t>
  </si>
  <si>
    <t>Vinculado a PCP: Pallets/turno Galletitas * 15 turnos</t>
  </si>
  <si>
    <t>Salida semanal de Panificados (PT)</t>
  </si>
  <si>
    <t>Vinculado a PCP: Pallets/turno Panificados * 15 turnos</t>
  </si>
  <si>
    <t>Total de Pallets generados por semana</t>
  </si>
  <si>
    <t>Flujo total a absorber por el depósito PT</t>
  </si>
  <si>
    <t>Política de Cobertura de Stock PT</t>
  </si>
  <si>
    <t>días hábiles</t>
  </si>
  <si>
    <t>Equivale a 2 semanas de producción a régimen (Fundamentado por SLA 98% y ciclo)</t>
  </si>
  <si>
    <t>Capacidad de Almacenamiento Requerida (PT)</t>
  </si>
  <si>
    <t>posiciones pallet</t>
  </si>
  <si>
    <t>Stock Máximo = Pallets/sem * Semanas de cobertura</t>
  </si>
  <si>
    <t>Tipo de Pallet Normalizado</t>
  </si>
  <si>
    <t>Arlog (1.200 x 1.000 mm)</t>
  </si>
  <si>
    <t>Altura máxima con carga estibada: 1,85 m</t>
  </si>
  <si>
    <t>Configuración de Estanterías</t>
  </si>
  <si>
    <t>Racks Selectivos pesados</t>
  </si>
  <si>
    <t>3 niveles de altura (2 pallets por módulo de 2,70 m)</t>
  </si>
  <si>
    <t>Nuevas bateas en carros</t>
  </si>
  <si>
    <t>Niveles de Estiba en Racks</t>
  </si>
  <si>
    <t>niveles</t>
  </si>
  <si>
    <t>Altura de rack útil: aprox. 6,00 m</t>
  </si>
  <si>
    <t>Nuevas bateas con ruedas</t>
  </si>
  <si>
    <t>Cantidad de Módulos de Racks en Planta</t>
  </si>
  <si>
    <t>módulos dobles</t>
  </si>
  <si>
    <t>Cada módulo doble aloja 6 pallets (3 niveles x 2 pallets)</t>
  </si>
  <si>
    <t>Superficie Estática de Racks (Ss)</t>
  </si>
  <si>
    <t>m²</t>
  </si>
  <si>
    <t>Huella de las estructuras de almacenamiento</t>
  </si>
  <si>
    <t>Ancho de Pasillo para Autoelevador</t>
  </si>
  <si>
    <t>metros</t>
  </si>
  <si>
    <t>Radio de giro y maniobra autoelevador eléctrico HELI ORME-CMM-16</t>
  </si>
  <si>
    <t>Área de Maniobra y Pasillos (Sg + Se)</t>
  </si>
  <si>
    <t>Redondeo al inmediato superior</t>
  </si>
  <si>
    <t>Espacio para circulación y carga/descarga segura</t>
  </si>
  <si>
    <t>Área de Enfilmado, Picking y Dársena</t>
  </si>
  <si>
    <t>Plato giratorio stretch + pulmón de precarga a camión</t>
  </si>
  <si>
    <t>SUPERFICIE TOTAL REQUERIDA DEPÓSITO PT</t>
  </si>
  <si>
    <t>Dimensión mínima a verificar en el archivo CAD</t>
  </si>
  <si>
    <t>Consumo semanal de MP (Galletitas)</t>
  </si>
  <si>
    <t>kg / sem</t>
  </si>
  <si>
    <t>Vinculado a PCP: Masa/turno Galletitas * 15 turnos</t>
  </si>
  <si>
    <t>Consumo semanal de MP (Panificados)</t>
  </si>
  <si>
    <t>Vinculado a PCP: Masa/turno Panificados * 15 turnos</t>
  </si>
  <si>
    <t>Consumo total semanal de Materias Primas</t>
  </si>
  <si>
    <t>Aprox. 17,3 toneladas semanales de insumos</t>
  </si>
  <si>
    <t>Política de Cobertura de Stock MP</t>
  </si>
  <si>
    <t>10 días de lote de compra + 5 días stock seguridad</t>
  </si>
  <si>
    <t>Capacidad de Almacenamiento MP Requerida</t>
  </si>
  <si>
    <t>Equivale a 3 semanas de consumo en racks (1000 kg/pal)</t>
  </si>
  <si>
    <t>Zona de Cuarentena y Muestreo Sin TACC</t>
  </si>
  <si>
    <t>Área delimitada para control de gluten (&lt;10 ppm)</t>
  </si>
  <si>
    <t>Superficie Estática de Racks MP (3 niveles)</t>
  </si>
  <si>
    <t>Estructura para almacenar las posiciones en 3 alturas</t>
  </si>
  <si>
    <t>Pasillo y Maniobra Autoelevador MP</t>
  </si>
  <si>
    <t>Circulación y abastecimiento a Sección Pesado</t>
  </si>
  <si>
    <t>Dársena de Recepción y Descarga</t>
  </si>
  <si>
    <t>Área bajo techo frente a portón de descarga</t>
  </si>
  <si>
    <t>SUPERFICIE TOTAL REQUERIDA DEPÓSITO MP</t>
  </si>
  <si>
    <t>Sector / Buffer Intermedio</t>
  </si>
  <si>
    <t>Capacidad Física Requerida</t>
  </si>
  <si>
    <t>Superficie Estimada (m²)</t>
  </si>
  <si>
    <t>Justificación Operativa / Requisito Sanitario</t>
  </si>
  <si>
    <t>Pulmón de Carros de Enfriamiento (Panificados)</t>
  </si>
  <si>
    <t>4 carros en paralelo</t>
  </si>
  <si>
    <t>Carros calientes en reposo térmico (60-90 min) previo a envasado</t>
  </si>
  <si>
    <t>Pulmón de Fermentación (Pan de Molde)</t>
  </si>
  <si>
    <t>Cámara + 2 carros buffer</t>
  </si>
  <si>
    <t>Carros cargados en espera de horneado</t>
  </si>
  <si>
    <t>Buffer de Palletizado (Envasado 2° Galletitas)</t>
  </si>
  <si>
    <t>1 pallet conformando + 1 listo</t>
  </si>
  <si>
    <t>Espacio para estiba manual y zorra hidráulica</t>
  </si>
  <si>
    <t>Buffer de Palletizado (Envasado 2° Panificados)</t>
  </si>
  <si>
    <t>1 pallet conformando</t>
  </si>
  <si>
    <t>Espacio para estiba de cajas multiproducto</t>
  </si>
  <si>
    <t>Pulmón de Bateas y Tachos Limpios (Lavado)</t>
  </si>
  <si>
    <t>Área de baches listos</t>
  </si>
  <si>
    <t>Recipientes limpios en espera de fraccionamiento</t>
  </si>
  <si>
    <t>MATRIZ DESDE - HASTA DE FRECUENCIAS DE TRANSPORTE (fij)</t>
  </si>
  <si>
    <t>Frecuencia de Movimientos por Turno de 8 Horas al Año 10 (Viajes / Turno) - Construida íntegramente desde 3. Cuantificación Frecuencias</t>
  </si>
  <si>
    <t>kg/año</t>
  </si>
  <si>
    <t>Parámetro
Configurable
(Modificable)</t>
  </si>
  <si>
    <t>Fórmula
Automática /
Vinculada</t>
  </si>
  <si>
    <t>DESDE \ HASTA</t>
  </si>
  <si>
    <t>1. Dep. MP</t>
  </si>
  <si>
    <t>2. Pesado</t>
  </si>
  <si>
    <t>6. Enfriado G</t>
  </si>
  <si>
    <t>7. Env. 1° G</t>
  </si>
  <si>
    <t>8. Batido Panif.</t>
  </si>
  <si>
    <t>9. Dosificado P.</t>
  </si>
  <si>
    <t>10. Fermentado P.</t>
  </si>
  <si>
    <t>11. Hornos Rotat. P.</t>
  </si>
  <si>
    <t>12. Enfriado P.</t>
  </si>
  <si>
    <t>13. Env. 1° P.</t>
  </si>
  <si>
    <t>14. Dep. PT</t>
  </si>
  <si>
    <t>15. Lav./Scrap</t>
  </si>
  <si>
    <t>16. Recirc. Mermas</t>
  </si>
  <si>
    <t>17. Evac. Residuos</t>
  </si>
  <si>
    <t>18. Calidad crudo</t>
  </si>
  <si>
    <t>19. Calidad cocido</t>
  </si>
  <si>
    <t>SALIDAS</t>
  </si>
  <si>
    <t>Desperdicios por mes</t>
  </si>
  <si>
    <t>kg</t>
  </si>
  <si>
    <t>Desperdicios por dia</t>
  </si>
  <si>
    <t>Desperdicios por turno</t>
  </si>
  <si>
    <t>13. Envasado 1° P.</t>
  </si>
  <si>
    <t>14. Depósito PT</t>
  </si>
  <si>
    <t>15. Lavado / Scrap</t>
  </si>
  <si>
    <t>16. Recirculación Mermas</t>
  </si>
  <si>
    <t>17. Evacuación Residuos</t>
  </si>
  <si>
    <t>ENTRADAS</t>
  </si>
  <si>
    <t>REFERENCIAS DE TIPOS DE FLUJO</t>
  </si>
  <si>
    <t>N/A [C]</t>
  </si>
  <si>
    <t>Flujo mecánico continuo</t>
  </si>
  <si>
    <t>En la Hoja 3 la frecuencia/masa figura como N/A por tratarse de una cinta continua; se mantiene la referencia directa.</t>
  </si>
  <si>
    <t>Azul / Vinculado</t>
  </si>
  <si>
    <t>Flujo vinculado a Hoja 3</t>
  </si>
  <si>
    <t>Valor obtenido mediante fórmula que referencia directamente 3. Cuantificación Frecuencias.</t>
  </si>
  <si>
    <t>Calidad</t>
  </si>
  <si>
    <t>Movimiento de muestra</t>
  </si>
  <si>
    <t>La frecuencia se contabiliza como movimiento; en flujo de masa las muestras figuran con 0 kg/turno según la Hoja 3.</t>
  </si>
  <si>
    <t>MATRIZ DESDE - HASTA DE FLUJO DE MASA (kg / Turno)</t>
  </si>
  <si>
    <t>Flujo Másico Transportado por Turno de 8 Horas (Año 10) - Construida íntegramente desde 3. Cuantificación Frecuencias</t>
  </si>
  <si>
    <t>SALIDAS (kg)</t>
  </si>
  <si>
    <t>HERRAMIENTA DE EVALUACIÓN DE LAYOUT (CARGA - DISTANCIA Y HORAS)</t>
  </si>
  <si>
    <t>Cálculo del Momento de Transporte (M = fij * dij), Esfuerzo Ponderado (kg·m) y Horas de Mano de Obra</t>
  </si>
  <si>
    <t>Parámetro Configurable</t>
  </si>
  <si>
    <t>1. CENTROIDES Y COORDENADAS DEL PLANO AUTOCAD (MODIFICABLES)</t>
  </si>
  <si>
    <t>N°</t>
  </si>
  <si>
    <t>Sector / Máquina</t>
  </si>
  <si>
    <t>Coord X (m)</t>
  </si>
  <si>
    <t>Coord Y (m)</t>
  </si>
  <si>
    <t>Superficie (m²)</t>
  </si>
  <si>
    <t>Estado en Layout CAD</t>
  </si>
  <si>
    <t>Depósito MP e Insumos</t>
  </si>
  <si>
    <t>Común</t>
  </si>
  <si>
    <t>Ubicado en cabecera de recepción</t>
  </si>
  <si>
    <t>Sección Pesado / Fraccionamiento</t>
  </si>
  <si>
    <t>Adyacente a Depósito MP</t>
  </si>
  <si>
    <t>Amasado Galletitas (Amasadora HJ25B)</t>
  </si>
  <si>
    <t>Galletitas</t>
  </si>
  <si>
    <t>Alimentación de línea A</t>
  </si>
  <si>
    <t>Moldeado Galletitas (Ralem R800)</t>
  </si>
  <si>
    <t>Inicio de línea continua</t>
  </si>
  <si>
    <t>ENTRADAS (kg)</t>
  </si>
  <si>
    <t>Horno Túnel Galletitas (GD-BTOM10)</t>
  </si>
  <si>
    <t>Línea recta (6 x 1,3 m)</t>
  </si>
  <si>
    <t>Cinta de Enfriado Galletitas</t>
  </si>
  <si>
    <t>Transferencia a envasado</t>
  </si>
  <si>
    <t>Envasado 1° Galletitas (Zon Pack)</t>
  </si>
  <si>
    <t>Envasadora vertical</t>
  </si>
  <si>
    <t>Envasado 2° Galletitas (Mesa manual)</t>
  </si>
  <si>
    <t>Encajonado y conformado pallet</t>
  </si>
  <si>
    <t>Batido Panificados (Moretti Ultra 60)</t>
  </si>
  <si>
    <t>Panificados</t>
  </si>
  <si>
    <t>Alimentación de línea B</t>
  </si>
  <si>
    <t>Dosificado Panificados (Indurpack)</t>
  </si>
  <si>
    <t>Carga de carros con bandejas</t>
  </si>
  <si>
    <t>Fermentador Panes (NKF-36RS)</t>
  </si>
  <si>
    <t>Cámara de leudado</t>
  </si>
  <si>
    <t>Hornos Rotativos Pauna SIGMA (2 u.)</t>
  </si>
  <si>
    <t>Batería de cocción por carros</t>
  </si>
  <si>
    <t>Sector Enfriado Panificados (Carros)</t>
  </si>
  <si>
    <t>Pulmón de 4 carros calientes</t>
  </si>
  <si>
    <t>Rebanadora de Pan (Braesi)</t>
  </si>
  <si>
    <t>Corte continuo de pan de molde</t>
  </si>
  <si>
    <t>Envasado 1° Panificados (Flow-Pack)</t>
  </si>
  <si>
    <t>Envasadora Brunetti EFH700X</t>
  </si>
  <si>
    <t>Envasado 2° Panificados (Mesa manual)</t>
  </si>
  <si>
    <t>Depósito PT y Expedición</t>
  </si>
  <si>
    <t>Racks selectivos 160 pallets</t>
  </si>
  <si>
    <t>Lavado de Bateas y Gestión Scrap</t>
  </si>
  <si>
    <t>Servicios</t>
  </si>
  <si>
    <t>Zona periférica limpia</t>
  </si>
  <si>
    <t>2. ANÁLISIS DE INTENSIDAD DE TRÁFICO, MOMENTO DE TRANSPORTE Y HORAS DE TRASLADO</t>
  </si>
  <si>
    <t>Tramo</t>
  </si>
  <si>
    <t>Peso/Viaje (kg)</t>
  </si>
  <si>
    <t>Momento M (viajes·m / turno)</t>
  </si>
  <si>
    <t>Esfuerzo Masa (kg·m / turno)</t>
  </si>
  <si>
    <t>Velocidad (m/min)</t>
  </si>
  <si>
    <t>Nivel de Criticidad</t>
  </si>
  <si>
    <t>T01</t>
  </si>
  <si>
    <t>3. Amasado Galletitas</t>
  </si>
  <si>
    <t>CRÍTICO (Alta Frecuencia)</t>
  </si>
  <si>
    <t>CARGA DE RELACIONES – MÉTODO REL</t>
  </si>
  <si>
    <t>Código</t>
  </si>
  <si>
    <t>T02</t>
  </si>
  <si>
    <t>4. Moldeado Galletitas</t>
  </si>
  <si>
    <t>Significado</t>
  </si>
  <si>
    <t>17 áreas del croquis. Se toman las letras cargadas en 3. Cuantificación Frecuencias; combinaciones sin vínculo = U.</t>
  </si>
  <si>
    <t>T03</t>
  </si>
  <si>
    <t>9. Batido Panificados</t>
  </si>
  <si>
    <t>Absolutamente necesario</t>
  </si>
  <si>
    <t>Especialmente importante</t>
  </si>
  <si>
    <t>Relación</t>
  </si>
  <si>
    <t>Área A</t>
  </si>
  <si>
    <t>Área B</t>
  </si>
  <si>
    <t>Grado REL</t>
  </si>
  <si>
    <t>Observación</t>
  </si>
  <si>
    <t>Importante</t>
  </si>
  <si>
    <t>1-2</t>
  </si>
  <si>
    <t>ALTO</t>
  </si>
  <si>
    <t>Hoja 3 – TR-01</t>
  </si>
  <si>
    <t>Ordinario / conveniente</t>
  </si>
  <si>
    <t>T04</t>
  </si>
  <si>
    <t>1-3</t>
  </si>
  <si>
    <t>10. Dosificado Panif.</t>
  </si>
  <si>
    <t>Sin relación directa relevante</t>
  </si>
  <si>
    <t>U</t>
  </si>
  <si>
    <t>Sin importancia de proximidad</t>
  </si>
  <si>
    <t>1-4</t>
  </si>
  <si>
    <t>X</t>
  </si>
  <si>
    <t>Proximidad indeseable</t>
  </si>
  <si>
    <t>1-5</t>
  </si>
  <si>
    <t>1-6</t>
  </si>
  <si>
    <t>1-7</t>
  </si>
  <si>
    <t>1-8</t>
  </si>
  <si>
    <t>1-9</t>
  </si>
  <si>
    <t>1-10</t>
  </si>
  <si>
    <t>1-11</t>
  </si>
  <si>
    <t>T05</t>
  </si>
  <si>
    <t>1-12</t>
  </si>
  <si>
    <t>11. Fermentador Panes</t>
  </si>
  <si>
    <t>1-13</t>
  </si>
  <si>
    <t>1-14</t>
  </si>
  <si>
    <t>1-15</t>
  </si>
  <si>
    <t>1-16</t>
  </si>
  <si>
    <t>16. Calidad crudo</t>
  </si>
  <si>
    <t>1-17</t>
  </si>
  <si>
    <t>17. Calidad cocido</t>
  </si>
  <si>
    <t>2-3</t>
  </si>
  <si>
    <t>Hoja 3 – TR-02</t>
  </si>
  <si>
    <t>T06</t>
  </si>
  <si>
    <t>12. Hornos Rotativos</t>
  </si>
  <si>
    <t>2-4</t>
  </si>
  <si>
    <t>2-5</t>
  </si>
  <si>
    <t>2-6</t>
  </si>
  <si>
    <t>2-7</t>
  </si>
  <si>
    <t>2-8</t>
  </si>
  <si>
    <t>Hoja 3 – TR-08</t>
  </si>
  <si>
    <t>2-9</t>
  </si>
  <si>
    <t>2-10</t>
  </si>
  <si>
    <t>T07</t>
  </si>
  <si>
    <t>13. Enfriado Panif.</t>
  </si>
  <si>
    <t>2-11</t>
  </si>
  <si>
    <t>2-12</t>
  </si>
  <si>
    <t>2-13</t>
  </si>
  <si>
    <t>2-14</t>
  </si>
  <si>
    <t>2-15</t>
  </si>
  <si>
    <t>2-16</t>
  </si>
  <si>
    <t>2-17</t>
  </si>
  <si>
    <t>3-4</t>
  </si>
  <si>
    <t>CRÍTICO (Seguridad 180°C)</t>
  </si>
  <si>
    <t>Hoja 3 – TR-03</t>
  </si>
  <si>
    <t>3-5</t>
  </si>
  <si>
    <t>T08</t>
  </si>
  <si>
    <t>14. Rebanado / Env 1°</t>
  </si>
  <si>
    <t>3-6</t>
  </si>
  <si>
    <t>Hoja 3 – TR-16</t>
  </si>
  <si>
    <t>3-7</t>
  </si>
  <si>
    <t>3-8</t>
  </si>
  <si>
    <t>MEDIO</t>
  </si>
  <si>
    <t>3-9</t>
  </si>
  <si>
    <t>3-10</t>
  </si>
  <si>
    <t>T09</t>
  </si>
  <si>
    <t>3-11</t>
  </si>
  <si>
    <t>3-12</t>
  </si>
  <si>
    <t>3-13</t>
  </si>
  <si>
    <t>3-14</t>
  </si>
  <si>
    <t>3-15</t>
  </si>
  <si>
    <t>3-16</t>
  </si>
  <si>
    <t>Ajuste manual solicitado: control de calidad crudo próximo a Amasado.</t>
  </si>
  <si>
    <t>3-17</t>
  </si>
  <si>
    <t>4-5</t>
  </si>
  <si>
    <t>MEDIO (Carga Pesada)</t>
  </si>
  <si>
    <t>Hoja 3 – TR-04</t>
  </si>
  <si>
    <t>4-6</t>
  </si>
  <si>
    <t>T10</t>
  </si>
  <si>
    <t>4-7</t>
  </si>
  <si>
    <t>4-8</t>
  </si>
  <si>
    <t>4-9</t>
  </si>
  <si>
    <t>4-10</t>
  </si>
  <si>
    <t>4-11</t>
  </si>
  <si>
    <t>BAJO (Pallets)</t>
  </si>
  <si>
    <t>4-12</t>
  </si>
  <si>
    <t>4-13</t>
  </si>
  <si>
    <t>T11</t>
  </si>
  <si>
    <t>13. Envasado 1° P</t>
  </si>
  <si>
    <t>4-14</t>
  </si>
  <si>
    <t>4-15</t>
  </si>
  <si>
    <t>Hoja 3 – TR-17</t>
  </si>
  <si>
    <t>4-16</t>
  </si>
  <si>
    <t>4-17</t>
  </si>
  <si>
    <t>5-6</t>
  </si>
  <si>
    <t>Hoja 3 – TR-05</t>
  </si>
  <si>
    <t>5-7</t>
  </si>
  <si>
    <t>5-8</t>
  </si>
  <si>
    <t>5-9</t>
  </si>
  <si>
    <t>TOTALES GENERALES</t>
  </si>
  <si>
    <t>5-10</t>
  </si>
  <si>
    <t>5-11</t>
  </si>
  <si>
    <t>5-12</t>
  </si>
  <si>
    <t>MATRIZ / DIAGRAMA REL – RELACIONES ENTRE ÁREAS</t>
  </si>
  <si>
    <t>Ajuste manual: proximidad indeseable Horno Túnel G ↔ Enfriado P.</t>
  </si>
  <si>
    <t>5-13</t>
  </si>
  <si>
    <t>5-14</t>
  </si>
  <si>
    <t>5-15</t>
  </si>
  <si>
    <t>5-16</t>
  </si>
  <si>
    <t>Minimizar en CAD</t>
  </si>
  <si>
    <t>5-17</t>
  </si>
  <si>
    <t>6-7</t>
  </si>
  <si>
    <t>Matriz derivada de 8. Carga REL. Diagrama inferior con la distribución del croquis del usuario.</t>
  </si>
  <si>
    <t>Hoja 3 – TR-06</t>
  </si>
  <si>
    <t>6-8</t>
  </si>
  <si>
    <t>6-9</t>
  </si>
  <si>
    <t>6-10</t>
  </si>
  <si>
    <t>6-11</t>
  </si>
  <si>
    <t>6-12</t>
  </si>
  <si>
    <t>DESDE / HASTA</t>
  </si>
  <si>
    <t>6-13</t>
  </si>
  <si>
    <t>DMP</t>
  </si>
  <si>
    <t>Pes</t>
  </si>
  <si>
    <t>6-14</t>
  </si>
  <si>
    <t>M</t>
  </si>
  <si>
    <t>6-15</t>
  </si>
  <si>
    <t>Htun</t>
  </si>
  <si>
    <t>EnfrG</t>
  </si>
  <si>
    <t>EnvG</t>
  </si>
  <si>
    <t>B</t>
  </si>
  <si>
    <t>DOS</t>
  </si>
  <si>
    <t>FER</t>
  </si>
  <si>
    <t>Hoja 3 – TR-18</t>
  </si>
  <si>
    <t>Hrot</t>
  </si>
  <si>
    <t>6-16</t>
  </si>
  <si>
    <t>EnfrP</t>
  </si>
  <si>
    <t>EnvP</t>
  </si>
  <si>
    <t>DPT</t>
  </si>
  <si>
    <t>Scrap</t>
  </si>
  <si>
    <t>6-17</t>
  </si>
  <si>
    <t>CCrud</t>
  </si>
  <si>
    <t>CCoc</t>
  </si>
  <si>
    <t>Hoja 3 – TR-22</t>
  </si>
  <si>
    <t>Representación</t>
  </si>
  <si>
    <t>7-8</t>
  </si>
  <si>
    <t>7-9</t>
  </si>
  <si>
    <t>7-10</t>
  </si>
  <si>
    <t>7-11</t>
  </si>
  <si>
    <t>7-12</t>
  </si>
  <si>
    <t>7-13</t>
  </si>
  <si>
    <t>7-14</t>
  </si>
  <si>
    <t>Hoja 3 – TR-07</t>
  </si>
  <si>
    <t>7-15</t>
  </si>
  <si>
    <t>7-16</t>
  </si>
  <si>
    <t>7-17</t>
  </si>
  <si>
    <t>Hoja 3 – TR-23</t>
  </si>
  <si>
    <t>8-9</t>
  </si>
  <si>
    <t>Hoja 3 – TR-09</t>
  </si>
  <si>
    <t>8-10</t>
  </si>
  <si>
    <t>8-11</t>
  </si>
  <si>
    <t>8-12</t>
  </si>
  <si>
    <t>8-13</t>
  </si>
  <si>
    <t>8-14</t>
  </si>
  <si>
    <t>8-15</t>
  </si>
  <si>
    <t>8-16</t>
  </si>
  <si>
    <t>Ajuste manual solicitado: control de calidad crudo próximo a Batido.</t>
  </si>
  <si>
    <t>8-17</t>
  </si>
  <si>
    <t>9-10</t>
  </si>
  <si>
    <t>Hoja 3 – TR-10</t>
  </si>
  <si>
    <t>9-11</t>
  </si>
  <si>
    <t>Hoja 3 – fila 17</t>
  </si>
  <si>
    <t>9-12</t>
  </si>
  <si>
    <t>9-13</t>
  </si>
  <si>
    <t>9-14</t>
  </si>
  <si>
    <t>4 líneas rojas</t>
  </si>
  <si>
    <t>9-15</t>
  </si>
  <si>
    <t>9-16</t>
  </si>
  <si>
    <t>9-17</t>
  </si>
  <si>
    <t>10-11</t>
  </si>
  <si>
    <t>Hoja 3 – TR-11</t>
  </si>
  <si>
    <t>10-12</t>
  </si>
  <si>
    <t>10-13</t>
  </si>
  <si>
    <t>10-14</t>
  </si>
  <si>
    <t>10-15</t>
  </si>
  <si>
    <t>10-16</t>
  </si>
  <si>
    <t>10-17</t>
  </si>
  <si>
    <t>11-12</t>
  </si>
  <si>
    <t>Hoja 3 – TR-12</t>
  </si>
  <si>
    <t>11-13</t>
  </si>
  <si>
    <t>11-14</t>
  </si>
  <si>
    <t>11-15</t>
  </si>
  <si>
    <t>11-16</t>
  </si>
  <si>
    <t>11-17</t>
  </si>
  <si>
    <t>12-13</t>
  </si>
  <si>
    <t>Hoja 3 – TR-13</t>
  </si>
  <si>
    <t>12-14</t>
  </si>
  <si>
    <t>12-15</t>
  </si>
  <si>
    <t>Hoja 3 – TR-19</t>
  </si>
  <si>
    <t>12-16</t>
  </si>
  <si>
    <t>12-17</t>
  </si>
  <si>
    <t>13-14</t>
  </si>
  <si>
    <t>Hoja 3 – TR-14</t>
  </si>
  <si>
    <t>13-15</t>
  </si>
  <si>
    <t>13-16</t>
  </si>
  <si>
    <t>3 líneas amarillas</t>
  </si>
  <si>
    <t>13-17</t>
  </si>
  <si>
    <t>14-15</t>
  </si>
  <si>
    <t>14-16</t>
  </si>
  <si>
    <t>14-17</t>
  </si>
  <si>
    <t>15-16</t>
  </si>
  <si>
    <t>15-17</t>
  </si>
  <si>
    <t>16-17</t>
  </si>
  <si>
    <t>2 líneas verdes</t>
  </si>
  <si>
    <t>1 línea azul</t>
  </si>
  <si>
    <t>Sin línea</t>
  </si>
  <si>
    <t>Zigzag café</t>
  </si>
  <si>
    <t>ID</t>
  </si>
  <si>
    <t>Sector / Departamento</t>
  </si>
  <si>
    <t>Categoría SLP</t>
  </si>
  <si>
    <t>Tipo Modelado</t>
  </si>
  <si>
    <t>Ancho w [m]</t>
  </si>
  <si>
    <t>Largo h [m]</t>
  </si>
  <si>
    <t>Superficie Total [m²]</t>
  </si>
  <si>
    <t>% Sup. Productiva</t>
  </si>
  <si>
    <t>Deposito PT</t>
  </si>
  <si>
    <t>Deposito MP</t>
  </si>
  <si>
    <t>1. Aduana MP</t>
  </si>
  <si>
    <t>Almacén</t>
  </si>
  <si>
    <t>Punto Almacén MP</t>
  </si>
  <si>
    <t>2. Calidad crudo</t>
  </si>
  <si>
    <t>2. Sección pesado</t>
  </si>
  <si>
    <t>Pesado</t>
  </si>
  <si>
    <t>Bloque Productivo</t>
  </si>
  <si>
    <t>3. Amasado</t>
  </si>
  <si>
    <t>Elaboración</t>
  </si>
  <si>
    <t>4. Batido</t>
  </si>
  <si>
    <t>5. Formadora</t>
  </si>
  <si>
    <t>6. Horno túnel</t>
  </si>
  <si>
    <t>Cocción</t>
  </si>
  <si>
    <t>7. Cinta de enfriado</t>
  </si>
  <si>
    <t>Enfriamiento</t>
  </si>
  <si>
    <t>8. Envasado 1° Galletitas</t>
  </si>
  <si>
    <t>10. Dosificado panificados</t>
  </si>
  <si>
    <t>11. Fermentado panes</t>
  </si>
  <si>
    <t>12. Horneado panificados</t>
  </si>
  <si>
    <t>13. Enfriado panificados</t>
  </si>
  <si>
    <t>14. Envasado 1° panificados</t>
  </si>
  <si>
    <t>Ccocido</t>
  </si>
  <si>
    <t>TOTAL SUPERFICIE PRODUCTIVA (Puestos 2 a 15)</t>
  </si>
  <si>
    <t>Alternativa 1</t>
  </si>
  <si>
    <t>Alternativa 2</t>
  </si>
  <si>
    <t>Alternativa 3</t>
  </si>
  <si>
    <t>Dist</t>
  </si>
  <si>
    <t>F * Dist</t>
  </si>
  <si>
    <t>M * Dist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</si>
</sst>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0.0"/>
    <numFmt numFmtId="166" formatCode="0.0%"/>
  </numFmts>
  <fonts count="50">
    <font>
      <sz val="11.0"/>
      <color theme="1"/>
      <name val="Calibri"/>
      <scheme val="minor"/>
    </font>
    <font>
      <sz val="11.0"/>
      <color theme="1"/>
      <name val="Montserrat"/>
    </font>
    <font>
      <b/>
      <sz val="9.0"/>
      <color rgb="FFFFFFFF"/>
      <name val="Montserrat"/>
    </font>
    <font/>
    <font>
      <b/>
      <sz val="15.0"/>
      <color rgb="FF1F497D"/>
      <name val="Montserrat"/>
    </font>
    <font>
      <i/>
      <sz val="10.0"/>
      <color rgb="FF595959"/>
      <name val="Montserrat"/>
    </font>
    <font>
      <b/>
      <sz val="9.0"/>
      <color rgb="FF000000"/>
      <name val="Montserrat"/>
    </font>
    <font>
      <b/>
      <sz val="9.0"/>
      <color rgb="FF833C0C"/>
      <name val="Montserrat"/>
    </font>
    <font>
      <b/>
      <sz val="11.0"/>
      <color rgb="FF1F497D"/>
      <name val="Montserrat"/>
    </font>
    <font>
      <b/>
      <sz val="10.0"/>
      <color rgb="FFFFFFFF"/>
      <name val="Montserrat"/>
    </font>
    <font>
      <b/>
      <sz val="9.0"/>
      <color rgb="FF1F497D"/>
      <name val="Montserrat"/>
    </font>
    <font>
      <sz val="9.0"/>
      <color rgb="FF000000"/>
      <name val="Montserrat"/>
    </font>
    <font>
      <i/>
      <sz val="8.0"/>
      <color rgb="FF595959"/>
      <name val="Montserrat"/>
    </font>
    <font>
      <sz val="9.0"/>
      <color theme="1"/>
      <name val="Montserrat"/>
    </font>
    <font>
      <b/>
      <sz val="8.0"/>
      <color rgb="FF595959"/>
      <name val="Montserrat"/>
    </font>
    <font>
      <sz val="11.0"/>
      <color theme="1"/>
      <name val="Calibri"/>
    </font>
    <font>
      <b/>
      <sz val="12.0"/>
      <color rgb="FF1F497D"/>
      <name val="Montserrat"/>
    </font>
    <font>
      <b/>
      <sz val="9.0"/>
      <color theme="1"/>
      <name val="Montserrat"/>
    </font>
    <font>
      <color theme="1"/>
      <name val="Calibri"/>
      <scheme val="minor"/>
    </font>
    <font>
      <b/>
      <sz val="16.0"/>
      <color rgb="FF234F7D"/>
      <name val="Calibri"/>
    </font>
    <font>
      <i/>
      <sz val="10.0"/>
      <color rgb="FF666666"/>
      <name val="Calibri"/>
    </font>
    <font>
      <b/>
      <sz val="9.0"/>
      <color rgb="FF333333"/>
      <name val="Calibri"/>
    </font>
    <font>
      <b/>
      <sz val="8.0"/>
      <color rgb="FF8A4B20"/>
      <name val="Calibri"/>
    </font>
    <font>
      <b/>
      <sz val="8.0"/>
      <color rgb="FF333333"/>
      <name val="Calibri"/>
    </font>
    <font>
      <b/>
      <sz val="9.0"/>
      <color rgb="FFFFFFFF"/>
      <name val="Calibri"/>
    </font>
    <font>
      <b/>
      <sz val="8.0"/>
      <color rgb="FF1F1F1F"/>
      <name val="Calibri"/>
    </font>
    <font>
      <sz val="8.0"/>
      <color rgb="FF777777"/>
      <name val="Calibri"/>
    </font>
    <font>
      <sz val="8.0"/>
      <color rgb="FF1F1F1F"/>
      <name val="Calibri"/>
    </font>
    <font>
      <b/>
      <sz val="8.0"/>
      <color rgb="FFFFFFFF"/>
      <name val="Calibri"/>
    </font>
    <font>
      <b/>
      <sz val="10.0"/>
      <color rgb="FF234F7D"/>
      <name val="Calibri"/>
    </font>
    <font>
      <b/>
      <sz val="8.0"/>
      <color theme="1"/>
      <name val="Calibri"/>
    </font>
    <font>
      <sz val="8.0"/>
      <color theme="1"/>
      <name val="Calibri"/>
    </font>
    <font>
      <i/>
      <sz val="9.0"/>
      <color rgb="FF595959"/>
      <name val="Montserrat"/>
    </font>
    <font>
      <b/>
      <sz val="15.0"/>
      <color rgb="FFFFFFFF"/>
      <name val="Calibri"/>
    </font>
    <font>
      <b/>
      <sz val="11.0"/>
      <color rgb="FFFFFFFF"/>
      <name val="Calibri"/>
    </font>
    <font>
      <i/>
      <sz val="11.0"/>
      <color rgb="FF1F1F1F"/>
      <name val="Calibri"/>
    </font>
    <font>
      <i/>
      <sz val="9.0"/>
      <color rgb="FF4B5563"/>
      <name val="Calibri"/>
    </font>
    <font>
      <b/>
      <sz val="11.0"/>
      <color rgb="FF9C0006"/>
      <name val="Calibri"/>
    </font>
    <font>
      <b/>
      <sz val="11.0"/>
      <color rgb="FF666666"/>
      <name val="Calibri"/>
    </font>
    <font>
      <b/>
      <sz val="11.0"/>
      <color rgb="FF7F6000"/>
      <name val="Calibri"/>
    </font>
    <font>
      <b/>
      <sz val="11.0"/>
      <color rgb="FF005A9C"/>
      <name val="Calibri"/>
    </font>
    <font>
      <b/>
      <sz val="11.0"/>
      <color rgb="FF6B3E26"/>
      <name val="Calibri"/>
    </font>
    <font>
      <i/>
      <sz val="11.0"/>
      <color rgb="FF1F2937"/>
      <name val="Calibri"/>
    </font>
    <font>
      <b/>
      <sz val="11.0"/>
      <color rgb="FF006100"/>
      <name val="Calibri"/>
    </font>
    <font>
      <b/>
      <sz val="11.0"/>
      <color theme="1"/>
      <name val="Calibri"/>
    </font>
    <font>
      <b/>
      <sz val="10.0"/>
      <color rgb="FFFFFFFF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sz val="9.0"/>
      <color rgb="FF555555"/>
      <name val="Calibri"/>
    </font>
    <font>
      <b/>
      <sz val="11.0"/>
      <color rgb="FF1F1F1F"/>
      <name val="Calibri"/>
    </font>
  </fonts>
  <fills count="30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1F497D"/>
        <bgColor rgb="FF1F497D"/>
      </patternFill>
    </fill>
    <fill>
      <patternFill patternType="solid">
        <fgColor rgb="FFEAEEF7"/>
        <bgColor rgb="FFEAEEF7"/>
      </patternFill>
    </fill>
    <fill>
      <patternFill patternType="solid">
        <fgColor rgb="FFF2F5F9"/>
        <bgColor rgb="FFF2F5F9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2E75B6"/>
        <bgColor rgb="FF2E75B6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9E5F6"/>
        <bgColor rgb="FFD9E5F6"/>
      </patternFill>
    </fill>
    <fill>
      <patternFill patternType="solid">
        <fgColor rgb="FF234F7D"/>
        <bgColor rgb="FF234F7D"/>
      </patternFill>
    </fill>
    <fill>
      <patternFill patternType="solid">
        <fgColor rgb="FFD9D9D9"/>
        <bgColor rgb="FFD9D9D9"/>
      </patternFill>
    </fill>
    <fill>
      <patternFill patternType="solid">
        <fgColor rgb="FFE2F0D9"/>
        <bgColor rgb="FFE2F0D9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0F5B2B"/>
        <bgColor rgb="FF0F5B2B"/>
      </patternFill>
    </fill>
    <fill>
      <patternFill patternType="solid">
        <fgColor rgb="FFF4CCCC"/>
        <bgColor rgb="FFF4CCCC"/>
      </patternFill>
    </fill>
    <fill>
      <patternFill patternType="solid">
        <fgColor rgb="FFF2F2F2"/>
        <bgColor rgb="FFF2F2F2"/>
      </patternFill>
    </fill>
    <fill>
      <patternFill patternType="solid">
        <fgColor rgb="FFCFE2F3"/>
        <bgColor rgb="FFCFE2F3"/>
      </patternFill>
    </fill>
    <fill>
      <patternFill patternType="solid">
        <fgColor rgb="FFD9B08C"/>
        <bgColor rgb="FFD9B08C"/>
      </patternFill>
    </fill>
    <fill>
      <patternFill patternType="solid">
        <fgColor rgb="FF0B5D37"/>
        <bgColor rgb="FF0B5D37"/>
      </patternFill>
    </fill>
    <fill>
      <patternFill patternType="solid">
        <fgColor rgb="FFFFE599"/>
        <bgColor rgb="FFFFE599"/>
      </patternFill>
    </fill>
    <fill>
      <patternFill patternType="solid">
        <fgColor rgb="FFD9B38C"/>
        <bgColor rgb="FFD9B38C"/>
      </patternFill>
    </fill>
    <fill>
      <patternFill patternType="solid">
        <fgColor rgb="FFEAF1DD"/>
        <bgColor rgb="FFEAF1DD"/>
      </patternFill>
    </fill>
  </fills>
  <borders count="74">
    <border/>
    <border>
      <left style="medium">
        <color rgb="FFBFBFBF"/>
      </left>
      <top style="medium">
        <color rgb="FFBFBFBF"/>
      </top>
      <bottom style="medium">
        <color rgb="FFBFBFBF"/>
      </bottom>
    </border>
    <border>
      <top style="medium">
        <color rgb="FFBFBFBF"/>
      </top>
      <bottom style="medium">
        <color rgb="FFBFBFBF"/>
      </bottom>
    </border>
    <border>
      <right/>
      <top style="medium">
        <color rgb="FFBFBFBF"/>
      </top>
      <bottom style="medium">
        <color rgb="FFBFBFBF"/>
      </bottom>
    </border>
    <border>
      <left style="medium">
        <color rgb="FFBFBFBF"/>
      </left>
      <right style="medium">
        <color rgb="FFBFBFBF"/>
      </right>
      <top style="medium">
        <color rgb="FFBFBFBF"/>
      </top>
    </border>
    <border>
      <right style="medium">
        <color rgb="FFBFBFBF"/>
      </right>
      <top style="medium">
        <color rgb="FFBFBFBF"/>
      </top>
      <bottom style="medium">
        <color rgb="FFBFBFBF"/>
      </bottom>
    </border>
    <border>
      <left style="thin">
        <color rgb="FFC65911"/>
      </left>
      <right style="thin">
        <color rgb="FFC65911"/>
      </right>
      <top style="thin">
        <color rgb="FFC65911"/>
      </top>
      <bottom style="thin">
        <color rgb="FFC65911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medium">
        <color rgb="FFBFBFBF"/>
      </left>
      <right/>
      <top style="medium">
        <color rgb="FFBFBFBF"/>
      </top>
    </border>
    <border>
      <left/>
      <right/>
      <top style="medium">
        <color rgb="FFBFBFBF"/>
      </top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thin">
        <color rgb="FF1F497D"/>
      </left>
      <right style="thin">
        <color rgb="FF1F497D"/>
      </right>
      <top style="medium">
        <color rgb="FF1F497D"/>
      </top>
      <bottom style="medium">
        <color rgb="FF1F497D"/>
      </bottom>
    </border>
    <border>
      <left style="medium">
        <color rgb="FFBFBFBF"/>
      </left>
      <top style="medium">
        <color rgb="FFBFBFBF"/>
      </top>
    </border>
    <border>
      <right/>
      <top style="medium">
        <color rgb="FFBFBFBF"/>
      </top>
    </border>
    <border>
      <left style="medium">
        <color rgb="FFBFBFBF"/>
      </left>
      <right style="medium">
        <color rgb="FFBFBFBF"/>
      </right>
      <bottom style="medium">
        <color rgb="FFBFBFBF"/>
      </bottom>
    </border>
    <border>
      <left style="medium">
        <color rgb="FFBFBFBF"/>
      </left>
      <right/>
      <bottom style="medium">
        <color rgb="FFBFBFBF"/>
      </bottom>
    </border>
    <border>
      <left/>
      <right/>
      <bottom style="medium">
        <color rgb="FFBFBFBF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BFBFBF"/>
      </left>
      <bottom style="medium">
        <color rgb="FFBFBFBF"/>
      </bottom>
    </border>
    <border>
      <right/>
      <bottom style="medium">
        <color rgb="FFBFBFBF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right style="medium">
        <color rgb="FFBFBFBF"/>
      </right>
      <bottom style="medium">
        <color rgb="FFBFBFBF"/>
      </bottom>
    </border>
    <border>
      <right style="medium">
        <color rgb="FFBFBFBF"/>
      </right>
      <bottom style="medium">
        <color rgb="FFCCCCCC"/>
      </bottom>
    </border>
    <border>
      <left/>
      <right style="medium">
        <color rgb="FFBFBFBF"/>
      </right>
      <top/>
      <bottom style="medium">
        <color rgb="FFBFBFBF"/>
      </bottom>
    </border>
    <border>
      <left style="medium">
        <color rgb="FFBFBFBF"/>
      </left>
      <right style="medium">
        <color rgb="FFBFBFBF"/>
      </right>
      <top/>
      <bottom style="medium">
        <color rgb="FFBFBFBF"/>
      </bottom>
    </border>
    <border>
      <left/>
      <right/>
      <top/>
      <bottom/>
    </border>
    <border>
      <bottom style="medium">
        <color rgb="FFBFBFBF"/>
      </bottom>
    </border>
    <border>
      <left style="thin">
        <color rgb="FFD9D9D9"/>
      </left>
      <right style="thin">
        <color rgb="FFD9D9D9"/>
      </right>
      <top style="thin">
        <color rgb="FF1F497D"/>
      </top>
      <bottom style="double">
        <color rgb="FF1F497D"/>
      </bottom>
    </border>
    <border>
      <left style="thin">
        <color rgb="FFD9D9D9"/>
      </left>
      <right style="thin">
        <color rgb="FFD9D9D9"/>
      </right>
      <top/>
      <bottom/>
    </border>
    <border>
      <left/>
      <top/>
      <bottom/>
    </border>
    <border>
      <top/>
      <bottom/>
    </border>
    <border>
      <right/>
      <top/>
      <bottom/>
    </border>
    <border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BFBFBF"/>
      </bottom>
    </border>
    <border>
      <right style="medium">
        <color rgb="FFCCCCCC"/>
      </right>
      <bottom style="medium">
        <color rgb="FFCCCCCC"/>
      </bottom>
    </border>
    <border>
      <left style="thin">
        <color rgb="FF1F497D"/>
      </left>
      <right/>
      <top style="medium">
        <color rgb="FF1F497D"/>
      </top>
      <bottom style="medium">
        <color rgb="FF1F497D"/>
      </bottom>
    </border>
    <border>
      <left/>
      <right/>
      <top style="medium">
        <color rgb="FF1F497D"/>
      </top>
      <bottom style="medium">
        <color rgb="FF1F497D"/>
      </bottom>
    </border>
    <border>
      <left/>
      <right style="thin">
        <color rgb="FF1F497D"/>
      </right>
      <top style="medium">
        <color rgb="FF1F497D"/>
      </top>
      <bottom style="medium">
        <color rgb="FF1F497D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left/>
      <right style="thin">
        <color rgb="FFD9D9D9"/>
      </right>
      <top style="thin">
        <color rgb="FFD9D9D9"/>
      </top>
      <bottom/>
    </border>
    <border>
      <left style="thin">
        <color rgb="FFD9D9D9"/>
      </left>
    </border>
    <border>
      <left/>
      <right style="medium">
        <color rgb="FFBFBFBF"/>
      </right>
      <top style="medium">
        <color rgb="FFBFBFBF"/>
      </top>
      <bottom style="medium">
        <color rgb="FFBFBFBF"/>
      </bottom>
    </border>
    <border>
      <left/>
      <right style="thin">
        <color rgb="FFD9D9D9"/>
      </right>
      <top/>
      <bottom/>
    </border>
    <border>
      <left style="thin">
        <color rgb="FFD9D9D9"/>
      </left>
      <right/>
      <top/>
      <bottom style="thin">
        <color rgb="FFD9D9D9"/>
      </bottom>
    </border>
    <border>
      <left/>
      <right/>
      <top/>
      <bottom style="thin">
        <color rgb="FFD9D9D9"/>
      </bottom>
    </border>
    <border>
      <left/>
      <right style="thin">
        <color rgb="FFD9D9D9"/>
      </right>
      <top/>
      <bottom style="thin">
        <color rgb="FFD9D9D9"/>
      </bottom>
    </border>
    <border>
      <left style="thin">
        <color rgb="FFD9D9D9"/>
      </left>
      <right/>
      <top style="thin">
        <color rgb="FFD9D9D9"/>
      </top>
      <bottom/>
    </border>
    <border>
      <right style="thin">
        <color rgb="FFD9D9D9"/>
      </right>
      <top style="thin">
        <color rgb="FFD9D9D9"/>
      </top>
    </border>
    <border>
      <left style="thin">
        <color rgb="FFD9D9D9"/>
      </left>
      <right/>
      <top/>
      <bottom/>
    </border>
    <border>
      <right style="thin">
        <color rgb="FFD9D9D9"/>
      </right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/>
      <right/>
      <top/>
      <bottom style="thin">
        <color rgb="FFFFFFFF"/>
      </bottom>
    </border>
    <border>
      <right style="hair">
        <color rgb="FFD9E1F2"/>
      </right>
    </border>
    <border>
      <bottom style="hair">
        <color rgb="FFD9E1F2"/>
      </bottom>
    </border>
    <border>
      <left/>
      <right/>
      <top/>
      <bottom style="hair">
        <color rgb="FFD9E1F2"/>
      </bottom>
    </border>
    <border>
      <right style="hair">
        <color rgb="FFD9E1F2"/>
      </right>
      <bottom style="hair">
        <color rgb="FFD9E1F2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</border>
    <border>
      <left style="thin">
        <color rgb="FF1F497D"/>
      </left>
    </border>
    <border>
      <left style="thin">
        <color rgb="FF1F497D"/>
      </left>
      <right style="thin">
        <color rgb="FF1F497D"/>
      </right>
      <top/>
      <bottom/>
    </border>
    <border>
      <left style="thin">
        <color rgb="FFB4C6E7"/>
      </left>
      <top style="thin">
        <color rgb="FFB4C6E7"/>
      </top>
    </border>
    <border>
      <top style="thin">
        <color rgb="FFB4C6E7"/>
      </top>
    </border>
    <border>
      <right style="thin">
        <color rgb="FFB4C6E7"/>
      </right>
      <top style="thin">
        <color rgb="FFB4C6E7"/>
      </top>
    </border>
    <border>
      <left style="thin">
        <color rgb="FFB4C6E7"/>
      </left>
    </border>
    <border>
      <right style="thin">
        <color rgb="FFB4C6E7"/>
      </right>
    </border>
    <border>
      <left style="thin">
        <color rgb="FFB4C6E7"/>
      </left>
      <bottom style="thin">
        <color rgb="FFB4C6E7"/>
      </bottom>
    </border>
    <border>
      <bottom style="thin">
        <color rgb="FFB4C6E7"/>
      </bottom>
    </border>
    <border>
      <right style="thin">
        <color rgb="FFB4C6E7"/>
      </right>
      <bottom style="thin">
        <color rgb="FFB4C6E7"/>
      </bottom>
    </border>
  </borders>
  <cellStyleXfs count="1">
    <xf borderId="0" fillId="0" fontId="0" numFmtId="0" applyAlignment="1" applyFont="1"/>
  </cellStyleXfs>
  <cellXfs count="2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4" fillId="2" fontId="2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0" fillId="0" fontId="6" numFmtId="0" xfId="0" applyFont="1"/>
    <xf borderId="5" fillId="0" fontId="3" numFmtId="0" xfId="0" applyBorder="1" applyFont="1"/>
    <xf borderId="6" fillId="3" fontId="7" numFmtId="0" xfId="0" applyAlignment="1" applyBorder="1" applyFill="1" applyFont="1">
      <alignment horizontal="center" shrinkToFit="0" vertical="center" wrapText="1"/>
    </xf>
    <xf borderId="7" fillId="4" fontId="6" numFmtId="0" xfId="0" applyAlignment="1" applyBorder="1" applyFill="1" applyFont="1">
      <alignment horizontal="center" shrinkToFit="0" vertical="center" wrapText="1"/>
    </xf>
    <xf borderId="8" fillId="2" fontId="2" numFmtId="0" xfId="0" applyAlignment="1" applyBorder="1" applyFill="1" applyFont="1">
      <alignment horizontal="center" shrinkToFit="0" vertical="center" wrapText="1"/>
    </xf>
    <xf borderId="9" fillId="2" fontId="2" numFmtId="0" xfId="0" applyAlignment="1" applyBorder="1" applyFill="1" applyFont="1">
      <alignment horizontal="center" shrinkToFit="0" vertical="center" wrapText="1"/>
    </xf>
    <xf borderId="0" fillId="0" fontId="8" numFmtId="0" xfId="0" applyFont="1"/>
    <xf borderId="10" fillId="2" fontId="2" numFmtId="0" xfId="0" applyAlignment="1" applyBorder="1" applyFill="1" applyFont="1">
      <alignment horizontal="center" shrinkToFit="0" vertical="center" wrapText="1"/>
    </xf>
    <xf borderId="11" fillId="5" fontId="9" numFmtId="0" xfId="0" applyAlignment="1" applyBorder="1" applyFill="1" applyFont="1">
      <alignment horizontal="center" shrinkToFit="0" vertical="center" wrapText="1"/>
    </xf>
    <xf borderId="12" fillId="2" fontId="2" numFmtId="0" xfId="0" applyAlignment="1" applyBorder="1" applyFill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borderId="7" fillId="0" fontId="10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left" vertical="center"/>
    </xf>
    <xf borderId="0" fillId="0" fontId="11" numFmtId="0" xfId="0" applyFont="1"/>
    <xf borderId="7" fillId="0" fontId="11" numFmtId="0" xfId="0" applyAlignment="1" applyBorder="1" applyFont="1">
      <alignment horizontal="left" vertical="center"/>
    </xf>
    <xf borderId="15" fillId="0" fontId="3" numFmtId="0" xfId="0" applyBorder="1" applyFont="1"/>
    <xf borderId="7" fillId="0" fontId="12" numFmtId="0" xfId="0" applyAlignment="1" applyBorder="1" applyFont="1">
      <alignment horizontal="left" vertical="center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14" fillId="0" fontId="13" numFmtId="0" xfId="0" applyAlignment="1" applyBorder="1" applyFont="1">
      <alignment shrinkToFit="0" vertical="center" wrapText="1"/>
    </xf>
    <xf borderId="20" fillId="6" fontId="14" numFmtId="0" xfId="0" applyAlignment="1" applyBorder="1" applyFill="1" applyFont="1">
      <alignment horizontal="center" shrinkToFit="0" vertical="center" wrapText="1"/>
    </xf>
    <xf borderId="21" fillId="0" fontId="3" numFmtId="0" xfId="0" applyBorder="1" applyFont="1"/>
    <xf borderId="22" fillId="0" fontId="3" numFmtId="0" xfId="0" applyBorder="1" applyFont="1"/>
    <xf borderId="6" fillId="3" fontId="7" numFmtId="164" xfId="0" applyAlignment="1" applyBorder="1" applyFill="1" applyFont="1" applyNumberFormat="1">
      <alignment horizontal="right" vertical="center"/>
    </xf>
    <xf borderId="23" fillId="0" fontId="13" numFmtId="3" xfId="0" applyAlignment="1" applyBorder="1" applyFont="1" applyNumberFormat="1">
      <alignment horizontal="center" shrinkToFit="0" vertical="center" wrapText="1"/>
    </xf>
    <xf borderId="23" fillId="0" fontId="13" numFmtId="0" xfId="0" applyAlignment="1" applyBorder="1" applyFont="1">
      <alignment horizontal="center" shrinkToFit="0" vertical="center" wrapText="1"/>
    </xf>
    <xf borderId="23" fillId="0" fontId="15" numFmtId="0" xfId="0" applyAlignment="1" applyBorder="1" applyFont="1">
      <alignment shrinkToFit="0" vertical="center" wrapText="1"/>
    </xf>
    <xf borderId="20" fillId="6" fontId="16" numFmtId="4" xfId="0" applyAlignment="1" applyBorder="1" applyFill="1" applyFont="1" applyNumberFormat="1">
      <alignment horizontal="center" shrinkToFit="0" vertical="center" wrapText="1"/>
    </xf>
    <xf borderId="20" fillId="6" fontId="16" numFmtId="0" xfId="0" applyAlignment="1" applyBorder="1" applyFill="1" applyFont="1">
      <alignment horizontal="center" shrinkToFit="0" vertical="center" wrapText="1"/>
    </xf>
    <xf borderId="23" fillId="0" fontId="13" numFmtId="1" xfId="0" applyAlignment="1" applyBorder="1" applyFont="1" applyNumberFormat="1">
      <alignment horizontal="center" shrinkToFit="0" vertical="center" wrapText="1"/>
    </xf>
    <xf borderId="24" fillId="0" fontId="13" numFmtId="0" xfId="0" applyAlignment="1" applyBorder="1" applyFont="1">
      <alignment horizontal="right" shrinkToFit="0" vertical="center" wrapText="1"/>
    </xf>
    <xf borderId="7" fillId="4" fontId="6" numFmtId="164" xfId="0" applyAlignment="1" applyBorder="1" applyFill="1" applyFont="1" applyNumberFormat="1">
      <alignment horizontal="right" vertical="center"/>
    </xf>
    <xf borderId="7" fillId="0" fontId="11" numFmtId="0" xfId="0" applyAlignment="1" applyBorder="1" applyFont="1">
      <alignment horizontal="center" shrinkToFit="0" vertical="center" wrapText="1"/>
    </xf>
    <xf borderId="6" fillId="3" fontId="7" numFmtId="4" xfId="0" applyAlignment="1" applyBorder="1" applyFill="1" applyFont="1" applyNumberFormat="1">
      <alignment horizontal="right" vertical="center"/>
    </xf>
    <xf borderId="20" fillId="6" fontId="12" numFmtId="0" xfId="0" applyAlignment="1" applyBorder="1" applyFill="1" applyFont="1">
      <alignment horizontal="center" shrinkToFit="0" vertical="center" wrapText="1"/>
    </xf>
    <xf borderId="7" fillId="0" fontId="11" numFmtId="164" xfId="0" applyAlignment="1" applyBorder="1" applyFont="1" applyNumberFormat="1">
      <alignment horizontal="right" vertical="center"/>
    </xf>
    <xf borderId="6" fillId="3" fontId="7" numFmtId="165" xfId="0" applyAlignment="1" applyBorder="1" applyFill="1" applyFont="1" applyNumberFormat="1">
      <alignment horizontal="right" vertical="center"/>
    </xf>
    <xf borderId="6" fillId="3" fontId="7" numFmtId="2" xfId="0" applyAlignment="1" applyBorder="1" applyFill="1" applyFont="1" applyNumberFormat="1">
      <alignment horizontal="right" vertical="center"/>
    </xf>
    <xf borderId="7" fillId="0" fontId="11" numFmtId="166" xfId="0" applyAlignment="1" applyBorder="1" applyFont="1" applyNumberFormat="1">
      <alignment horizontal="right" vertical="center"/>
    </xf>
    <xf borderId="23" fillId="0" fontId="13" numFmtId="9" xfId="0" applyAlignment="1" applyBorder="1" applyFont="1" applyNumberFormat="1">
      <alignment horizontal="center" shrinkToFit="0" vertical="center" wrapText="1"/>
    </xf>
    <xf borderId="23" fillId="0" fontId="15" numFmtId="1" xfId="0" applyAlignment="1" applyBorder="1" applyFont="1" applyNumberFormat="1">
      <alignment shrinkToFit="0" vertical="center" wrapText="1"/>
    </xf>
    <xf borderId="7" fillId="0" fontId="11" numFmtId="4" xfId="0" applyAlignment="1" applyBorder="1" applyFont="1" applyNumberFormat="1">
      <alignment horizontal="right" vertical="center"/>
    </xf>
    <xf borderId="20" fillId="6" fontId="16" numFmtId="3" xfId="0" applyAlignment="1" applyBorder="1" applyFill="1" applyFont="1" applyNumberFormat="1">
      <alignment horizontal="center" shrinkToFit="0" vertical="center" wrapText="1"/>
    </xf>
    <xf borderId="7" fillId="0" fontId="11" numFmtId="2" xfId="0" applyAlignment="1" applyBorder="1" applyFont="1" applyNumberFormat="1">
      <alignment horizontal="right" vertical="center"/>
    </xf>
    <xf borderId="7" fillId="4" fontId="6" numFmtId="2" xfId="0" applyAlignment="1" applyBorder="1" applyFill="1" applyFont="1" applyNumberFormat="1">
      <alignment horizontal="right" vertical="center"/>
    </xf>
    <xf borderId="7" fillId="0" fontId="6" numFmtId="164" xfId="0" applyAlignment="1" applyBorder="1" applyFont="1" applyNumberFormat="1">
      <alignment horizontal="right" vertical="center"/>
    </xf>
    <xf borderId="0" fillId="0" fontId="1" numFmtId="164" xfId="0" applyFont="1" applyNumberFormat="1"/>
    <xf borderId="7" fillId="7" fontId="6" numFmtId="0" xfId="0" applyAlignment="1" applyBorder="1" applyFill="1" applyFont="1">
      <alignment horizontal="left" vertical="center"/>
    </xf>
    <xf borderId="7" fillId="7" fontId="11" numFmtId="0" xfId="0" applyAlignment="1" applyBorder="1" applyFill="1" applyFont="1">
      <alignment horizontal="left" vertical="center"/>
    </xf>
    <xf borderId="7" fillId="7" fontId="12" numFmtId="0" xfId="0" applyAlignment="1" applyBorder="1" applyFill="1" applyFont="1">
      <alignment horizontal="left" vertical="center"/>
    </xf>
    <xf borderId="25" fillId="8" fontId="17" numFmtId="3" xfId="0" applyAlignment="1" applyBorder="1" applyFill="1" applyFont="1" applyNumberFormat="1">
      <alignment horizontal="center" shrinkToFit="0" vertical="center" wrapText="1"/>
    </xf>
    <xf borderId="7" fillId="7" fontId="11" numFmtId="164" xfId="0" applyAlignment="1" applyBorder="1" applyFill="1" applyFont="1" applyNumberFormat="1">
      <alignment horizontal="right" vertical="center"/>
    </xf>
    <xf borderId="26" fillId="9" fontId="17" numFmtId="0" xfId="0" applyAlignment="1" applyBorder="1" applyFill="1" applyFont="1">
      <alignment horizontal="center" shrinkToFit="0" vertical="center" wrapText="1"/>
    </xf>
    <xf borderId="25" fillId="9" fontId="17" numFmtId="3" xfId="0" applyAlignment="1" applyBorder="1" applyFill="1" applyFont="1" applyNumberFormat="1">
      <alignment horizontal="right" shrinkToFit="0" vertical="center" wrapText="1"/>
    </xf>
    <xf borderId="25" fillId="9" fontId="17" numFmtId="0" xfId="0" applyAlignment="1" applyBorder="1" applyFill="1" applyFont="1">
      <alignment horizontal="right" shrinkToFit="0" vertical="center" wrapText="1"/>
    </xf>
    <xf borderId="25" fillId="9" fontId="15" numFmtId="0" xfId="0" applyAlignment="1" applyBorder="1" applyFill="1" applyFont="1">
      <alignment shrinkToFit="0" vertical="center" wrapText="1"/>
    </xf>
    <xf borderId="7" fillId="7" fontId="11" numFmtId="2" xfId="0" applyAlignment="1" applyBorder="1" applyFill="1" applyFont="1" applyNumberFormat="1">
      <alignment horizontal="right" vertical="center"/>
    </xf>
    <xf borderId="25" fillId="9" fontId="17" numFmtId="3" xfId="0" applyAlignment="1" applyBorder="1" applyFill="1" applyFont="1" applyNumberFormat="1">
      <alignment horizontal="center" shrinkToFit="0" vertical="center" wrapText="1"/>
    </xf>
    <xf borderId="25" fillId="9" fontId="17" numFmtId="0" xfId="0" applyAlignment="1" applyBorder="1" applyFill="1" applyFont="1">
      <alignment horizontal="center" shrinkToFit="0" vertical="center" wrapText="1"/>
    </xf>
    <xf borderId="7" fillId="7" fontId="6" numFmtId="164" xfId="0" applyAlignment="1" applyBorder="1" applyFill="1" applyFont="1" applyNumberFormat="1">
      <alignment horizontal="right" vertical="center"/>
    </xf>
    <xf borderId="0" fillId="0" fontId="15" numFmtId="0" xfId="0" applyFont="1"/>
    <xf borderId="0" fillId="0" fontId="15" numFmtId="0" xfId="0" applyAlignment="1" applyFont="1">
      <alignment shrinkToFit="0" vertical="center" wrapText="1"/>
    </xf>
    <xf borderId="0" fillId="0" fontId="17" numFmtId="0" xfId="0" applyAlignment="1" applyFont="1">
      <alignment shrinkToFit="0" vertical="center" wrapText="1"/>
    </xf>
    <xf borderId="27" fillId="10" fontId="17" numFmtId="10" xfId="0" applyAlignment="1" applyBorder="1" applyFill="1" applyFont="1" applyNumberFormat="1">
      <alignment horizontal="right" shrinkToFit="0" vertical="center" wrapText="1"/>
    </xf>
    <xf borderId="0" fillId="0" fontId="17" numFmtId="10" xfId="0" applyAlignment="1" applyFont="1" applyNumberFormat="1">
      <alignment horizontal="right" shrinkToFit="0" vertical="center" wrapText="1"/>
    </xf>
    <xf borderId="0" fillId="0" fontId="13" numFmtId="10" xfId="0" applyAlignment="1" applyFont="1" applyNumberFormat="1">
      <alignment horizontal="right" shrinkToFit="0" vertical="center" wrapText="1"/>
    </xf>
    <xf borderId="0" fillId="0" fontId="18" numFmtId="3" xfId="0" applyFont="1" applyNumberFormat="1"/>
    <xf borderId="28" fillId="0" fontId="17" numFmtId="0" xfId="0" applyAlignment="1" applyBorder="1" applyFont="1">
      <alignment shrinkToFit="0" vertical="center" wrapText="1"/>
    </xf>
    <xf borderId="28" fillId="0" fontId="15" numFmtId="0" xfId="0" applyAlignment="1" applyBorder="1" applyFont="1">
      <alignment shrinkToFit="0" vertical="center" wrapText="1"/>
    </xf>
    <xf borderId="0" fillId="0" fontId="18" numFmtId="0" xfId="0" applyFont="1"/>
    <xf borderId="29" fillId="0" fontId="6" numFmtId="0" xfId="0" applyAlignment="1" applyBorder="1" applyFont="1">
      <alignment horizontal="left" vertical="center"/>
    </xf>
    <xf borderId="29" fillId="0" fontId="1" numFmtId="0" xfId="0" applyBorder="1" applyFont="1"/>
    <xf borderId="29" fillId="0" fontId="6" numFmtId="4" xfId="0" applyAlignment="1" applyBorder="1" applyFont="1" applyNumberFormat="1">
      <alignment horizontal="right" vertical="center"/>
    </xf>
    <xf borderId="29" fillId="0" fontId="6" numFmtId="166" xfId="0" applyAlignment="1" applyBorder="1" applyFont="1" applyNumberFormat="1">
      <alignment horizontal="right" vertical="center"/>
    </xf>
    <xf borderId="29" fillId="0" fontId="6" numFmtId="164" xfId="0" applyAlignment="1" applyBorder="1" applyFont="1" applyNumberFormat="1">
      <alignment horizontal="right" vertical="center"/>
    </xf>
    <xf borderId="11" fillId="11" fontId="9" numFmtId="0" xfId="0" applyAlignment="1" applyBorder="1" applyFill="1" applyFont="1">
      <alignment horizontal="center" shrinkToFit="0" vertical="center" wrapText="1"/>
    </xf>
    <xf borderId="27" fillId="3" fontId="7" numFmtId="165" xfId="0" applyAlignment="1" applyBorder="1" applyFill="1" applyFont="1" applyNumberFormat="1">
      <alignment horizontal="right" vertical="center"/>
    </xf>
    <xf borderId="27" fillId="3" fontId="7" numFmtId="2" xfId="0" applyAlignment="1" applyBorder="1" applyFill="1" applyFont="1" applyNumberFormat="1">
      <alignment horizontal="right" vertical="center"/>
    </xf>
    <xf borderId="30" fillId="7" fontId="11" numFmtId="2" xfId="0" applyAlignment="1" applyBorder="1" applyFill="1" applyFont="1" applyNumberFormat="1">
      <alignment horizontal="right" vertical="center"/>
    </xf>
    <xf borderId="30" fillId="4" fontId="6" numFmtId="2" xfId="0" applyAlignment="1" applyBorder="1" applyFill="1" applyFont="1" applyNumberFormat="1">
      <alignment horizontal="right" vertical="center"/>
    </xf>
    <xf borderId="30" fillId="7" fontId="6" numFmtId="164" xfId="0" applyAlignment="1" applyBorder="1" applyFill="1" applyFont="1" applyNumberFormat="1">
      <alignment horizontal="right" vertical="center"/>
    </xf>
    <xf borderId="7" fillId="0" fontId="6" numFmtId="4" xfId="0" applyAlignment="1" applyBorder="1" applyFont="1" applyNumberFormat="1">
      <alignment horizontal="center" shrinkToFit="0" vertical="center" wrapText="1"/>
    </xf>
    <xf borderId="7" fillId="0" fontId="12" numFmtId="0" xfId="0" applyAlignment="1" applyBorder="1" applyFont="1">
      <alignment horizontal="center" shrinkToFit="0" vertical="center" wrapText="1"/>
    </xf>
    <xf borderId="31" fillId="2" fontId="2" numFmtId="0" xfId="0" applyAlignment="1" applyBorder="1" applyFill="1" applyFont="1">
      <alignment shrinkToFit="0" vertical="center" wrapText="1"/>
    </xf>
    <xf borderId="32" fillId="0" fontId="3" numFmtId="0" xfId="0" applyBorder="1" applyFont="1"/>
    <xf borderId="29" fillId="5" fontId="9" numFmtId="0" xfId="0" applyAlignment="1" applyBorder="1" applyFill="1" applyFont="1">
      <alignment horizontal="left" vertical="center"/>
    </xf>
    <xf borderId="6" fillId="3" fontId="7" numFmtId="166" xfId="0" applyAlignment="1" applyBorder="1" applyFill="1" applyFont="1" applyNumberFormat="1">
      <alignment horizontal="center" shrinkToFit="0" vertical="center" wrapText="1"/>
    </xf>
    <xf borderId="33" fillId="0" fontId="3" numFmtId="0" xfId="0" applyBorder="1" applyFont="1"/>
    <xf borderId="29" fillId="5" fontId="9" numFmtId="164" xfId="0" applyAlignment="1" applyBorder="1" applyFill="1" applyFont="1" applyNumberFormat="1">
      <alignment horizontal="right" vertical="center"/>
    </xf>
    <xf borderId="29" fillId="5" fontId="9" numFmtId="2" xfId="0" applyAlignment="1" applyBorder="1" applyFill="1" applyFont="1" applyNumberFormat="1">
      <alignment horizontal="right" vertical="center"/>
    </xf>
    <xf borderId="6" fillId="3" fontId="7" numFmtId="3" xfId="0" applyAlignment="1" applyBorder="1" applyFill="1" applyFont="1" applyNumberFormat="1">
      <alignment horizontal="center" shrinkToFit="0" vertical="center" wrapText="1"/>
    </xf>
    <xf borderId="20" fillId="0" fontId="12" numFmtId="0" xfId="0" applyAlignment="1" applyBorder="1" applyFont="1">
      <alignment horizontal="left" vertical="center"/>
    </xf>
    <xf borderId="7" fillId="0" fontId="6" numFmtId="3" xfId="0" applyAlignment="1" applyBorder="1" applyFont="1" applyNumberFormat="1">
      <alignment horizontal="center" shrinkToFit="0" vertical="center" wrapText="1"/>
    </xf>
    <xf borderId="31" fillId="12" fontId="13" numFmtId="0" xfId="0" applyAlignment="1" applyBorder="1" applyFill="1" applyFont="1">
      <alignment shrinkToFit="0" vertical="center" wrapText="1"/>
    </xf>
    <xf borderId="27" fillId="12" fontId="13" numFmtId="0" xfId="0" applyAlignment="1" applyBorder="1" applyFill="1" applyFont="1">
      <alignment horizontal="right" shrinkToFit="0" vertical="center" wrapText="1"/>
    </xf>
    <xf borderId="31" fillId="13" fontId="13" numFmtId="0" xfId="0" applyAlignment="1" applyBorder="1" applyFill="1" applyFont="1">
      <alignment shrinkToFit="0" vertical="center" wrapText="1"/>
    </xf>
    <xf borderId="27" fillId="13" fontId="13" numFmtId="0" xfId="0" applyAlignment="1" applyBorder="1" applyFill="1" applyFont="1">
      <alignment horizontal="right" shrinkToFit="0" vertical="center" wrapText="1"/>
    </xf>
    <xf borderId="6" fillId="3" fontId="7" numFmtId="4" xfId="0" applyAlignment="1" applyBorder="1" applyFill="1" applyFont="1" applyNumberFormat="1">
      <alignment horizontal="center" shrinkToFit="0" vertical="center" wrapText="1"/>
    </xf>
    <xf borderId="31" fillId="8" fontId="17" numFmtId="0" xfId="0" applyAlignment="1" applyBorder="1" applyFill="1" applyFont="1">
      <alignment shrinkToFit="0" vertical="center" wrapText="1"/>
    </xf>
    <xf borderId="27" fillId="8" fontId="17" numFmtId="0" xfId="0" applyAlignment="1" applyBorder="1" applyFill="1" applyFont="1">
      <alignment horizontal="right" shrinkToFit="0" vertical="center" wrapText="1"/>
    </xf>
    <xf borderId="34" fillId="0" fontId="17" numFmtId="0" xfId="0" applyAlignment="1" applyBorder="1" applyFont="1">
      <alignment shrinkToFit="0" vertical="center" wrapText="1"/>
    </xf>
    <xf borderId="34" fillId="0" fontId="15" numFmtId="0" xfId="0" applyAlignment="1" applyBorder="1" applyFont="1">
      <alignment shrinkToFit="0" vertical="center" wrapText="1"/>
    </xf>
    <xf borderId="35" fillId="2" fontId="2" numFmtId="0" xfId="0" applyAlignment="1" applyBorder="1" applyFill="1" applyFont="1">
      <alignment horizontal="center" shrinkToFit="0" vertical="center" wrapText="1"/>
    </xf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17" fillId="0" fontId="13" numFmtId="0" xfId="0" applyAlignment="1" applyBorder="1" applyFont="1">
      <alignment shrinkToFit="0" vertical="center" wrapText="1"/>
    </xf>
    <xf borderId="39" fillId="0" fontId="13" numFmtId="0" xfId="0" applyAlignment="1" applyBorder="1" applyFont="1">
      <alignment horizontal="right" shrinkToFit="0" vertical="center" wrapText="1"/>
    </xf>
    <xf borderId="24" fillId="0" fontId="13" numFmtId="3" xfId="0" applyAlignment="1" applyBorder="1" applyFont="1" applyNumberFormat="1">
      <alignment horizontal="right" shrinkToFit="0" vertical="center" wrapText="1"/>
    </xf>
    <xf borderId="39" fillId="0" fontId="13" numFmtId="9" xfId="0" applyAlignment="1" applyBorder="1" applyFont="1" applyNumberFormat="1">
      <alignment horizontal="right" shrinkToFit="0" vertical="center" wrapText="1"/>
    </xf>
    <xf borderId="24" fillId="0" fontId="13" numFmtId="3" xfId="0" applyAlignment="1" applyBorder="1" applyFont="1" applyNumberFormat="1">
      <alignment horizontal="center" shrinkToFit="0" vertical="center" wrapText="1"/>
    </xf>
    <xf borderId="39" fillId="0" fontId="13" numFmtId="3" xfId="0" applyAlignment="1" applyBorder="1" applyFont="1" applyNumberFormat="1">
      <alignment horizontal="center" shrinkToFit="0" vertical="center" wrapText="1"/>
    </xf>
    <xf borderId="27" fillId="14" fontId="8" numFmtId="0" xfId="0" applyBorder="1" applyFill="1" applyFont="1"/>
    <xf borderId="7" fillId="0" fontId="6" numFmtId="4" xfId="0" applyAlignment="1" applyBorder="1" applyFont="1" applyNumberFormat="1">
      <alignment horizontal="right" vertical="center"/>
    </xf>
    <xf borderId="6" fillId="3" fontId="7" numFmtId="3" xfId="0" applyAlignment="1" applyBorder="1" applyFill="1" applyFont="1" applyNumberFormat="1">
      <alignment horizontal="right" vertical="center"/>
    </xf>
    <xf borderId="7" fillId="0" fontId="6" numFmtId="3" xfId="0" applyAlignment="1" applyBorder="1" applyFont="1" applyNumberFormat="1">
      <alignment horizontal="right" vertical="center"/>
    </xf>
    <xf borderId="7" fillId="0" fontId="6" numFmtId="0" xfId="0" applyAlignment="1" applyBorder="1" applyFont="1">
      <alignment horizontal="right" vertical="center"/>
    </xf>
    <xf borderId="7" fillId="4" fontId="6" numFmtId="0" xfId="0" applyAlignment="1" applyBorder="1" applyFill="1" applyFont="1">
      <alignment horizontal="left" vertical="center"/>
    </xf>
    <xf borderId="7" fillId="4" fontId="6" numFmtId="4" xfId="0" applyAlignment="1" applyBorder="1" applyFill="1" applyFont="1" applyNumberFormat="1">
      <alignment horizontal="right" vertical="center"/>
    </xf>
    <xf borderId="25" fillId="10" fontId="17" numFmtId="3" xfId="0" applyAlignment="1" applyBorder="1" applyFill="1" applyFont="1" applyNumberFormat="1">
      <alignment horizontal="right" shrinkToFit="0" vertical="center" wrapText="1"/>
    </xf>
    <xf borderId="0" fillId="0" fontId="19" numFmtId="0" xfId="0" applyFont="1"/>
    <xf borderId="0" fillId="0" fontId="20" numFmtId="0" xfId="0" applyFont="1"/>
    <xf borderId="0" fillId="0" fontId="21" numFmtId="0" xfId="0" applyFont="1"/>
    <xf borderId="6" fillId="3" fontId="22" numFmtId="0" xfId="0" applyAlignment="1" applyBorder="1" applyFill="1" applyFont="1">
      <alignment horizontal="center" shrinkToFit="0" vertical="center" wrapText="1"/>
    </xf>
    <xf borderId="7" fillId="15" fontId="23" numFmtId="0" xfId="0" applyAlignment="1" applyBorder="1" applyFill="1" applyFont="1">
      <alignment horizontal="center" shrinkToFit="0" vertical="center" wrapText="1"/>
    </xf>
    <xf borderId="40" fillId="16" fontId="24" numFmtId="0" xfId="0" applyAlignment="1" applyBorder="1" applyFill="1" applyFont="1">
      <alignment horizontal="center" shrinkToFit="0" vertical="center" wrapText="1"/>
    </xf>
    <xf borderId="41" fillId="16" fontId="24" numFmtId="0" xfId="0" applyAlignment="1" applyBorder="1" applyFill="1" applyFont="1">
      <alignment horizontal="center" shrinkToFit="0" vertical="center" wrapText="1"/>
    </xf>
    <xf borderId="42" fillId="16" fontId="24" numFmtId="0" xfId="0" applyAlignment="1" applyBorder="1" applyFill="1" applyFont="1">
      <alignment horizontal="center" shrinkToFit="0" vertical="center" wrapText="1"/>
    </xf>
    <xf borderId="43" fillId="0" fontId="25" numFmtId="0" xfId="0" applyAlignment="1" applyBorder="1" applyFont="1">
      <alignment shrinkToFit="0" vertical="center" wrapText="1"/>
    </xf>
    <xf borderId="7" fillId="17" fontId="26" numFmtId="165" xfId="0" applyAlignment="1" applyBorder="1" applyFill="1" applyFont="1" applyNumberFormat="1">
      <alignment horizontal="center" vertical="center"/>
    </xf>
    <xf borderId="7" fillId="15" fontId="27" numFmtId="165" xfId="0" applyAlignment="1" applyBorder="1" applyFill="1" applyFont="1" applyNumberFormat="1">
      <alignment horizontal="center" vertical="center"/>
    </xf>
    <xf borderId="44" fillId="0" fontId="15" numFmtId="165" xfId="0" applyBorder="1" applyFont="1" applyNumberFormat="1"/>
    <xf borderId="45" fillId="15" fontId="25" numFmtId="165" xfId="0" applyAlignment="1" applyBorder="1" applyFill="1" applyFont="1" applyNumberFormat="1">
      <alignment horizontal="right" vertical="center"/>
    </xf>
    <xf borderId="46" fillId="0" fontId="25" numFmtId="0" xfId="0" applyAlignment="1" applyBorder="1" applyFont="1">
      <alignment shrinkToFit="0" vertical="center" wrapText="1"/>
    </xf>
    <xf borderId="0" fillId="0" fontId="15" numFmtId="165" xfId="0" applyFont="1" applyNumberFormat="1"/>
    <xf borderId="47" fillId="2" fontId="2" numFmtId="0" xfId="0" applyAlignment="1" applyBorder="1" applyFill="1" applyFont="1">
      <alignment shrinkToFit="0" vertical="center" wrapText="1"/>
    </xf>
    <xf borderId="48" fillId="15" fontId="25" numFmtId="165" xfId="0" applyAlignment="1" applyBorder="1" applyFill="1" applyFont="1" applyNumberFormat="1">
      <alignment horizontal="right" vertical="center"/>
    </xf>
    <xf borderId="0" fillId="0" fontId="1" numFmtId="1" xfId="0" applyFont="1" applyNumberFormat="1"/>
    <xf borderId="27" fillId="15" fontId="27" numFmtId="165" xfId="0" applyAlignment="1" applyBorder="1" applyFill="1" applyFont="1" applyNumberFormat="1">
      <alignment horizontal="center" vertical="center"/>
    </xf>
    <xf borderId="7" fillId="13" fontId="27" numFmtId="165" xfId="0" applyAlignment="1" applyBorder="1" applyFill="1" applyFont="1" applyNumberFormat="1">
      <alignment horizontal="center" vertical="center"/>
    </xf>
    <xf borderId="30" fillId="17" fontId="26" numFmtId="165" xfId="0" applyAlignment="1" applyBorder="1" applyFill="1" applyFont="1" applyNumberFormat="1">
      <alignment horizontal="center" vertical="center"/>
    </xf>
    <xf borderId="27" fillId="17" fontId="26" numFmtId="165" xfId="0" applyAlignment="1" applyBorder="1" applyFill="1" applyFont="1" applyNumberFormat="1">
      <alignment horizontal="center" vertical="center"/>
    </xf>
    <xf borderId="49" fillId="16" fontId="28" numFmtId="0" xfId="0" applyAlignment="1" applyBorder="1" applyFill="1" applyFont="1">
      <alignment horizontal="center" vertical="center"/>
    </xf>
    <xf borderId="50" fillId="15" fontId="25" numFmtId="165" xfId="0" applyAlignment="1" applyBorder="1" applyFill="1" applyFont="1" applyNumberFormat="1">
      <alignment horizontal="right" vertical="center"/>
    </xf>
    <xf borderId="51" fillId="16" fontId="28" numFmtId="165" xfId="0" applyAlignment="1" applyBorder="1" applyFill="1" applyFont="1" applyNumberFormat="1">
      <alignment horizontal="right" vertical="center"/>
    </xf>
    <xf borderId="0" fillId="0" fontId="29" numFmtId="0" xfId="0" applyFont="1"/>
    <xf borderId="52" fillId="13" fontId="30" numFmtId="0" xfId="0" applyAlignment="1" applyBorder="1" applyFill="1" applyFont="1">
      <alignment shrinkToFit="0" wrapText="1"/>
    </xf>
    <xf borderId="44" fillId="0" fontId="31" numFmtId="0" xfId="0" applyAlignment="1" applyBorder="1" applyFont="1">
      <alignment shrinkToFit="0" wrapText="1"/>
    </xf>
    <xf borderId="44" fillId="0" fontId="3" numFmtId="0" xfId="0" applyBorder="1" applyFont="1"/>
    <xf borderId="53" fillId="0" fontId="3" numFmtId="0" xfId="0" applyBorder="1" applyFont="1"/>
    <xf borderId="54" fillId="15" fontId="30" numFmtId="0" xfId="0" applyAlignment="1" applyBorder="1" applyFill="1" applyFont="1">
      <alignment shrinkToFit="0" wrapText="1"/>
    </xf>
    <xf borderId="0" fillId="0" fontId="31" numFmtId="0" xfId="0" applyAlignment="1" applyFont="1">
      <alignment shrinkToFit="0" wrapText="1"/>
    </xf>
    <xf borderId="55" fillId="0" fontId="3" numFmtId="0" xfId="0" applyBorder="1" applyFont="1"/>
    <xf borderId="49" fillId="18" fontId="30" numFmtId="0" xfId="0" applyAlignment="1" applyBorder="1" applyFill="1" applyFont="1">
      <alignment shrinkToFit="0" wrapText="1"/>
    </xf>
    <xf borderId="56" fillId="0" fontId="31" numFmtId="0" xfId="0" applyAlignment="1" applyBorder="1" applyFont="1">
      <alignment shrinkToFit="0" wrapText="1"/>
    </xf>
    <xf borderId="56" fillId="0" fontId="3" numFmtId="0" xfId="0" applyBorder="1" applyFont="1"/>
    <xf borderId="57" fillId="0" fontId="3" numFmtId="0" xfId="0" applyBorder="1" applyFont="1"/>
    <xf borderId="7" fillId="17" fontId="26" numFmtId="164" xfId="0" applyAlignment="1" applyBorder="1" applyFill="1" applyFont="1" applyNumberFormat="1">
      <alignment horizontal="center" vertical="center"/>
    </xf>
    <xf borderId="7" fillId="15" fontId="27" numFmtId="164" xfId="0" applyAlignment="1" applyBorder="1" applyFill="1" applyFont="1" applyNumberFormat="1">
      <alignment horizontal="center" vertical="center"/>
    </xf>
    <xf borderId="44" fillId="0" fontId="15" numFmtId="164" xfId="0" applyBorder="1" applyFont="1" applyNumberFormat="1"/>
    <xf borderId="45" fillId="15" fontId="25" numFmtId="164" xfId="0" applyAlignment="1" applyBorder="1" applyFill="1" applyFont="1" applyNumberFormat="1">
      <alignment horizontal="right" vertical="center"/>
    </xf>
    <xf borderId="0" fillId="0" fontId="15" numFmtId="164" xfId="0" applyFont="1" applyNumberFormat="1"/>
    <xf borderId="48" fillId="15" fontId="25" numFmtId="164" xfId="0" applyAlignment="1" applyBorder="1" applyFill="1" applyFont="1" applyNumberFormat="1">
      <alignment horizontal="right" vertical="center"/>
    </xf>
    <xf borderId="7" fillId="13" fontId="27" numFmtId="164" xfId="0" applyAlignment="1" applyBorder="1" applyFill="1" applyFont="1" applyNumberFormat="1">
      <alignment horizontal="center" vertical="center"/>
    </xf>
    <xf borderId="0" fillId="0" fontId="13" numFmtId="0" xfId="0" applyFont="1"/>
    <xf borderId="0" fillId="0" fontId="10" numFmtId="0" xfId="0" applyFont="1"/>
    <xf borderId="0" fillId="0" fontId="32" numFmtId="0" xfId="0" applyFont="1"/>
    <xf borderId="11" fillId="5" fontId="2" numFmtId="0" xfId="0" applyAlignment="1" applyBorder="1" applyFill="1" applyFont="1">
      <alignment horizontal="center" shrinkToFit="0" vertical="center" wrapText="1"/>
    </xf>
    <xf borderId="7" fillId="0" fontId="32" numFmtId="0" xfId="0" applyAlignment="1" applyBorder="1" applyFont="1">
      <alignment horizontal="left" vertical="center"/>
    </xf>
    <xf borderId="29" fillId="17" fontId="26" numFmtId="164" xfId="0" applyAlignment="1" applyBorder="1" applyFill="1" applyFont="1" applyNumberFormat="1">
      <alignment horizontal="center" vertical="center"/>
    </xf>
    <xf borderId="50" fillId="15" fontId="25" numFmtId="164" xfId="0" applyAlignment="1" applyBorder="1" applyFill="1" applyFont="1" applyNumberFormat="1">
      <alignment horizontal="right" vertical="center"/>
    </xf>
    <xf borderId="51" fillId="16" fontId="28" numFmtId="164" xfId="0" applyAlignment="1" applyBorder="1" applyFill="1" applyFont="1" applyNumberFormat="1">
      <alignment horizontal="right" vertical="center"/>
    </xf>
    <xf borderId="27" fillId="13" fontId="30" numFmtId="0" xfId="0" applyAlignment="1" applyBorder="1" applyFill="1" applyFont="1">
      <alignment shrinkToFit="0" wrapText="1"/>
    </xf>
    <xf borderId="27" fillId="15" fontId="30" numFmtId="0" xfId="0" applyAlignment="1" applyBorder="1" applyFill="1" applyFont="1">
      <alignment shrinkToFit="0" wrapText="1"/>
    </xf>
    <xf borderId="27" fillId="18" fontId="30" numFmtId="0" xfId="0" applyAlignment="1" applyBorder="1" applyFill="1" applyFont="1">
      <alignment shrinkToFit="0" wrapText="1"/>
    </xf>
    <xf borderId="11" fillId="11" fontId="2" numFmtId="0" xfId="0" applyAlignment="1" applyBorder="1" applyFill="1" applyFont="1">
      <alignment horizontal="center" shrinkToFit="0" vertical="center" wrapText="1"/>
    </xf>
    <xf borderId="7" fillId="0" fontId="6" numFmtId="165" xfId="0" applyAlignment="1" applyBorder="1" applyFont="1" applyNumberFormat="1">
      <alignment horizontal="right" vertical="center"/>
    </xf>
    <xf borderId="7" fillId="0" fontId="11" numFmtId="165" xfId="0" applyAlignment="1" applyBorder="1" applyFont="1" applyNumberFormat="1">
      <alignment horizontal="right" vertical="center"/>
    </xf>
    <xf borderId="7" fillId="3" fontId="6" numFmtId="0" xfId="0" applyAlignment="1" applyBorder="1" applyFill="1" applyFont="1">
      <alignment horizontal="center" shrinkToFit="0" vertical="center" wrapText="1"/>
    </xf>
    <xf borderId="31" fillId="19" fontId="33" numFmtId="0" xfId="0" applyAlignment="1" applyBorder="1" applyFill="1" applyFont="1">
      <alignment horizontal="center" vertical="center"/>
    </xf>
    <xf borderId="0" fillId="0" fontId="13" numFmtId="10" xfId="0" applyFont="1" applyNumberFormat="1"/>
    <xf borderId="27" fillId="19" fontId="34" numFmtId="0" xfId="0" applyAlignment="1" applyBorder="1" applyFill="1" applyFont="1">
      <alignment horizontal="center"/>
    </xf>
    <xf borderId="31" fillId="20" fontId="35" numFmtId="0" xfId="0" applyAlignment="1" applyBorder="1" applyFill="1" applyFont="1">
      <alignment horizontal="left" vertical="center"/>
    </xf>
    <xf borderId="0" fillId="0" fontId="36" numFmtId="0" xfId="0" applyAlignment="1" applyFont="1">
      <alignment shrinkToFit="0" wrapText="1"/>
    </xf>
    <xf borderId="58" fillId="21" fontId="34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27" fillId="22" fontId="37" numFmtId="0" xfId="0" applyAlignment="1" applyBorder="1" applyFill="1" applyFont="1">
      <alignment horizontal="center" vertical="center"/>
    </xf>
    <xf borderId="59" fillId="0" fontId="15" numFmtId="0" xfId="0" applyAlignment="1" applyBorder="1" applyFont="1">
      <alignment shrinkToFit="0" vertical="center" wrapText="1"/>
    </xf>
    <xf borderId="27" fillId="23" fontId="38" numFmtId="0" xfId="0" applyAlignment="1" applyBorder="1" applyFill="1" applyFont="1">
      <alignment horizontal="center" vertical="center"/>
    </xf>
    <xf borderId="27" fillId="13" fontId="39" numFmtId="0" xfId="0" applyAlignment="1" applyBorder="1" applyFill="1" applyFont="1">
      <alignment horizontal="center" vertical="center"/>
    </xf>
    <xf borderId="27" fillId="24" fontId="40" numFmtId="0" xfId="0" applyAlignment="1" applyBorder="1" applyFill="1" applyFont="1">
      <alignment horizontal="center" vertical="center"/>
    </xf>
    <xf borderId="29" fillId="5" fontId="2" numFmtId="0" xfId="0" applyAlignment="1" applyBorder="1" applyFill="1" applyFont="1">
      <alignment horizontal="left" vertical="center"/>
    </xf>
    <xf borderId="29" fillId="0" fontId="13" numFmtId="0" xfId="0" applyBorder="1" applyFont="1"/>
    <xf borderId="27" fillId="25" fontId="41" numFmtId="0" xfId="0" applyAlignment="1" applyBorder="1" applyFill="1" applyFont="1">
      <alignment horizontal="center" vertical="center"/>
    </xf>
    <xf borderId="29" fillId="5" fontId="2" numFmtId="164" xfId="0" applyAlignment="1" applyBorder="1" applyFill="1" applyFont="1" applyNumberFormat="1">
      <alignment horizontal="right" vertical="center"/>
    </xf>
    <xf borderId="29" fillId="5" fontId="2" numFmtId="2" xfId="0" applyAlignment="1" applyBorder="1" applyFill="1" applyFont="1" applyNumberFormat="1">
      <alignment horizontal="right" vertical="center"/>
    </xf>
    <xf borderId="29" fillId="0" fontId="32" numFmtId="0" xfId="0" applyAlignment="1" applyBorder="1" applyFont="1">
      <alignment horizontal="center" shrinkToFit="0" vertical="center" wrapText="1"/>
    </xf>
    <xf borderId="31" fillId="20" fontId="42" numFmtId="0" xfId="0" applyAlignment="1" applyBorder="1" applyFill="1" applyFont="1">
      <alignment horizontal="left"/>
    </xf>
    <xf borderId="27" fillId="19" fontId="34" numFmtId="0" xfId="0" applyAlignment="1" applyBorder="1" applyFill="1" applyFont="1">
      <alignment horizontal="center" shrinkToFit="0" vertical="center" wrapText="1"/>
    </xf>
    <xf borderId="27" fillId="26" fontId="34" numFmtId="0" xfId="0" applyAlignment="1" applyBorder="1" applyFill="1" applyFont="1">
      <alignment horizontal="center" shrinkToFit="0" vertical="center" wrapText="1"/>
    </xf>
    <xf borderId="27" fillId="8" fontId="43" numFmtId="0" xfId="0" applyAlignment="1" applyBorder="1" applyFill="1" applyFont="1">
      <alignment horizontal="center" vertical="center"/>
    </xf>
    <xf borderId="27" fillId="26" fontId="34" numFmtId="0" xfId="0" applyBorder="1" applyFill="1" applyFont="1"/>
    <xf borderId="27" fillId="19" fontId="34" numFmtId="0" xfId="0" applyAlignment="1" applyBorder="1" applyFill="1" applyFont="1">
      <alignment horizontal="center" vertical="center"/>
    </xf>
    <xf borderId="27" fillId="17" fontId="38" numFmtId="0" xfId="0" applyAlignment="1" applyBorder="1" applyFill="1" applyFont="1">
      <alignment horizontal="center" vertical="center"/>
    </xf>
    <xf borderId="0" fillId="0" fontId="15" numFmtId="0" xfId="0" applyAlignment="1" applyFont="1">
      <alignment vertical="center"/>
    </xf>
    <xf borderId="27" fillId="22" fontId="44" numFmtId="0" xfId="0" applyBorder="1" applyFill="1" applyFont="1"/>
    <xf borderId="27" fillId="27" fontId="44" numFmtId="0" xfId="0" applyBorder="1" applyFill="1" applyFont="1"/>
    <xf borderId="60" fillId="0" fontId="15" numFmtId="0" xfId="0" applyAlignment="1" applyBorder="1" applyFont="1">
      <alignment horizontal="center" vertical="center"/>
    </xf>
    <xf borderId="60" fillId="0" fontId="15" numFmtId="0" xfId="0" applyAlignment="1" applyBorder="1" applyFont="1">
      <alignment shrinkToFit="0" vertical="center" wrapText="1"/>
    </xf>
    <xf borderId="61" fillId="23" fontId="38" numFmtId="0" xfId="0" applyAlignment="1" applyBorder="1" applyFill="1" applyFont="1">
      <alignment horizontal="center" vertical="center"/>
    </xf>
    <xf borderId="62" fillId="0" fontId="15" numFmtId="0" xfId="0" applyAlignment="1" applyBorder="1" applyFont="1">
      <alignment shrinkToFit="0" vertical="center" wrapText="1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shrinkToFit="0" wrapText="1"/>
    </xf>
    <xf borderId="27" fillId="13" fontId="44" numFmtId="0" xfId="0" applyAlignment="1" applyBorder="1" applyFill="1" applyFont="1">
      <alignment horizontal="center"/>
    </xf>
    <xf borderId="27" fillId="8" fontId="44" numFmtId="0" xfId="0" applyBorder="1" applyFill="1" applyFont="1"/>
    <xf borderId="27" fillId="24" fontId="44" numFmtId="0" xfId="0" applyBorder="1" applyFill="1" applyFont="1"/>
    <xf borderId="27" fillId="23" fontId="44" numFmtId="0" xfId="0" applyBorder="1" applyFill="1" applyFont="1"/>
    <xf borderId="61" fillId="25" fontId="41" numFmtId="0" xfId="0" applyAlignment="1" applyBorder="1" applyFill="1" applyFont="1">
      <alignment horizontal="center" vertical="center"/>
    </xf>
    <xf borderId="60" fillId="0" fontId="15" numFmtId="0" xfId="0" applyAlignment="1" applyBorder="1" applyFont="1">
      <alignment vertical="center"/>
    </xf>
    <xf borderId="27" fillId="28" fontId="44" numFmtId="0" xfId="0" applyBorder="1" applyFill="1" applyFont="1"/>
    <xf borderId="63" fillId="5" fontId="45" numFmtId="0" xfId="0" applyAlignment="1" applyBorder="1" applyFill="1" applyFont="1">
      <alignment horizontal="center" vertical="center"/>
    </xf>
    <xf borderId="7" fillId="0" fontId="46" numFmtId="0" xfId="0" applyAlignment="1" applyBorder="1" applyFont="1">
      <alignment horizontal="center"/>
    </xf>
    <xf borderId="7" fillId="29" fontId="47" numFmtId="0" xfId="0" applyBorder="1" applyFill="1" applyFont="1"/>
    <xf borderId="7" fillId="29" fontId="48" numFmtId="0" xfId="0" applyAlignment="1" applyBorder="1" applyFill="1" applyFont="1">
      <alignment horizontal="center"/>
    </xf>
    <xf borderId="7" fillId="29" fontId="46" numFmtId="0" xfId="0" applyAlignment="1" applyBorder="1" applyFill="1" applyFont="1">
      <alignment horizontal="center"/>
    </xf>
    <xf borderId="7" fillId="29" fontId="15" numFmtId="0" xfId="0" applyAlignment="1" applyBorder="1" applyFill="1" applyFont="1">
      <alignment horizontal="center"/>
    </xf>
    <xf borderId="7" fillId="29" fontId="46" numFmtId="4" xfId="0" applyAlignment="1" applyBorder="1" applyFill="1" applyFont="1" applyNumberFormat="1">
      <alignment horizontal="right"/>
    </xf>
    <xf borderId="7" fillId="0" fontId="15" numFmtId="0" xfId="0" applyAlignment="1" applyBorder="1" applyFont="1">
      <alignment horizontal="center"/>
    </xf>
    <xf borderId="7" fillId="29" fontId="47" numFmtId="0" xfId="0" applyAlignment="1" applyBorder="1" applyFill="1" applyFont="1">
      <alignment horizontal="center"/>
    </xf>
    <xf borderId="7" fillId="29" fontId="15" numFmtId="2" xfId="0" applyAlignment="1" applyBorder="1" applyFill="1" applyFont="1" applyNumberFormat="1">
      <alignment horizontal="right"/>
    </xf>
    <xf borderId="7" fillId="0" fontId="15" numFmtId="166" xfId="0" applyAlignment="1" applyBorder="1" applyFont="1" applyNumberFormat="1">
      <alignment horizontal="right"/>
    </xf>
    <xf borderId="27" fillId="29" fontId="15" numFmtId="0" xfId="0" applyBorder="1" applyFill="1" applyFont="1"/>
    <xf borderId="0" fillId="0" fontId="46" numFmtId="0" xfId="0" applyFont="1"/>
    <xf borderId="27" fillId="4" fontId="46" numFmtId="4" xfId="0" applyBorder="1" applyFill="1" applyFont="1" applyNumberFormat="1"/>
    <xf borderId="0" fillId="0" fontId="46" numFmtId="166" xfId="0" applyFont="1" applyNumberFormat="1"/>
    <xf borderId="64" fillId="0" fontId="44" numFmtId="0" xfId="0" applyAlignment="1" applyBorder="1" applyFont="1">
      <alignment horizontal="center"/>
    </xf>
    <xf borderId="65" fillId="5" fontId="9" numFmtId="0" xfId="0" applyAlignment="1" applyBorder="1" applyFill="1" applyFont="1">
      <alignment horizontal="center" shrinkToFit="0" vertical="center" wrapText="1"/>
    </xf>
    <xf borderId="0" fillId="0" fontId="15" numFmtId="1" xfId="0" applyFont="1" applyNumberFormat="1"/>
    <xf borderId="29" fillId="5" fontId="9" numFmtId="3" xfId="0" applyAlignment="1" applyBorder="1" applyFill="1" applyFont="1" applyNumberFormat="1">
      <alignment horizontal="right" vertical="center"/>
    </xf>
    <xf borderId="27" fillId="26" fontId="34" numFmtId="0" xfId="0" applyAlignment="1" applyBorder="1" applyFill="1" applyFont="1">
      <alignment vertical="center"/>
    </xf>
    <xf borderId="31" fillId="18" fontId="49" numFmtId="0" xfId="0" applyAlignment="1" applyBorder="1" applyFill="1" applyFont="1">
      <alignment horizontal="center" vertical="center"/>
    </xf>
    <xf borderId="66" fillId="0" fontId="15" numFmtId="0" xfId="0" applyBorder="1" applyFont="1"/>
    <xf borderId="67" fillId="0" fontId="15" numFmtId="0" xfId="0" applyBorder="1" applyFont="1"/>
    <xf borderId="68" fillId="0" fontId="15" numFmtId="0" xfId="0" applyBorder="1" applyFont="1"/>
    <xf borderId="69" fillId="0" fontId="15" numFmtId="0" xfId="0" applyBorder="1" applyFont="1"/>
    <xf borderId="70" fillId="0" fontId="15" numFmtId="0" xfId="0" applyBorder="1" applyFont="1"/>
    <xf borderId="71" fillId="0" fontId="15" numFmtId="0" xfId="0" applyBorder="1" applyFont="1"/>
    <xf borderId="72" fillId="0" fontId="15" numFmtId="0" xfId="0" applyBorder="1" applyFont="1"/>
    <xf borderId="73" fillId="0" fontId="15" numFmtId="0" xfId="0" applyBorder="1" applyFont="1"/>
  </cellXfs>
  <cellStyles count="1">
    <cellStyle xfId="0" name="Normal" builtinId="0"/>
  </cellStyles>
  <dxfs count="7">
    <dxf>
      <font>
        <b/>
      </font>
      <fill>
        <patternFill patternType="solid">
          <fgColor rgb="FFF4CCCC"/>
          <bgColor rgb="FFF4CCCC"/>
        </patternFill>
      </fill>
      <border/>
    </dxf>
    <dxf>
      <font>
        <b/>
      </font>
      <fill>
        <patternFill patternType="solid">
          <fgColor rgb="FFFFE599"/>
          <bgColor rgb="FFFFE599"/>
        </patternFill>
      </fill>
      <border/>
    </dxf>
    <dxf>
      <font>
        <b/>
      </font>
      <fill>
        <patternFill patternType="solid">
          <fgColor rgb="FFD9EAD3"/>
          <bgColor rgb="FFD9EAD3"/>
        </patternFill>
      </fill>
      <border/>
    </dxf>
    <dxf>
      <font>
        <b/>
      </font>
      <fill>
        <patternFill patternType="solid">
          <fgColor rgb="FFCFE2F3"/>
          <bgColor rgb="FFCFE2F3"/>
        </patternFill>
      </fill>
      <border/>
    </dxf>
    <dxf>
      <font>
        <b/>
      </font>
      <fill>
        <patternFill patternType="solid">
          <fgColor rgb="FFF2F2F2"/>
          <bgColor rgb="FFF2F2F2"/>
        </patternFill>
      </fill>
      <border/>
    </dxf>
    <dxf>
      <font>
        <b/>
      </font>
      <fill>
        <patternFill patternType="solid">
          <fgColor rgb="FFD9B38C"/>
          <bgColor rgb="FFD9B38C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" cy="3019425"/>
    <xdr:sp>
      <xdr:nvSpPr>
        <xdr:cNvPr id="3" name="Shape 3"/>
        <xdr:cNvSpPr/>
      </xdr:nvSpPr>
      <xdr:spPr>
        <a:xfrm>
          <a:off x="5326950" y="2275050"/>
          <a:ext cx="38100" cy="3009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47625" cy="8239125"/>
    <xdr:sp>
      <xdr:nvSpPr>
        <xdr:cNvPr id="4" name="Shape 4"/>
        <xdr:cNvSpPr/>
      </xdr:nvSpPr>
      <xdr:spPr>
        <a:xfrm>
          <a:off x="5326950" y="0"/>
          <a:ext cx="38100" cy="75600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26</xdr:row>
      <xdr:rowOff>0</xdr:rowOff>
    </xdr:from>
    <xdr:ext cx="10744200" cy="71628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581025</xdr:colOff>
      <xdr:row>0</xdr:row>
      <xdr:rowOff>19050</xdr:rowOff>
    </xdr:from>
    <xdr:ext cx="7543800" cy="5734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86"/>
    <col customWidth="1" min="2" max="2" width="13.43"/>
    <col customWidth="1" min="3" max="3" width="10.57"/>
    <col customWidth="1" min="4" max="5" width="10.29"/>
    <col customWidth="1" min="6" max="6" width="13.57"/>
    <col customWidth="1" min="7" max="7" width="9.86"/>
    <col customWidth="1" min="8" max="8" width="7.43"/>
    <col customWidth="1" min="9" max="9" width="10.71"/>
    <col customWidth="1" min="10" max="10" width="13.14"/>
    <col customWidth="1" min="11" max="11" width="10.71"/>
    <col customWidth="1" min="12" max="12" width="14.71"/>
    <col customWidth="1" min="13" max="27" width="10.71"/>
  </cols>
  <sheetData>
    <row r="1" ht="14.25" customHeight="1">
      <c r="A1" s="2" t="s">
        <v>0</v>
      </c>
      <c r="B1" s="3"/>
      <c r="C1" s="3"/>
      <c r="D1" s="3"/>
      <c r="E1" s="3"/>
      <c r="F1" s="3"/>
      <c r="G1" s="3"/>
      <c r="H1" s="3"/>
      <c r="I1" s="4"/>
      <c r="O1" s="2" t="s">
        <v>0</v>
      </c>
      <c r="P1" s="3"/>
      <c r="Q1" s="3"/>
      <c r="R1" s="3"/>
      <c r="S1" s="3"/>
      <c r="T1" s="3"/>
      <c r="U1" s="3"/>
      <c r="V1" s="3"/>
      <c r="W1" s="4"/>
    </row>
    <row r="2" ht="15.75" customHeight="1">
      <c r="A2" s="6" t="s">
        <v>3</v>
      </c>
      <c r="B2" s="6" t="s">
        <v>5</v>
      </c>
      <c r="C2" s="6" t="s">
        <v>7</v>
      </c>
      <c r="D2" s="2" t="s">
        <v>8</v>
      </c>
      <c r="E2" s="3"/>
      <c r="F2" s="3"/>
      <c r="G2" s="9"/>
      <c r="H2" s="12" t="s">
        <v>11</v>
      </c>
      <c r="I2" s="13" t="s">
        <v>17</v>
      </c>
      <c r="J2" s="13" t="s">
        <v>18</v>
      </c>
      <c r="K2" s="15" t="s">
        <v>19</v>
      </c>
      <c r="L2" s="13" t="s">
        <v>21</v>
      </c>
      <c r="O2" s="6" t="s">
        <v>3</v>
      </c>
      <c r="P2" s="6" t="s">
        <v>5</v>
      </c>
      <c r="Q2" s="6" t="s">
        <v>7</v>
      </c>
      <c r="R2" s="2" t="s">
        <v>8</v>
      </c>
      <c r="S2" s="3"/>
      <c r="T2" s="3"/>
      <c r="U2" s="9"/>
      <c r="V2" s="17" t="s">
        <v>11</v>
      </c>
      <c r="W2" s="18"/>
    </row>
    <row r="3" ht="14.25" customHeight="1">
      <c r="A3" s="19"/>
      <c r="B3" s="19"/>
      <c r="C3" s="19"/>
      <c r="D3" s="2" t="s">
        <v>39</v>
      </c>
      <c r="E3" s="9"/>
      <c r="F3" s="2" t="s">
        <v>42</v>
      </c>
      <c r="G3" s="9"/>
      <c r="H3" s="24"/>
      <c r="I3" s="26"/>
      <c r="J3" s="26"/>
      <c r="K3" s="27"/>
      <c r="L3" s="26"/>
      <c r="O3" s="19"/>
      <c r="P3" s="19"/>
      <c r="Q3" s="19"/>
      <c r="R3" s="2" t="s">
        <v>39</v>
      </c>
      <c r="S3" s="9"/>
      <c r="T3" s="2" t="s">
        <v>42</v>
      </c>
      <c r="U3" s="9"/>
      <c r="V3" s="28"/>
      <c r="W3" s="29"/>
    </row>
    <row r="4" ht="14.25" customHeight="1">
      <c r="A4" s="30" t="s">
        <v>50</v>
      </c>
      <c r="B4" s="35">
        <f t="shared" ref="B4:B11" si="1">+H4/(1-D4-F4)</f>
        <v>601.7423359</v>
      </c>
      <c r="C4" s="36" t="s">
        <v>66</v>
      </c>
      <c r="D4" s="37"/>
      <c r="E4" s="35">
        <f t="shared" ref="E4:E9" si="2">+B4*D4</f>
        <v>0</v>
      </c>
      <c r="F4" s="37"/>
      <c r="G4" s="37"/>
      <c r="H4" s="35">
        <f t="shared" ref="H4:H10" si="3">+B5</f>
        <v>601.7423359</v>
      </c>
      <c r="I4" s="36">
        <v>50.0</v>
      </c>
      <c r="J4" s="40">
        <f>+H4/I4</f>
        <v>12.03484672</v>
      </c>
      <c r="K4" s="41">
        <v>212.15</v>
      </c>
      <c r="L4" s="40">
        <f t="shared" ref="L4:L7" si="4">+H4/K4</f>
        <v>2.836400358</v>
      </c>
      <c r="O4" s="30" t="s">
        <v>50</v>
      </c>
      <c r="P4" s="35">
        <f t="shared" ref="P4:P11" si="5">+B4/8</f>
        <v>75.21779199</v>
      </c>
      <c r="Q4" s="36" t="s">
        <v>66</v>
      </c>
      <c r="R4" s="37"/>
      <c r="S4" s="35">
        <f t="shared" ref="S4:S9" si="6">+P4*R4</f>
        <v>0</v>
      </c>
      <c r="T4" s="37"/>
      <c r="U4" s="37"/>
      <c r="V4" s="35">
        <f t="shared" ref="V4:V10" si="7">+P5</f>
        <v>75.21779199</v>
      </c>
      <c r="W4" s="36"/>
    </row>
    <row r="5" ht="14.25" customHeight="1">
      <c r="A5" s="30" t="s">
        <v>73</v>
      </c>
      <c r="B5" s="35">
        <f t="shared" si="1"/>
        <v>601.7423359</v>
      </c>
      <c r="C5" s="36" t="s">
        <v>66</v>
      </c>
      <c r="D5" s="50">
        <v>0.01</v>
      </c>
      <c r="E5" s="35">
        <f t="shared" si="2"/>
        <v>6.017423359</v>
      </c>
      <c r="F5" s="50">
        <v>0.01</v>
      </c>
      <c r="G5" s="51">
        <f t="shared" ref="G5:G9" si="8">+F5*B5</f>
        <v>6.017423359</v>
      </c>
      <c r="H5" s="35">
        <f t="shared" si="3"/>
        <v>589.7074892</v>
      </c>
      <c r="I5" s="36" t="s">
        <v>66</v>
      </c>
      <c r="J5" s="36"/>
      <c r="K5" s="41">
        <v>120.0</v>
      </c>
      <c r="L5" s="40">
        <f t="shared" si="4"/>
        <v>4.914229077</v>
      </c>
      <c r="O5" s="30" t="s">
        <v>73</v>
      </c>
      <c r="P5" s="35">
        <f t="shared" si="5"/>
        <v>75.21779199</v>
      </c>
      <c r="Q5" s="36" t="s">
        <v>66</v>
      </c>
      <c r="R5" s="50">
        <v>0.01</v>
      </c>
      <c r="S5" s="35">
        <f t="shared" si="6"/>
        <v>0.7521779199</v>
      </c>
      <c r="T5" s="50">
        <v>0.01</v>
      </c>
      <c r="U5" s="51">
        <f t="shared" ref="U5:U9" si="9">+T5*P5</f>
        <v>0.7521779199</v>
      </c>
      <c r="V5" s="35">
        <f t="shared" si="7"/>
        <v>73.71343615</v>
      </c>
      <c r="W5" s="36"/>
    </row>
    <row r="6" ht="14.25" customHeight="1">
      <c r="A6" s="30" t="s">
        <v>78</v>
      </c>
      <c r="B6" s="35">
        <f t="shared" si="1"/>
        <v>589.7074892</v>
      </c>
      <c r="C6" s="36" t="s">
        <v>66</v>
      </c>
      <c r="D6" s="37"/>
      <c r="E6" s="35">
        <f t="shared" si="2"/>
        <v>0</v>
      </c>
      <c r="F6" s="50">
        <v>0.07</v>
      </c>
      <c r="G6" s="51">
        <f t="shared" si="8"/>
        <v>41.27952424</v>
      </c>
      <c r="H6" s="35">
        <f t="shared" si="3"/>
        <v>548.427965</v>
      </c>
      <c r="I6" s="36" t="s">
        <v>66</v>
      </c>
      <c r="J6" s="36"/>
      <c r="K6" s="41">
        <v>81.8</v>
      </c>
      <c r="L6" s="40">
        <f t="shared" si="4"/>
        <v>6.704498349</v>
      </c>
      <c r="O6" s="30" t="s">
        <v>78</v>
      </c>
      <c r="P6" s="35">
        <f t="shared" si="5"/>
        <v>73.71343615</v>
      </c>
      <c r="Q6" s="36" t="s">
        <v>66</v>
      </c>
      <c r="R6" s="37"/>
      <c r="S6" s="35">
        <f t="shared" si="6"/>
        <v>0</v>
      </c>
      <c r="T6" s="50">
        <v>0.07</v>
      </c>
      <c r="U6" s="51">
        <f t="shared" si="9"/>
        <v>5.159940531</v>
      </c>
      <c r="V6" s="35">
        <f t="shared" si="7"/>
        <v>68.55349562</v>
      </c>
      <c r="W6" s="36"/>
    </row>
    <row r="7" ht="14.25" customHeight="1">
      <c r="A7" s="30" t="s">
        <v>82</v>
      </c>
      <c r="B7" s="35">
        <f t="shared" si="1"/>
        <v>548.427965</v>
      </c>
      <c r="C7" s="36" t="s">
        <v>66</v>
      </c>
      <c r="D7" s="50">
        <v>0.04</v>
      </c>
      <c r="E7" s="35">
        <f t="shared" si="2"/>
        <v>21.9371186</v>
      </c>
      <c r="F7" s="50">
        <v>0.01</v>
      </c>
      <c r="G7" s="51">
        <f t="shared" si="8"/>
        <v>5.48427965</v>
      </c>
      <c r="H7" s="35">
        <f t="shared" si="3"/>
        <v>521.0065667</v>
      </c>
      <c r="I7" s="36" t="s">
        <v>66</v>
      </c>
      <c r="J7" s="36"/>
      <c r="K7" s="41">
        <v>80.3</v>
      </c>
      <c r="L7" s="40">
        <f t="shared" si="4"/>
        <v>6.488251142</v>
      </c>
      <c r="O7" s="30" t="s">
        <v>82</v>
      </c>
      <c r="P7" s="35">
        <f t="shared" si="5"/>
        <v>68.55349562</v>
      </c>
      <c r="Q7" s="36" t="s">
        <v>66</v>
      </c>
      <c r="R7" s="50">
        <v>0.04</v>
      </c>
      <c r="S7" s="35">
        <f t="shared" si="6"/>
        <v>2.742139825</v>
      </c>
      <c r="T7" s="50">
        <v>0.01</v>
      </c>
      <c r="U7" s="51">
        <f t="shared" si="9"/>
        <v>0.6855349562</v>
      </c>
      <c r="V7" s="35">
        <f t="shared" si="7"/>
        <v>65.12582084</v>
      </c>
      <c r="W7" s="36"/>
    </row>
    <row r="8" ht="14.25" customHeight="1">
      <c r="A8" s="30" t="s">
        <v>94</v>
      </c>
      <c r="B8" s="35">
        <f t="shared" si="1"/>
        <v>521.0065667</v>
      </c>
      <c r="C8" s="36" t="s">
        <v>66</v>
      </c>
      <c r="D8" s="37"/>
      <c r="E8" s="35">
        <f t="shared" si="2"/>
        <v>0</v>
      </c>
      <c r="F8" s="37"/>
      <c r="G8" s="37">
        <f t="shared" si="8"/>
        <v>0</v>
      </c>
      <c r="H8" s="35">
        <f t="shared" si="3"/>
        <v>521.0065667</v>
      </c>
      <c r="I8" s="36" t="s">
        <v>66</v>
      </c>
      <c r="J8" s="36"/>
      <c r="K8" s="36" t="s">
        <v>66</v>
      </c>
      <c r="L8" s="36"/>
      <c r="O8" s="30" t="s">
        <v>94</v>
      </c>
      <c r="P8" s="35">
        <f t="shared" si="5"/>
        <v>65.12582084</v>
      </c>
      <c r="Q8" s="36" t="s">
        <v>66</v>
      </c>
      <c r="R8" s="37"/>
      <c r="S8" s="35">
        <f t="shared" si="6"/>
        <v>0</v>
      </c>
      <c r="T8" s="37"/>
      <c r="U8" s="37">
        <f t="shared" si="9"/>
        <v>0</v>
      </c>
      <c r="V8" s="35">
        <f t="shared" si="7"/>
        <v>65.12582084</v>
      </c>
      <c r="W8" s="36"/>
    </row>
    <row r="9" ht="14.25" customHeight="1">
      <c r="A9" s="30" t="s">
        <v>100</v>
      </c>
      <c r="B9" s="35">
        <f t="shared" si="1"/>
        <v>521.0065667</v>
      </c>
      <c r="C9" s="36" t="s">
        <v>66</v>
      </c>
      <c r="D9" s="50">
        <v>0.04</v>
      </c>
      <c r="E9" s="35">
        <f t="shared" si="2"/>
        <v>20.84026267</v>
      </c>
      <c r="F9" s="37"/>
      <c r="G9" s="37">
        <f t="shared" si="8"/>
        <v>0</v>
      </c>
      <c r="H9" s="35">
        <f t="shared" si="3"/>
        <v>500.166304</v>
      </c>
      <c r="I9" s="36"/>
      <c r="J9" s="36"/>
      <c r="K9" s="41">
        <v>248.4</v>
      </c>
      <c r="L9" s="40">
        <f>+H9/K9</f>
        <v>2.013551949</v>
      </c>
      <c r="O9" s="30" t="s">
        <v>100</v>
      </c>
      <c r="P9" s="35">
        <f t="shared" si="5"/>
        <v>65.12582084</v>
      </c>
      <c r="Q9" s="36" t="s">
        <v>66</v>
      </c>
      <c r="R9" s="50">
        <v>0.04</v>
      </c>
      <c r="S9" s="35">
        <f t="shared" si="6"/>
        <v>2.605032834</v>
      </c>
      <c r="T9" s="37"/>
      <c r="U9" s="37">
        <f t="shared" si="9"/>
        <v>0</v>
      </c>
      <c r="V9" s="35">
        <f t="shared" si="7"/>
        <v>62.52078801</v>
      </c>
      <c r="W9" s="36"/>
    </row>
    <row r="10" ht="14.25" customHeight="1">
      <c r="A10" s="30" t="s">
        <v>116</v>
      </c>
      <c r="B10" s="35">
        <f t="shared" si="1"/>
        <v>500.166304</v>
      </c>
      <c r="C10" s="36" t="s">
        <v>66</v>
      </c>
      <c r="D10" s="37"/>
      <c r="E10" s="37"/>
      <c r="F10" s="37"/>
      <c r="G10" s="37"/>
      <c r="H10" s="35">
        <f t="shared" si="3"/>
        <v>500.166304</v>
      </c>
      <c r="I10" s="36"/>
      <c r="J10" s="36"/>
      <c r="K10" s="36" t="s">
        <v>66</v>
      </c>
      <c r="L10" s="36"/>
      <c r="O10" s="30" t="s">
        <v>116</v>
      </c>
      <c r="P10" s="35">
        <f t="shared" si="5"/>
        <v>62.52078801</v>
      </c>
      <c r="Q10" s="36" t="s">
        <v>66</v>
      </c>
      <c r="R10" s="37"/>
      <c r="S10" s="37"/>
      <c r="T10" s="37"/>
      <c r="U10" s="37"/>
      <c r="V10" s="35">
        <f t="shared" si="7"/>
        <v>62.52078801</v>
      </c>
      <c r="W10" s="36"/>
    </row>
    <row r="11" ht="14.25" customHeight="1">
      <c r="A11" s="30" t="s">
        <v>118</v>
      </c>
      <c r="B11" s="35">
        <f t="shared" si="1"/>
        <v>500.166304</v>
      </c>
      <c r="C11" s="36" t="s">
        <v>66</v>
      </c>
      <c r="D11" s="37"/>
      <c r="E11" s="37"/>
      <c r="F11" s="37"/>
      <c r="G11" s="37"/>
      <c r="H11" s="61">
        <f>+H12</f>
        <v>500.166304</v>
      </c>
      <c r="I11" s="36"/>
      <c r="J11" s="36"/>
      <c r="K11" s="36" t="s">
        <v>66</v>
      </c>
      <c r="L11" s="36"/>
      <c r="O11" s="30" t="s">
        <v>118</v>
      </c>
      <c r="P11" s="35">
        <f t="shared" si="5"/>
        <v>62.52078801</v>
      </c>
      <c r="Q11" s="36" t="s">
        <v>66</v>
      </c>
      <c r="R11" s="37"/>
      <c r="S11" s="37"/>
      <c r="T11" s="37"/>
      <c r="U11" s="37"/>
      <c r="V11" s="61" t="str">
        <f>+V12</f>
        <v/>
      </c>
      <c r="W11" s="36"/>
    </row>
    <row r="12" ht="14.25" customHeight="1">
      <c r="A12" s="63" t="s">
        <v>121</v>
      </c>
      <c r="B12" s="64">
        <f>+B4</f>
        <v>601.7423359</v>
      </c>
      <c r="C12" s="65" t="s">
        <v>66</v>
      </c>
      <c r="D12" s="66"/>
      <c r="E12" s="68">
        <f>+SUM(E4:E11)</f>
        <v>48.79480463</v>
      </c>
      <c r="F12" s="66"/>
      <c r="G12" s="68">
        <f>+SUM(G4:G11)</f>
        <v>52.78122725</v>
      </c>
      <c r="H12" s="61">
        <f>+'2. PCP - Programa &amp; Lotes'!C26</f>
        <v>500.166304</v>
      </c>
      <c r="I12" s="69"/>
      <c r="J12" s="69"/>
      <c r="K12" s="69"/>
      <c r="L12" s="69"/>
      <c r="O12" s="63" t="s">
        <v>121</v>
      </c>
      <c r="P12" s="64">
        <f>+P4</f>
        <v>75.21779199</v>
      </c>
      <c r="Q12" s="65" t="s">
        <v>66</v>
      </c>
      <c r="R12" s="66"/>
      <c r="S12" s="68">
        <f>+SUM(S4:S11)</f>
        <v>6.099350578</v>
      </c>
      <c r="T12" s="66"/>
      <c r="U12" s="68">
        <f>+SUM(U4:U11)</f>
        <v>6.597653407</v>
      </c>
      <c r="V12" s="61" t="str">
        <f>+'2. PCP - Programa &amp; Lotes'!P26</f>
        <v/>
      </c>
      <c r="W12" s="69"/>
    </row>
    <row r="13" ht="14.25" customHeight="1">
      <c r="A13" s="72"/>
      <c r="B13" s="72"/>
      <c r="C13" s="72"/>
      <c r="D13" s="72"/>
      <c r="E13" s="72"/>
      <c r="F13" s="72"/>
      <c r="G13" s="72"/>
      <c r="H13" s="72"/>
      <c r="I13" s="72"/>
      <c r="O13" s="72"/>
      <c r="P13" s="72"/>
      <c r="Q13" s="72"/>
      <c r="R13" s="72"/>
      <c r="S13" s="72"/>
      <c r="T13" s="72"/>
      <c r="U13" s="72"/>
      <c r="V13" s="72"/>
      <c r="W13" s="72"/>
    </row>
    <row r="14" ht="14.25" customHeight="1">
      <c r="A14" s="73" t="s">
        <v>131</v>
      </c>
      <c r="B14" s="74">
        <v>0.168803</v>
      </c>
      <c r="C14" s="72"/>
      <c r="D14" s="72"/>
      <c r="E14" s="72"/>
      <c r="F14" s="72"/>
      <c r="G14" s="73" t="s">
        <v>132</v>
      </c>
      <c r="H14" s="75">
        <v>0.0</v>
      </c>
      <c r="I14" s="72"/>
      <c r="O14" s="73" t="s">
        <v>131</v>
      </c>
      <c r="P14" s="74">
        <v>0.168803</v>
      </c>
      <c r="Q14" s="72"/>
      <c r="R14" s="72"/>
      <c r="S14" s="72"/>
      <c r="T14" s="72"/>
      <c r="U14" s="73" t="s">
        <v>132</v>
      </c>
      <c r="V14" s="75">
        <v>0.0</v>
      </c>
      <c r="W14" s="72"/>
    </row>
    <row r="15" ht="14.25" customHeight="1">
      <c r="A15" s="73" t="s">
        <v>135</v>
      </c>
      <c r="B15" s="74">
        <v>0.087714</v>
      </c>
      <c r="C15" s="76">
        <v>0.912286</v>
      </c>
      <c r="D15" s="72"/>
      <c r="E15" s="72"/>
      <c r="F15" s="72"/>
      <c r="G15" s="72"/>
      <c r="H15" s="72"/>
      <c r="I15" s="72"/>
      <c r="J15" s="77">
        <f>B4+B21</f>
        <v>1153.166418</v>
      </c>
      <c r="K15" s="77">
        <f>J15-120</f>
        <v>1033.166418</v>
      </c>
      <c r="O15" s="73" t="s">
        <v>135</v>
      </c>
      <c r="P15" s="74">
        <v>0.087714</v>
      </c>
      <c r="Q15" s="76">
        <v>0.912286</v>
      </c>
      <c r="R15" s="72"/>
      <c r="S15" s="72"/>
      <c r="T15" s="72"/>
      <c r="U15" s="72"/>
      <c r="V15" s="72"/>
      <c r="W15" s="72"/>
    </row>
    <row r="16" ht="14.25" customHeight="1">
      <c r="A16" s="72"/>
      <c r="B16" s="72"/>
      <c r="C16" s="72"/>
      <c r="D16" s="72"/>
      <c r="E16" s="72"/>
      <c r="F16" s="72"/>
      <c r="G16" s="72"/>
      <c r="H16" s="72"/>
      <c r="I16" s="72"/>
      <c r="O16" s="72"/>
      <c r="P16" s="72"/>
      <c r="Q16" s="72"/>
      <c r="R16" s="72"/>
      <c r="S16" s="72"/>
      <c r="T16" s="72"/>
      <c r="U16" s="72"/>
      <c r="V16" s="72"/>
      <c r="W16" s="72"/>
    </row>
    <row r="17" ht="14.25" customHeight="1">
      <c r="A17" s="78" t="s">
        <v>140</v>
      </c>
      <c r="B17" s="79"/>
      <c r="C17" s="79"/>
      <c r="D17" s="79"/>
      <c r="E17" s="79"/>
      <c r="F17" s="79"/>
      <c r="G17" s="79"/>
      <c r="H17" s="79"/>
      <c r="I17" s="79"/>
      <c r="O17" s="78" t="s">
        <v>140</v>
      </c>
      <c r="P17" s="79"/>
      <c r="Q17" s="79"/>
      <c r="R17" s="79"/>
      <c r="S17" s="79"/>
      <c r="T17" s="79"/>
      <c r="U17" s="79"/>
      <c r="V17" s="79"/>
      <c r="W17" s="79"/>
    </row>
    <row r="18" ht="14.25" customHeight="1">
      <c r="A18" s="2" t="s">
        <v>0</v>
      </c>
      <c r="B18" s="3"/>
      <c r="C18" s="3"/>
      <c r="D18" s="3"/>
      <c r="E18" s="3"/>
      <c r="F18" s="3"/>
      <c r="G18" s="3"/>
      <c r="H18" s="3"/>
      <c r="I18" s="4"/>
      <c r="O18" s="2" t="s">
        <v>0</v>
      </c>
      <c r="P18" s="3"/>
      <c r="Q18" s="3"/>
      <c r="R18" s="3"/>
      <c r="S18" s="3"/>
      <c r="T18" s="3"/>
      <c r="U18" s="3"/>
      <c r="V18" s="3"/>
      <c r="W18" s="4"/>
    </row>
    <row r="19" ht="15.0" customHeight="1">
      <c r="A19" s="6" t="s">
        <v>3</v>
      </c>
      <c r="B19" s="6" t="s">
        <v>5</v>
      </c>
      <c r="C19" s="6" t="s">
        <v>7</v>
      </c>
      <c r="D19" s="2" t="s">
        <v>8</v>
      </c>
      <c r="E19" s="3"/>
      <c r="F19" s="3"/>
      <c r="G19" s="9"/>
      <c r="H19" s="12" t="s">
        <v>11</v>
      </c>
      <c r="I19" s="13" t="s">
        <v>152</v>
      </c>
      <c r="J19" s="13" t="s">
        <v>18</v>
      </c>
      <c r="K19" s="15" t="s">
        <v>19</v>
      </c>
      <c r="L19" s="13" t="s">
        <v>21</v>
      </c>
      <c r="O19" s="6" t="s">
        <v>3</v>
      </c>
      <c r="P19" s="6" t="s">
        <v>5</v>
      </c>
      <c r="Q19" s="6" t="s">
        <v>7</v>
      </c>
      <c r="R19" s="2" t="s">
        <v>8</v>
      </c>
      <c r="S19" s="3"/>
      <c r="T19" s="3"/>
      <c r="U19" s="9"/>
      <c r="V19" s="17" t="s">
        <v>11</v>
      </c>
      <c r="W19" s="18"/>
    </row>
    <row r="20" ht="14.25" customHeight="1">
      <c r="A20" s="19"/>
      <c r="B20" s="19"/>
      <c r="C20" s="19"/>
      <c r="D20" s="2" t="s">
        <v>39</v>
      </c>
      <c r="E20" s="9"/>
      <c r="F20" s="2" t="s">
        <v>42</v>
      </c>
      <c r="G20" s="9"/>
      <c r="H20" s="24"/>
      <c r="I20" s="26"/>
      <c r="J20" s="26"/>
      <c r="K20" s="27"/>
      <c r="L20" s="26"/>
      <c r="O20" s="19"/>
      <c r="P20" s="19"/>
      <c r="Q20" s="19"/>
      <c r="R20" s="2" t="s">
        <v>39</v>
      </c>
      <c r="S20" s="9"/>
      <c r="T20" s="2" t="s">
        <v>42</v>
      </c>
      <c r="U20" s="9"/>
      <c r="V20" s="28"/>
      <c r="W20" s="29"/>
    </row>
    <row r="21" ht="14.25" customHeight="1">
      <c r="A21" s="30" t="s">
        <v>170</v>
      </c>
      <c r="B21" s="35">
        <f t="shared" ref="B21:B28" si="10">+H21/(1-D21-F21)</f>
        <v>551.4240818</v>
      </c>
      <c r="C21" s="36" t="s">
        <v>66</v>
      </c>
      <c r="D21" s="37"/>
      <c r="E21" s="36" t="s">
        <v>66</v>
      </c>
      <c r="F21" s="37"/>
      <c r="G21" s="36" t="s">
        <v>66</v>
      </c>
      <c r="H21" s="61">
        <f>+B22</f>
        <v>551.4240818</v>
      </c>
      <c r="I21" s="36">
        <v>37.5</v>
      </c>
      <c r="J21" s="36">
        <f>+ROUNDUP(H21/I21,0)</f>
        <v>15</v>
      </c>
      <c r="K21" s="41">
        <f t="shared" ref="K21:K23" si="11">+F57</f>
        <v>95.625</v>
      </c>
      <c r="L21" s="40">
        <f t="shared" ref="L21:L24" si="12">+H21/K21</f>
        <v>5.766526345</v>
      </c>
      <c r="O21" s="30" t="s">
        <v>170</v>
      </c>
      <c r="P21" s="35">
        <f t="shared" ref="P21:P28" si="13">+B21/8</f>
        <v>68.92801022</v>
      </c>
      <c r="Q21" s="36" t="s">
        <v>66</v>
      </c>
      <c r="R21" s="37"/>
      <c r="S21" s="36" t="s">
        <v>66</v>
      </c>
      <c r="T21" s="37"/>
      <c r="U21" s="36" t="s">
        <v>66</v>
      </c>
      <c r="V21" s="61">
        <f>+P22</f>
        <v>68.92801022</v>
      </c>
      <c r="W21" s="36"/>
    </row>
    <row r="22" ht="14.25" customHeight="1">
      <c r="A22" s="30" t="s">
        <v>179</v>
      </c>
      <c r="B22" s="35">
        <f t="shared" si="10"/>
        <v>551.4240818</v>
      </c>
      <c r="C22" s="36" t="s">
        <v>66</v>
      </c>
      <c r="D22" s="37"/>
      <c r="E22" s="36" t="s">
        <v>66</v>
      </c>
      <c r="F22" s="37"/>
      <c r="G22" s="37">
        <f t="shared" ref="G22:G28" si="14">+F22*B22</f>
        <v>0</v>
      </c>
      <c r="H22" s="61">
        <f>+B23/0.4</f>
        <v>551.4240818</v>
      </c>
      <c r="I22" s="36"/>
      <c r="J22" s="40">
        <f>(H22*0.4/0.4+H22*0.6/0.18)</f>
        <v>2389.504354</v>
      </c>
      <c r="K22" s="41">
        <f t="shared" si="11"/>
        <v>100.1784</v>
      </c>
      <c r="L22" s="40">
        <f t="shared" si="12"/>
        <v>5.504420931</v>
      </c>
      <c r="O22" s="30" t="s">
        <v>179</v>
      </c>
      <c r="P22" s="35">
        <f t="shared" si="13"/>
        <v>68.92801022</v>
      </c>
      <c r="Q22" s="36" t="s">
        <v>66</v>
      </c>
      <c r="R22" s="37"/>
      <c r="S22" s="36" t="s">
        <v>66</v>
      </c>
      <c r="T22" s="37"/>
      <c r="U22" s="37">
        <f t="shared" ref="U22:U28" si="15">+T22*P22</f>
        <v>0</v>
      </c>
      <c r="V22" s="61">
        <f>+P23/0.4</f>
        <v>68.92801022</v>
      </c>
      <c r="W22" s="36"/>
    </row>
    <row r="23" ht="14.25" customHeight="1">
      <c r="A23" s="30" t="s">
        <v>187</v>
      </c>
      <c r="B23" s="35">
        <f t="shared" si="10"/>
        <v>220.5696327</v>
      </c>
      <c r="C23" s="36" t="s">
        <v>66</v>
      </c>
      <c r="D23" s="37"/>
      <c r="E23" s="36" t="s">
        <v>66</v>
      </c>
      <c r="F23" s="37"/>
      <c r="G23" s="37">
        <f t="shared" si="14"/>
        <v>0</v>
      </c>
      <c r="H23" s="61">
        <f>+B24*0.4</f>
        <v>220.5696327</v>
      </c>
      <c r="I23" s="36"/>
      <c r="J23" s="36"/>
      <c r="K23" s="41">
        <f t="shared" si="11"/>
        <v>40.608</v>
      </c>
      <c r="L23" s="40">
        <f t="shared" si="12"/>
        <v>5.431679292</v>
      </c>
      <c r="O23" s="30" t="s">
        <v>187</v>
      </c>
      <c r="P23" s="35">
        <f t="shared" si="13"/>
        <v>27.57120409</v>
      </c>
      <c r="Q23" s="36" t="s">
        <v>66</v>
      </c>
      <c r="R23" s="37"/>
      <c r="S23" s="36" t="s">
        <v>66</v>
      </c>
      <c r="T23" s="37"/>
      <c r="U23" s="37">
        <f t="shared" si="15"/>
        <v>0</v>
      </c>
      <c r="V23" s="61">
        <f>+P24*0.4</f>
        <v>27.57120409</v>
      </c>
      <c r="W23" s="36"/>
    </row>
    <row r="24" ht="14.25" customHeight="1">
      <c r="A24" s="30" t="s">
        <v>78</v>
      </c>
      <c r="B24" s="35">
        <f t="shared" si="10"/>
        <v>551.4240818</v>
      </c>
      <c r="C24" s="36" t="s">
        <v>66</v>
      </c>
      <c r="D24" s="37"/>
      <c r="E24" s="36" t="s">
        <v>66</v>
      </c>
      <c r="F24" s="50">
        <v>0.13</v>
      </c>
      <c r="G24" s="51">
        <f t="shared" si="14"/>
        <v>71.68513063</v>
      </c>
      <c r="H24" s="61">
        <f t="shared" ref="H24:H27" si="16">+B25</f>
        <v>479.7389511</v>
      </c>
      <c r="I24" s="36">
        <f>+F60</f>
        <v>40.608</v>
      </c>
      <c r="J24" s="36">
        <f>+ROUNDUP(H24/I24,0)</f>
        <v>12</v>
      </c>
      <c r="K24" s="41">
        <f>+F60*2</f>
        <v>81.216</v>
      </c>
      <c r="L24" s="40">
        <f t="shared" si="12"/>
        <v>5.90695123</v>
      </c>
      <c r="O24" s="30" t="s">
        <v>78</v>
      </c>
      <c r="P24" s="35">
        <f t="shared" si="13"/>
        <v>68.92801022</v>
      </c>
      <c r="Q24" s="36" t="s">
        <v>66</v>
      </c>
      <c r="R24" s="37"/>
      <c r="S24" s="36" t="s">
        <v>66</v>
      </c>
      <c r="T24" s="50">
        <v>0.13</v>
      </c>
      <c r="U24" s="51">
        <f t="shared" si="15"/>
        <v>8.960641328</v>
      </c>
      <c r="V24" s="61">
        <f t="shared" ref="V24:V27" si="17">+P25</f>
        <v>59.96736889</v>
      </c>
      <c r="W24" s="36"/>
    </row>
    <row r="25" ht="14.25" customHeight="1">
      <c r="A25" s="30" t="s">
        <v>205</v>
      </c>
      <c r="B25" s="35">
        <f t="shared" si="10"/>
        <v>479.7389511</v>
      </c>
      <c r="C25" s="36" t="s">
        <v>66</v>
      </c>
      <c r="D25" s="37"/>
      <c r="E25" s="36" t="s">
        <v>66</v>
      </c>
      <c r="F25" s="37"/>
      <c r="G25" s="51">
        <f t="shared" si="14"/>
        <v>0</v>
      </c>
      <c r="H25" s="61">
        <f t="shared" si="16"/>
        <v>479.7389511</v>
      </c>
      <c r="I25" s="36"/>
      <c r="J25" s="36"/>
      <c r="K25" s="36" t="s">
        <v>66</v>
      </c>
      <c r="L25" s="40" t="s">
        <v>66</v>
      </c>
      <c r="O25" s="30" t="s">
        <v>205</v>
      </c>
      <c r="P25" s="35">
        <f t="shared" si="13"/>
        <v>59.96736889</v>
      </c>
      <c r="Q25" s="36" t="s">
        <v>66</v>
      </c>
      <c r="R25" s="37"/>
      <c r="S25" s="36" t="s">
        <v>66</v>
      </c>
      <c r="T25" s="37"/>
      <c r="U25" s="51">
        <f t="shared" si="15"/>
        <v>0</v>
      </c>
      <c r="V25" s="61">
        <f t="shared" si="17"/>
        <v>59.96736889</v>
      </c>
      <c r="W25" s="36"/>
    </row>
    <row r="26" ht="14.25" customHeight="1">
      <c r="A26" s="30" t="s">
        <v>82</v>
      </c>
      <c r="B26" s="35">
        <f t="shared" si="10"/>
        <v>479.7389511</v>
      </c>
      <c r="C26" s="36" t="s">
        <v>66</v>
      </c>
      <c r="D26" s="37"/>
      <c r="E26" s="36" t="s">
        <v>66</v>
      </c>
      <c r="F26" s="50">
        <v>0.07</v>
      </c>
      <c r="G26" s="51">
        <f t="shared" si="14"/>
        <v>33.58172658</v>
      </c>
      <c r="H26" s="61">
        <f t="shared" si="16"/>
        <v>446.1572245</v>
      </c>
      <c r="I26" s="36"/>
      <c r="J26" s="36"/>
      <c r="K26" s="41" t="s">
        <v>66</v>
      </c>
      <c r="L26" s="40" t="s">
        <v>66</v>
      </c>
      <c r="O26" s="30" t="s">
        <v>82</v>
      </c>
      <c r="P26" s="35">
        <f t="shared" si="13"/>
        <v>59.96736889</v>
      </c>
      <c r="Q26" s="36" t="s">
        <v>66</v>
      </c>
      <c r="R26" s="37"/>
      <c r="S26" s="36" t="s">
        <v>66</v>
      </c>
      <c r="T26" s="50">
        <v>0.07</v>
      </c>
      <c r="U26" s="51">
        <f t="shared" si="15"/>
        <v>4.197715822</v>
      </c>
      <c r="V26" s="61">
        <f t="shared" si="17"/>
        <v>55.76965307</v>
      </c>
      <c r="W26" s="36"/>
    </row>
    <row r="27" ht="14.25" customHeight="1">
      <c r="A27" s="30" t="s">
        <v>100</v>
      </c>
      <c r="B27" s="35">
        <f t="shared" si="10"/>
        <v>446.1572245</v>
      </c>
      <c r="C27" s="36" t="s">
        <v>66</v>
      </c>
      <c r="D27" s="37"/>
      <c r="E27" s="36" t="s">
        <v>66</v>
      </c>
      <c r="F27" s="37"/>
      <c r="G27" s="37">
        <f t="shared" si="14"/>
        <v>0</v>
      </c>
      <c r="H27" s="61">
        <f t="shared" si="16"/>
        <v>446.1572245</v>
      </c>
      <c r="I27" s="36"/>
      <c r="J27" s="36"/>
      <c r="K27" s="36">
        <f>+F61</f>
        <v>136.68</v>
      </c>
      <c r="L27" s="40">
        <f>+H27/K27</f>
        <v>3.264246595</v>
      </c>
      <c r="O27" s="30" t="s">
        <v>100</v>
      </c>
      <c r="P27" s="35">
        <f t="shared" si="13"/>
        <v>55.76965307</v>
      </c>
      <c r="Q27" s="36" t="s">
        <v>66</v>
      </c>
      <c r="R27" s="37"/>
      <c r="S27" s="36" t="s">
        <v>66</v>
      </c>
      <c r="T27" s="37"/>
      <c r="U27" s="37">
        <f t="shared" si="15"/>
        <v>0</v>
      </c>
      <c r="V27" s="61">
        <f t="shared" si="17"/>
        <v>55.76965307</v>
      </c>
      <c r="W27" s="36"/>
    </row>
    <row r="28" ht="14.25" customHeight="1">
      <c r="A28" s="30" t="s">
        <v>116</v>
      </c>
      <c r="B28" s="35">
        <f t="shared" si="10"/>
        <v>446.1572245</v>
      </c>
      <c r="C28" s="36" t="s">
        <v>66</v>
      </c>
      <c r="D28" s="37"/>
      <c r="E28" s="36" t="s">
        <v>66</v>
      </c>
      <c r="F28" s="37"/>
      <c r="G28" s="37">
        <f t="shared" si="14"/>
        <v>0</v>
      </c>
      <c r="H28" s="61">
        <f>+H29</f>
        <v>446.1572245</v>
      </c>
      <c r="I28" s="36"/>
      <c r="J28" s="36"/>
      <c r="K28" s="36" t="s">
        <v>66</v>
      </c>
      <c r="L28" s="36"/>
      <c r="O28" s="30" t="s">
        <v>116</v>
      </c>
      <c r="P28" s="35">
        <f t="shared" si="13"/>
        <v>55.76965307</v>
      </c>
      <c r="Q28" s="36" t="s">
        <v>66</v>
      </c>
      <c r="R28" s="37"/>
      <c r="S28" s="36" t="s">
        <v>66</v>
      </c>
      <c r="T28" s="37"/>
      <c r="U28" s="37">
        <f t="shared" si="15"/>
        <v>0</v>
      </c>
      <c r="V28" s="61" t="str">
        <f>+V29</f>
        <v/>
      </c>
      <c r="W28" s="36"/>
    </row>
    <row r="29" ht="14.25" customHeight="1">
      <c r="A29" s="63" t="s">
        <v>121</v>
      </c>
      <c r="B29" s="64">
        <f>+B21</f>
        <v>551.4240818</v>
      </c>
      <c r="C29" s="65" t="s">
        <v>66</v>
      </c>
      <c r="D29" s="66"/>
      <c r="E29" s="69" t="s">
        <v>66</v>
      </c>
      <c r="F29" s="66"/>
      <c r="G29" s="68">
        <f>+SUM(G21:G28)</f>
        <v>105.2668572</v>
      </c>
      <c r="H29" s="61">
        <f>+'2. PCP - Programa &amp; Lotes'!D26</f>
        <v>446.1572245</v>
      </c>
      <c r="I29" s="69"/>
      <c r="J29" s="69"/>
      <c r="K29" s="69"/>
      <c r="L29" s="69"/>
      <c r="O29" s="63" t="s">
        <v>121</v>
      </c>
      <c r="P29" s="64">
        <f>+P21</f>
        <v>68.92801022</v>
      </c>
      <c r="Q29" s="65" t="s">
        <v>66</v>
      </c>
      <c r="R29" s="66"/>
      <c r="S29" s="69" t="s">
        <v>66</v>
      </c>
      <c r="T29" s="66"/>
      <c r="U29" s="68">
        <f>+SUM(U21:U28)</f>
        <v>13.15835715</v>
      </c>
      <c r="V29" s="61" t="str">
        <f>+'2. PCP - Programa &amp; Lotes'!Q26</f>
        <v/>
      </c>
      <c r="W29" s="69"/>
    </row>
    <row r="30" ht="14.25" customHeight="1"/>
    <row r="31" ht="14.25" customHeight="1"/>
    <row r="32" ht="14.25" customHeight="1">
      <c r="F32" s="80">
        <f>B21*0.22</f>
        <v>121.313298</v>
      </c>
      <c r="G32" s="80">
        <f>F32/15</f>
        <v>8.087553199</v>
      </c>
    </row>
    <row r="33" ht="14.25" customHeight="1">
      <c r="K33" s="80">
        <f>+H29*0.4</f>
        <v>178.4628898</v>
      </c>
      <c r="L33" s="80">
        <f>+K33/0.18</f>
        <v>991.460499</v>
      </c>
    </row>
    <row r="34" ht="14.25" customHeight="1">
      <c r="K34" s="80">
        <f>+H29*0.6</f>
        <v>267.6943347</v>
      </c>
      <c r="L34" s="80">
        <f>+K34/0.4</f>
        <v>669.2358368</v>
      </c>
      <c r="O34" s="94" t="s">
        <v>231</v>
      </c>
      <c r="P34" s="95"/>
      <c r="Q34" s="98"/>
      <c r="T34" s="94" t="s">
        <v>239</v>
      </c>
      <c r="U34" s="95"/>
      <c r="V34" s="98"/>
    </row>
    <row r="35" ht="14.25" customHeight="1">
      <c r="I35" s="80">
        <f>2390/7</f>
        <v>341.4285714</v>
      </c>
      <c r="J35" s="80">
        <f>I35/60</f>
        <v>5.69047619</v>
      </c>
      <c r="L35" s="80">
        <f>+SUM(L33:L34)/8</f>
        <v>207.587042</v>
      </c>
      <c r="O35" s="94" t="s">
        <v>253</v>
      </c>
      <c r="P35" s="95"/>
      <c r="Q35" s="98"/>
      <c r="T35" s="94" t="s">
        <v>253</v>
      </c>
      <c r="U35" s="95"/>
      <c r="V35" s="98"/>
    </row>
    <row r="36" ht="28.5" customHeight="1">
      <c r="J36" s="80">
        <f>H22*0.4</f>
        <v>220.5696327</v>
      </c>
      <c r="O36" s="104" t="s">
        <v>257</v>
      </c>
      <c r="P36" s="98"/>
      <c r="Q36" s="105">
        <v>37.5</v>
      </c>
      <c r="T36" s="104" t="s">
        <v>257</v>
      </c>
      <c r="U36" s="98"/>
      <c r="V36" s="105">
        <v>50.0</v>
      </c>
    </row>
    <row r="37" ht="28.5" customHeight="1">
      <c r="O37" s="106" t="s">
        <v>261</v>
      </c>
      <c r="P37" s="98"/>
      <c r="Q37" s="107">
        <v>0.33</v>
      </c>
      <c r="T37" s="106" t="s">
        <v>262</v>
      </c>
      <c r="U37" s="98"/>
      <c r="V37" s="107">
        <v>0.2</v>
      </c>
    </row>
    <row r="38" ht="28.5" customHeight="1">
      <c r="O38" s="109" t="s">
        <v>263</v>
      </c>
      <c r="P38" s="98"/>
      <c r="Q38" s="110">
        <v>112.5</v>
      </c>
      <c r="T38" s="109" t="s">
        <v>263</v>
      </c>
      <c r="U38" s="98"/>
      <c r="V38" s="110">
        <v>250.0</v>
      </c>
    </row>
    <row r="39" ht="14.25" customHeight="1"/>
    <row r="40" ht="14.25" customHeight="1"/>
    <row r="41" ht="14.25" customHeight="1">
      <c r="A41" s="111" t="s">
        <v>267</v>
      </c>
      <c r="B41" s="112"/>
      <c r="C41" s="112"/>
      <c r="D41" s="112"/>
      <c r="E41" s="112"/>
      <c r="F41" s="112"/>
      <c r="G41" s="112"/>
    </row>
    <row r="42" ht="14.25" customHeight="1">
      <c r="A42" s="113" t="s">
        <v>268</v>
      </c>
      <c r="B42" s="114"/>
      <c r="C42" s="114"/>
      <c r="D42" s="114"/>
      <c r="E42" s="114"/>
      <c r="F42" s="114"/>
      <c r="G42" s="115"/>
    </row>
    <row r="43" ht="24.75" customHeight="1">
      <c r="A43" s="15" t="s">
        <v>3</v>
      </c>
      <c r="B43" s="15" t="s">
        <v>263</v>
      </c>
      <c r="C43" s="15" t="s">
        <v>269</v>
      </c>
      <c r="D43" s="15" t="s">
        <v>272</v>
      </c>
      <c r="E43" s="15" t="s">
        <v>273</v>
      </c>
      <c r="F43" s="15" t="s">
        <v>19</v>
      </c>
      <c r="G43" s="15" t="s">
        <v>274</v>
      </c>
    </row>
    <row r="44" ht="14.25" customHeight="1">
      <c r="A44" s="27"/>
      <c r="B44" s="27"/>
      <c r="C44" s="27"/>
      <c r="D44" s="116"/>
      <c r="E44" s="27"/>
      <c r="F44" s="27"/>
      <c r="G44" s="116"/>
    </row>
    <row r="45" ht="14.25" customHeight="1">
      <c r="A45" s="117" t="s">
        <v>50</v>
      </c>
      <c r="B45" s="118">
        <v>125.0</v>
      </c>
      <c r="C45" s="119">
        <v>5736.0</v>
      </c>
      <c r="D45" s="35">
        <v>717000.0</v>
      </c>
      <c r="E45" s="120">
        <v>0.85</v>
      </c>
      <c r="F45" s="41">
        <v>106.3</v>
      </c>
      <c r="G45" s="35">
        <v>609450.0</v>
      </c>
    </row>
    <row r="46" ht="14.25" customHeight="1">
      <c r="A46" s="117" t="s">
        <v>73</v>
      </c>
      <c r="B46" s="118">
        <v>128.0</v>
      </c>
      <c r="C46" s="119">
        <v>5736.0</v>
      </c>
      <c r="D46" s="35">
        <v>732235.0</v>
      </c>
      <c r="E46" s="120">
        <v>0.94</v>
      </c>
      <c r="F46" s="41">
        <v>120.0</v>
      </c>
      <c r="G46" s="35">
        <v>688301.0</v>
      </c>
    </row>
    <row r="47" ht="14.25" customHeight="1">
      <c r="A47" s="117" t="s">
        <v>78</v>
      </c>
      <c r="B47" s="118">
        <v>95.0</v>
      </c>
      <c r="C47" s="119">
        <v>5736.0</v>
      </c>
      <c r="D47" s="35">
        <v>542396.0</v>
      </c>
      <c r="E47" s="120">
        <v>0.87</v>
      </c>
      <c r="F47" s="41">
        <v>81.8</v>
      </c>
      <c r="G47" s="35">
        <v>469173.0</v>
      </c>
    </row>
    <row r="48" ht="14.25" customHeight="1">
      <c r="A48" s="117" t="s">
        <v>82</v>
      </c>
      <c r="B48" s="118">
        <v>83.0</v>
      </c>
      <c r="C48" s="119">
        <v>5736.0</v>
      </c>
      <c r="D48" s="35">
        <v>474597.0</v>
      </c>
      <c r="E48" s="120">
        <v>0.97</v>
      </c>
      <c r="F48" s="41">
        <v>80.3</v>
      </c>
      <c r="G48" s="35">
        <v>460359.0</v>
      </c>
    </row>
    <row r="49" ht="14.25" customHeight="1">
      <c r="A49" s="117" t="s">
        <v>279</v>
      </c>
      <c r="B49" s="118">
        <v>270.0</v>
      </c>
      <c r="C49" s="119">
        <v>5736.0</v>
      </c>
      <c r="D49" s="35">
        <v>1548720.0</v>
      </c>
      <c r="E49" s="120">
        <v>0.92</v>
      </c>
      <c r="F49" s="41">
        <v>248.4</v>
      </c>
      <c r="G49" s="35">
        <v>1424822.0</v>
      </c>
    </row>
    <row r="50" ht="14.25" customHeight="1">
      <c r="A50" s="72"/>
      <c r="B50" s="72"/>
      <c r="C50" s="72"/>
      <c r="D50" s="72"/>
      <c r="E50" s="72"/>
      <c r="F50" s="72"/>
      <c r="G50" s="72"/>
    </row>
    <row r="51" ht="14.25" customHeight="1">
      <c r="A51" s="72"/>
      <c r="B51" s="72"/>
      <c r="C51" s="72"/>
      <c r="D51" s="72"/>
      <c r="E51" s="72"/>
      <c r="F51" s="72"/>
      <c r="G51" s="72"/>
    </row>
    <row r="52" ht="14.25" customHeight="1">
      <c r="A52" s="72"/>
      <c r="B52" s="72"/>
      <c r="C52" s="72"/>
      <c r="D52" s="72"/>
      <c r="E52" s="72"/>
      <c r="F52" s="72"/>
      <c r="G52" s="72"/>
    </row>
    <row r="53" ht="14.25" customHeight="1">
      <c r="A53" s="111" t="s">
        <v>140</v>
      </c>
      <c r="B53" s="112"/>
      <c r="C53" s="112"/>
      <c r="D53" s="112"/>
      <c r="E53" s="112"/>
      <c r="F53" s="112"/>
      <c r="G53" s="112"/>
    </row>
    <row r="54" ht="14.25" customHeight="1">
      <c r="A54" s="113" t="s">
        <v>268</v>
      </c>
      <c r="B54" s="114"/>
      <c r="C54" s="114"/>
      <c r="D54" s="114"/>
      <c r="E54" s="114"/>
      <c r="F54" s="114"/>
      <c r="G54" s="115"/>
    </row>
    <row r="55" ht="24.75" customHeight="1">
      <c r="A55" s="15" t="s">
        <v>3</v>
      </c>
      <c r="B55" s="15" t="s">
        <v>263</v>
      </c>
      <c r="C55" s="15" t="s">
        <v>269</v>
      </c>
      <c r="D55" s="15" t="s">
        <v>272</v>
      </c>
      <c r="E55" s="15" t="s">
        <v>273</v>
      </c>
      <c r="F55" s="15" t="s">
        <v>19</v>
      </c>
      <c r="G55" s="15" t="s">
        <v>274</v>
      </c>
    </row>
    <row r="56" ht="14.25" customHeight="1">
      <c r="A56" s="27"/>
      <c r="B56" s="27"/>
      <c r="C56" s="27"/>
      <c r="D56" s="116"/>
      <c r="E56" s="27"/>
      <c r="F56" s="27"/>
      <c r="G56" s="116"/>
    </row>
    <row r="57" ht="14.25" customHeight="1">
      <c r="A57" s="117" t="s">
        <v>170</v>
      </c>
      <c r="B57" s="118">
        <v>113.0</v>
      </c>
      <c r="C57" s="119">
        <v>5736.0</v>
      </c>
      <c r="D57" s="35">
        <v>645300.0</v>
      </c>
      <c r="E57" s="120">
        <v>0.85</v>
      </c>
      <c r="F57" s="41">
        <v>95.625</v>
      </c>
      <c r="G57" s="35">
        <v>548505.0</v>
      </c>
    </row>
    <row r="58" ht="14.25" customHeight="1">
      <c r="A58" s="117" t="s">
        <v>179</v>
      </c>
      <c r="B58" s="118">
        <v>113.0</v>
      </c>
      <c r="C58" s="119">
        <v>5736.0</v>
      </c>
      <c r="D58" s="35">
        <v>645644.0</v>
      </c>
      <c r="E58" s="120">
        <v>0.89</v>
      </c>
      <c r="F58" s="41">
        <v>100.1784</v>
      </c>
      <c r="G58" s="35">
        <v>574623.0</v>
      </c>
    </row>
    <row r="59" ht="14.25" customHeight="1">
      <c r="A59" s="117" t="s">
        <v>187</v>
      </c>
      <c r="B59" s="118">
        <v>45.0</v>
      </c>
      <c r="C59" s="119">
        <v>5736.0</v>
      </c>
      <c r="D59" s="35">
        <v>258808.0</v>
      </c>
      <c r="E59" s="120">
        <v>0.9</v>
      </c>
      <c r="F59" s="41">
        <v>40.608</v>
      </c>
      <c r="G59" s="35">
        <v>232927.0</v>
      </c>
    </row>
    <row r="60" ht="14.25" customHeight="1">
      <c r="A60" s="117" t="s">
        <v>78</v>
      </c>
      <c r="B60" s="118">
        <v>45.0</v>
      </c>
      <c r="C60" s="119">
        <v>5736.0</v>
      </c>
      <c r="D60" s="35">
        <v>258808.0</v>
      </c>
      <c r="E60" s="120">
        <v>0.9</v>
      </c>
      <c r="F60" s="41">
        <v>40.608</v>
      </c>
      <c r="G60" s="121">
        <v>232927.0</v>
      </c>
    </row>
    <row r="61" ht="14.25" customHeight="1">
      <c r="A61" s="117" t="s">
        <v>279</v>
      </c>
      <c r="B61" s="118">
        <v>161.0</v>
      </c>
      <c r="C61" s="119">
        <v>5736.0</v>
      </c>
      <c r="D61" s="35">
        <v>922349.0</v>
      </c>
      <c r="E61" s="120">
        <v>0.85</v>
      </c>
      <c r="F61" s="118">
        <v>136.68</v>
      </c>
      <c r="G61" s="122">
        <v>783996.0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6">
    <mergeCell ref="C19:C20"/>
    <mergeCell ref="D20:E20"/>
    <mergeCell ref="D2:G2"/>
    <mergeCell ref="D3:E3"/>
    <mergeCell ref="F3:G3"/>
    <mergeCell ref="A18:I18"/>
    <mergeCell ref="A19:A20"/>
    <mergeCell ref="B19:B20"/>
    <mergeCell ref="I19:I20"/>
    <mergeCell ref="F20:G20"/>
    <mergeCell ref="D43:D44"/>
    <mergeCell ref="E43:E44"/>
    <mergeCell ref="T36:U36"/>
    <mergeCell ref="T37:U37"/>
    <mergeCell ref="T38:U38"/>
    <mergeCell ref="A42:G42"/>
    <mergeCell ref="A43:A44"/>
    <mergeCell ref="B43:B44"/>
    <mergeCell ref="C43:C44"/>
    <mergeCell ref="E55:E56"/>
    <mergeCell ref="F55:F56"/>
    <mergeCell ref="F43:F44"/>
    <mergeCell ref="G43:G44"/>
    <mergeCell ref="A54:G54"/>
    <mergeCell ref="A55:A56"/>
    <mergeCell ref="B55:B56"/>
    <mergeCell ref="C55:C56"/>
    <mergeCell ref="D55:D56"/>
    <mergeCell ref="G55:G56"/>
    <mergeCell ref="I2:I3"/>
    <mergeCell ref="J2:J3"/>
    <mergeCell ref="K2:K3"/>
    <mergeCell ref="L2:L3"/>
    <mergeCell ref="O2:O3"/>
    <mergeCell ref="P2:P3"/>
    <mergeCell ref="O34:Q34"/>
    <mergeCell ref="O35:Q35"/>
    <mergeCell ref="O36:P36"/>
    <mergeCell ref="O37:P37"/>
    <mergeCell ref="O38:P38"/>
    <mergeCell ref="Q2:Q3"/>
    <mergeCell ref="R2:U2"/>
    <mergeCell ref="R3:S3"/>
    <mergeCell ref="T3:U3"/>
    <mergeCell ref="O18:W18"/>
    <mergeCell ref="A1:I1"/>
    <mergeCell ref="O1:W1"/>
    <mergeCell ref="A2:A3"/>
    <mergeCell ref="B2:B3"/>
    <mergeCell ref="C2:C3"/>
    <mergeCell ref="H2:H3"/>
    <mergeCell ref="V2:W3"/>
    <mergeCell ref="D19:G19"/>
    <mergeCell ref="H19:H20"/>
    <mergeCell ref="J19:J20"/>
    <mergeCell ref="K19:K20"/>
    <mergeCell ref="L19:L20"/>
    <mergeCell ref="O19:O20"/>
    <mergeCell ref="P19:P20"/>
    <mergeCell ref="Q19:Q20"/>
    <mergeCell ref="R19:U19"/>
    <mergeCell ref="V19:W20"/>
    <mergeCell ref="R20:S20"/>
    <mergeCell ref="T20:U20"/>
    <mergeCell ref="T34:V34"/>
    <mergeCell ref="T35:V3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53.29"/>
    <col customWidth="1" min="3" max="3" width="95.29"/>
    <col customWidth="1" min="4" max="4" width="39.14"/>
    <col customWidth="1" min="5" max="5" width="37.86"/>
    <col customWidth="1" min="6" max="7" width="10.0"/>
    <col customWidth="1" min="8" max="8" width="39.0"/>
    <col customWidth="1" min="9" max="10" width="10.0"/>
    <col customWidth="1" min="11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5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7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8" t="s">
        <v>9</v>
      </c>
      <c r="C4" s="10" t="s">
        <v>10</v>
      </c>
      <c r="D4" s="1"/>
      <c r="E4" s="11" t="s">
        <v>12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4" t="s">
        <v>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22" t="s">
        <v>41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2" t="s">
        <v>45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4" t="s">
        <v>47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31" t="s">
        <v>49</v>
      </c>
      <c r="C12" s="32"/>
      <c r="D12" s="33"/>
      <c r="E12" s="31" t="s">
        <v>55</v>
      </c>
      <c r="F12" s="32"/>
      <c r="G12" s="33"/>
      <c r="H12" s="31" t="s">
        <v>60</v>
      </c>
      <c r="I12" s="32"/>
      <c r="J12" s="3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38">
        <f>'2. PCP - Programa &amp; Lotes'!F20</f>
        <v>678513.97</v>
      </c>
      <c r="C13" s="32"/>
      <c r="D13" s="33"/>
      <c r="E13" s="39" t="s">
        <v>67</v>
      </c>
      <c r="F13" s="32"/>
      <c r="G13" s="33"/>
      <c r="H13" s="38">
        <f>'2. PCP - Programa &amp; Lotes'!J20</f>
        <v>946.3235286</v>
      </c>
      <c r="I13" s="32"/>
      <c r="J13" s="3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45" t="s">
        <v>70</v>
      </c>
      <c r="C14" s="32"/>
      <c r="D14" s="33"/>
      <c r="E14" s="45" t="s">
        <v>71</v>
      </c>
      <c r="F14" s="32"/>
      <c r="G14" s="33"/>
      <c r="H14" s="45" t="s">
        <v>72</v>
      </c>
      <c r="I14" s="32"/>
      <c r="J14" s="3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31" t="s">
        <v>74</v>
      </c>
      <c r="C16" s="32"/>
      <c r="D16" s="33"/>
      <c r="E16" s="31" t="s">
        <v>75</v>
      </c>
      <c r="F16" s="32"/>
      <c r="G16" s="33"/>
      <c r="H16" s="31" t="s">
        <v>76</v>
      </c>
      <c r="I16" s="32"/>
      <c r="J16" s="3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53">
        <f>'4. Dimensionamiento Stocks'!C9</f>
        <v>60</v>
      </c>
      <c r="C17" s="32"/>
      <c r="D17" s="33"/>
      <c r="E17" s="53">
        <f>'4. Dimensionamiento Stocks'!C10</f>
        <v>10</v>
      </c>
      <c r="F17" s="32"/>
      <c r="G17" s="33"/>
      <c r="H17" s="38" t="str">
        <f>'3. Cuantificación Frecuencias'!N33</f>
        <v>#VALUE!</v>
      </c>
      <c r="I17" s="32"/>
      <c r="J17" s="3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45" t="s">
        <v>77</v>
      </c>
      <c r="C18" s="32"/>
      <c r="D18" s="33"/>
      <c r="E18" s="45" t="s">
        <v>79</v>
      </c>
      <c r="F18" s="32"/>
      <c r="G18" s="33"/>
      <c r="H18" s="45" t="s">
        <v>80</v>
      </c>
      <c r="I18" s="32"/>
      <c r="J18" s="3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4" t="s">
        <v>85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6" t="s">
        <v>89</v>
      </c>
      <c r="C23" s="16" t="s">
        <v>91</v>
      </c>
      <c r="D23" s="16" t="s">
        <v>92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1" t="s">
        <v>96</v>
      </c>
      <c r="C24" s="23" t="s">
        <v>97</v>
      </c>
      <c r="D24" s="11" t="s">
        <v>98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1" t="s">
        <v>99</v>
      </c>
      <c r="C25" s="23" t="s">
        <v>101</v>
      </c>
      <c r="D25" s="11" t="s">
        <v>102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1" t="s">
        <v>103</v>
      </c>
      <c r="C26" s="23" t="s">
        <v>104</v>
      </c>
      <c r="D26" s="11" t="s">
        <v>105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1" t="s">
        <v>106</v>
      </c>
      <c r="C27" s="23" t="s">
        <v>107</v>
      </c>
      <c r="D27" s="11" t="s">
        <v>108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1" t="s">
        <v>111</v>
      </c>
      <c r="C28" s="23" t="s">
        <v>114</v>
      </c>
      <c r="D28" s="11" t="s">
        <v>115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E14:G14"/>
    <mergeCell ref="H14:J14"/>
    <mergeCell ref="B12:D12"/>
    <mergeCell ref="E12:G12"/>
    <mergeCell ref="H12:J12"/>
    <mergeCell ref="B13:D13"/>
    <mergeCell ref="E13:G13"/>
    <mergeCell ref="H13:J13"/>
    <mergeCell ref="B14:D14"/>
    <mergeCell ref="E18:G18"/>
    <mergeCell ref="H18:J18"/>
    <mergeCell ref="B16:D16"/>
    <mergeCell ref="E16:G16"/>
    <mergeCell ref="H16:J16"/>
    <mergeCell ref="B17:D17"/>
    <mergeCell ref="E17:G17"/>
    <mergeCell ref="H17:J17"/>
    <mergeCell ref="B18:D1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42.0"/>
    <col customWidth="1" min="3" max="3" width="34.86"/>
    <col customWidth="1" min="4" max="4" width="29.29"/>
    <col customWidth="1" min="5" max="5" width="30.29"/>
    <col customWidth="1" min="6" max="6" width="47.43"/>
    <col customWidth="1" min="7" max="7" width="7.29"/>
    <col customWidth="1" min="8" max="8" width="17.0"/>
    <col customWidth="1" min="9" max="9" width="14.57"/>
    <col customWidth="1" min="10" max="10" width="14.43"/>
    <col customWidth="1" min="11" max="12" width="14.14"/>
    <col customWidth="1" min="13" max="13" width="30.0"/>
    <col customWidth="1" min="14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5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7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8" t="s">
        <v>9</v>
      </c>
      <c r="C4" s="10" t="s">
        <v>10</v>
      </c>
      <c r="D4" s="1"/>
      <c r="E4" s="11" t="s">
        <v>12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4" t="s">
        <v>13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6" t="s">
        <v>48</v>
      </c>
      <c r="C8" s="16" t="s">
        <v>51</v>
      </c>
      <c r="D8" s="16" t="s">
        <v>52</v>
      </c>
      <c r="E8" s="16" t="s">
        <v>53</v>
      </c>
      <c r="F8" s="16" t="s">
        <v>54</v>
      </c>
      <c r="G8" s="16" t="s">
        <v>56</v>
      </c>
      <c r="H8" s="16" t="s">
        <v>57</v>
      </c>
      <c r="I8" s="16" t="s">
        <v>58</v>
      </c>
      <c r="J8" s="16" t="s">
        <v>59</v>
      </c>
      <c r="K8" s="16" t="s">
        <v>61</v>
      </c>
      <c r="L8" s="16" t="s">
        <v>62</v>
      </c>
      <c r="M8" s="16" t="s">
        <v>63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23" t="s">
        <v>64</v>
      </c>
      <c r="C9" s="20" t="s">
        <v>65</v>
      </c>
      <c r="D9" s="21" t="s">
        <v>68</v>
      </c>
      <c r="E9" s="43" t="s">
        <v>69</v>
      </c>
      <c r="F9" s="44">
        <v>101019.36</v>
      </c>
      <c r="G9" s="49">
        <f t="shared" ref="G9:G19" si="1">F9/$F$20</f>
        <v>0.1488832426</v>
      </c>
      <c r="H9" s="52">
        <f t="shared" ref="H9:H19" si="2">F9/12</f>
        <v>8418.28</v>
      </c>
      <c r="I9" s="52">
        <f t="shared" ref="I9:I19" si="3">F9/239</f>
        <v>422.6751464</v>
      </c>
      <c r="J9" s="52">
        <f t="shared" ref="J9:J19" si="4">I9/3</f>
        <v>140.8917155</v>
      </c>
      <c r="K9" s="46">
        <f t="shared" ref="K9:K16" si="5">J9/(0.15*20)</f>
        <v>46.96390516</v>
      </c>
      <c r="L9" s="46">
        <f t="shared" ref="L9:L16" si="6">(F9/47.8)/(0.15*20*105)</f>
        <v>6.709129309</v>
      </c>
      <c r="M9" s="25" t="s">
        <v>86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23" t="s">
        <v>64</v>
      </c>
      <c r="C10" s="20" t="s">
        <v>90</v>
      </c>
      <c r="D10" s="21" t="s">
        <v>93</v>
      </c>
      <c r="E10" s="43" t="s">
        <v>69</v>
      </c>
      <c r="F10" s="44">
        <v>13132.52</v>
      </c>
      <c r="G10" s="49">
        <f t="shared" si="1"/>
        <v>0.01935482625</v>
      </c>
      <c r="H10" s="52">
        <f t="shared" si="2"/>
        <v>1094.376667</v>
      </c>
      <c r="I10" s="52">
        <f t="shared" si="3"/>
        <v>54.94778243</v>
      </c>
      <c r="J10" s="52">
        <f t="shared" si="4"/>
        <v>18.31592748</v>
      </c>
      <c r="K10" s="46">
        <f t="shared" si="5"/>
        <v>6.105309159</v>
      </c>
      <c r="L10" s="46">
        <f t="shared" si="6"/>
        <v>0.8721870226</v>
      </c>
      <c r="M10" s="25" t="s">
        <v>113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23" t="s">
        <v>64</v>
      </c>
      <c r="C11" s="20" t="s">
        <v>119</v>
      </c>
      <c r="D11" s="21" t="s">
        <v>120</v>
      </c>
      <c r="E11" s="43" t="s">
        <v>69</v>
      </c>
      <c r="F11" s="44">
        <v>30642.71</v>
      </c>
      <c r="G11" s="49">
        <f t="shared" si="1"/>
        <v>0.04516150198</v>
      </c>
      <c r="H11" s="52">
        <f t="shared" si="2"/>
        <v>2553.559167</v>
      </c>
      <c r="I11" s="52">
        <f t="shared" si="3"/>
        <v>128.2121757</v>
      </c>
      <c r="J11" s="52">
        <f t="shared" si="4"/>
        <v>42.73739191</v>
      </c>
      <c r="K11" s="46">
        <f t="shared" si="5"/>
        <v>14.2457973</v>
      </c>
      <c r="L11" s="46">
        <f t="shared" si="6"/>
        <v>2.035113901</v>
      </c>
      <c r="M11" s="25" t="s">
        <v>122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23" t="s">
        <v>64</v>
      </c>
      <c r="C12" s="20" t="s">
        <v>123</v>
      </c>
      <c r="D12" s="21" t="s">
        <v>124</v>
      </c>
      <c r="E12" s="43" t="s">
        <v>69</v>
      </c>
      <c r="F12" s="44">
        <v>94284.9</v>
      </c>
      <c r="G12" s="49">
        <f t="shared" si="1"/>
        <v>0.1389579348</v>
      </c>
      <c r="H12" s="52">
        <f t="shared" si="2"/>
        <v>7857.075</v>
      </c>
      <c r="I12" s="52">
        <f t="shared" si="3"/>
        <v>394.4974895</v>
      </c>
      <c r="J12" s="52">
        <f t="shared" si="4"/>
        <v>131.4991632</v>
      </c>
      <c r="K12" s="46">
        <f t="shared" si="5"/>
        <v>43.83305439</v>
      </c>
      <c r="L12" s="46">
        <f t="shared" si="6"/>
        <v>6.261864913</v>
      </c>
      <c r="M12" s="25" t="s">
        <v>125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23" t="s">
        <v>64</v>
      </c>
      <c r="C13" s="20" t="s">
        <v>126</v>
      </c>
      <c r="D13" s="21" t="s">
        <v>127</v>
      </c>
      <c r="E13" s="43" t="s">
        <v>69</v>
      </c>
      <c r="F13" s="44">
        <v>13132.52</v>
      </c>
      <c r="G13" s="49">
        <f t="shared" si="1"/>
        <v>0.01935482625</v>
      </c>
      <c r="H13" s="52">
        <f t="shared" si="2"/>
        <v>1094.376667</v>
      </c>
      <c r="I13" s="52">
        <f t="shared" si="3"/>
        <v>54.94778243</v>
      </c>
      <c r="J13" s="52">
        <f t="shared" si="4"/>
        <v>18.31592748</v>
      </c>
      <c r="K13" s="46">
        <f t="shared" si="5"/>
        <v>6.105309159</v>
      </c>
      <c r="L13" s="46">
        <f t="shared" si="6"/>
        <v>0.8721870226</v>
      </c>
      <c r="M13" s="25" t="s">
        <v>113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23" t="s">
        <v>64</v>
      </c>
      <c r="C14" s="20" t="s">
        <v>128</v>
      </c>
      <c r="D14" s="21" t="s">
        <v>129</v>
      </c>
      <c r="E14" s="43" t="s">
        <v>69</v>
      </c>
      <c r="F14" s="44">
        <v>30642.71</v>
      </c>
      <c r="G14" s="49">
        <f t="shared" si="1"/>
        <v>0.04516150198</v>
      </c>
      <c r="H14" s="52">
        <f t="shared" si="2"/>
        <v>2553.559167</v>
      </c>
      <c r="I14" s="52">
        <f t="shared" si="3"/>
        <v>128.2121757</v>
      </c>
      <c r="J14" s="52">
        <f t="shared" si="4"/>
        <v>42.73739191</v>
      </c>
      <c r="K14" s="46">
        <f t="shared" si="5"/>
        <v>14.2457973</v>
      </c>
      <c r="L14" s="46">
        <f t="shared" si="6"/>
        <v>2.035113901</v>
      </c>
      <c r="M14" s="25" t="s">
        <v>122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23" t="s">
        <v>64</v>
      </c>
      <c r="C15" s="20" t="s">
        <v>138</v>
      </c>
      <c r="D15" s="21" t="s">
        <v>139</v>
      </c>
      <c r="E15" s="43" t="s">
        <v>69</v>
      </c>
      <c r="F15" s="44">
        <v>22729.36</v>
      </c>
      <c r="G15" s="49">
        <f t="shared" si="1"/>
        <v>0.03349873548</v>
      </c>
      <c r="H15" s="52">
        <f t="shared" si="2"/>
        <v>1894.113333</v>
      </c>
      <c r="I15" s="52">
        <f t="shared" si="3"/>
        <v>95.10192469</v>
      </c>
      <c r="J15" s="52">
        <f t="shared" si="4"/>
        <v>31.70064156</v>
      </c>
      <c r="K15" s="46">
        <f t="shared" si="5"/>
        <v>10.56688052</v>
      </c>
      <c r="L15" s="46">
        <f t="shared" si="6"/>
        <v>1.50955436</v>
      </c>
      <c r="M15" s="25" t="s">
        <v>146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23" t="s">
        <v>64</v>
      </c>
      <c r="C16" s="20" t="s">
        <v>150</v>
      </c>
      <c r="D16" s="21" t="s">
        <v>153</v>
      </c>
      <c r="E16" s="43" t="s">
        <v>69</v>
      </c>
      <c r="F16" s="44">
        <v>53035.16</v>
      </c>
      <c r="G16" s="49">
        <f t="shared" si="1"/>
        <v>0.07816369647</v>
      </c>
      <c r="H16" s="52">
        <f t="shared" si="2"/>
        <v>4419.596667</v>
      </c>
      <c r="I16" s="52">
        <f t="shared" si="3"/>
        <v>221.9044351</v>
      </c>
      <c r="J16" s="52">
        <f t="shared" si="4"/>
        <v>73.96814505</v>
      </c>
      <c r="K16" s="46">
        <f t="shared" si="5"/>
        <v>24.65604835</v>
      </c>
      <c r="L16" s="46">
        <f t="shared" si="6"/>
        <v>3.522292621</v>
      </c>
      <c r="M16" s="25" t="s">
        <v>160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23" t="s">
        <v>161</v>
      </c>
      <c r="C17" s="20" t="s">
        <v>162</v>
      </c>
      <c r="D17" s="21" t="s">
        <v>165</v>
      </c>
      <c r="E17" s="43" t="s">
        <v>166</v>
      </c>
      <c r="F17" s="44">
        <v>117855.92</v>
      </c>
      <c r="G17" s="49">
        <f t="shared" si="1"/>
        <v>0.1736971164</v>
      </c>
      <c r="H17" s="52">
        <f t="shared" si="2"/>
        <v>9821.326667</v>
      </c>
      <c r="I17" s="52">
        <f t="shared" si="3"/>
        <v>493.1210042</v>
      </c>
      <c r="J17" s="52">
        <f t="shared" si="4"/>
        <v>164.3736681</v>
      </c>
      <c r="K17" s="46">
        <f>J17/(0.4*10)</f>
        <v>41.09341702</v>
      </c>
      <c r="L17" s="46">
        <f>(F17/47.8)/(0.4*10*80)</f>
        <v>7.70501569</v>
      </c>
      <c r="M17" s="25" t="s">
        <v>178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23" t="s">
        <v>161</v>
      </c>
      <c r="C18" s="20" t="s">
        <v>181</v>
      </c>
      <c r="D18" s="21" t="s">
        <v>183</v>
      </c>
      <c r="E18" s="43" t="s">
        <v>184</v>
      </c>
      <c r="F18" s="44">
        <v>141427.2</v>
      </c>
      <c r="G18" s="49">
        <f t="shared" si="1"/>
        <v>0.2084366811</v>
      </c>
      <c r="H18" s="52">
        <f t="shared" si="2"/>
        <v>11785.6</v>
      </c>
      <c r="I18" s="52">
        <f t="shared" si="3"/>
        <v>591.7456067</v>
      </c>
      <c r="J18" s="52">
        <f t="shared" si="4"/>
        <v>197.2485356</v>
      </c>
      <c r="K18" s="46">
        <f t="shared" ref="K18:K19" si="7">J18/(0.18*20)</f>
        <v>54.79125988</v>
      </c>
      <c r="L18" s="46">
        <f t="shared" ref="L18:L19" si="8">(F18/47.8)/(0.18*20*90)</f>
        <v>9.131876647</v>
      </c>
      <c r="M18" s="25" t="s">
        <v>191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23" t="s">
        <v>161</v>
      </c>
      <c r="C19" s="20" t="s">
        <v>192</v>
      </c>
      <c r="D19" s="21" t="s">
        <v>194</v>
      </c>
      <c r="E19" s="43" t="s">
        <v>184</v>
      </c>
      <c r="F19" s="44">
        <v>60611.61</v>
      </c>
      <c r="G19" s="49">
        <f t="shared" si="1"/>
        <v>0.08932993671</v>
      </c>
      <c r="H19" s="52">
        <f t="shared" si="2"/>
        <v>5050.9675</v>
      </c>
      <c r="I19" s="52">
        <f t="shared" si="3"/>
        <v>253.6050628</v>
      </c>
      <c r="J19" s="52">
        <f t="shared" si="4"/>
        <v>84.53502092</v>
      </c>
      <c r="K19" s="46">
        <f t="shared" si="7"/>
        <v>23.48195026</v>
      </c>
      <c r="L19" s="46">
        <f t="shared" si="8"/>
        <v>3.913658376</v>
      </c>
      <c r="M19" s="25" t="s">
        <v>198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81" t="s">
        <v>199</v>
      </c>
      <c r="C20" s="82"/>
      <c r="D20" s="82"/>
      <c r="E20" s="82"/>
      <c r="F20" s="83">
        <f t="shared" ref="F20:L20" si="9">SUM(F9:F19)</f>
        <v>678513.97</v>
      </c>
      <c r="G20" s="84">
        <f t="shared" si="9"/>
        <v>1</v>
      </c>
      <c r="H20" s="83">
        <f t="shared" si="9"/>
        <v>56542.83083</v>
      </c>
      <c r="I20" s="83">
        <f t="shared" si="9"/>
        <v>2838.970586</v>
      </c>
      <c r="J20" s="83">
        <f t="shared" si="9"/>
        <v>946.3235286</v>
      </c>
      <c r="K20" s="85">
        <f t="shared" si="9"/>
        <v>286.0887285</v>
      </c>
      <c r="L20" s="85">
        <f t="shared" si="9"/>
        <v>44.56799376</v>
      </c>
      <c r="M20" s="81" t="s">
        <v>212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4" t="s">
        <v>215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86" t="s">
        <v>220</v>
      </c>
      <c r="C25" s="86" t="s">
        <v>64</v>
      </c>
      <c r="D25" s="86" t="s">
        <v>161</v>
      </c>
      <c r="E25" s="86" t="s">
        <v>221</v>
      </c>
      <c r="F25" s="86" t="s">
        <v>222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1" t="s">
        <v>223</v>
      </c>
      <c r="C26" s="92">
        <f>SUM(J9:J16)</f>
        <v>500.166304</v>
      </c>
      <c r="D26" s="92">
        <f>SUM(J17:J19)</f>
        <v>446.1572245</v>
      </c>
      <c r="E26" s="93" t="s">
        <v>230</v>
      </c>
      <c r="F26" s="23" t="s">
        <v>232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1" t="s">
        <v>235</v>
      </c>
      <c r="C27" s="97">
        <v>0.9122</v>
      </c>
      <c r="D27" s="97">
        <v>0.809</v>
      </c>
      <c r="E27" s="93" t="s">
        <v>236</v>
      </c>
      <c r="F27" s="23" t="s">
        <v>237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1" t="s">
        <v>238</v>
      </c>
      <c r="C28" s="92">
        <f t="shared" ref="C28:D28" si="10">C26/C27</f>
        <v>548.307722</v>
      </c>
      <c r="D28" s="92">
        <f t="shared" si="10"/>
        <v>551.492243</v>
      </c>
      <c r="E28" s="93" t="s">
        <v>240</v>
      </c>
      <c r="F28" s="23" t="s">
        <v>241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1" t="s">
        <v>242</v>
      </c>
      <c r="C29" s="101">
        <f t="shared" ref="C29:D29" si="11">25*6</f>
        <v>150</v>
      </c>
      <c r="D29" s="101">
        <f t="shared" si="11"/>
        <v>150</v>
      </c>
      <c r="E29" s="93" t="s">
        <v>245</v>
      </c>
      <c r="F29" s="23" t="s">
        <v>246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1" t="s">
        <v>249</v>
      </c>
      <c r="C30" s="103">
        <f t="shared" ref="C30:D30" si="12">ROUNDUP(C28/C29, 0)</f>
        <v>4</v>
      </c>
      <c r="D30" s="103">
        <f t="shared" si="12"/>
        <v>4</v>
      </c>
      <c r="E30" s="93" t="s">
        <v>258</v>
      </c>
      <c r="F30" s="23" t="s">
        <v>259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1" t="s">
        <v>260</v>
      </c>
      <c r="C31" s="101">
        <f>50</f>
        <v>50</v>
      </c>
      <c r="D31" s="108">
        <v>40.5</v>
      </c>
      <c r="E31" s="93" t="s">
        <v>264</v>
      </c>
      <c r="F31" s="23" t="s">
        <v>265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1" t="s">
        <v>266</v>
      </c>
      <c r="C32" s="103">
        <f t="shared" ref="C32:D32" si="13">ROUNDUP(C28/C31, 0)</f>
        <v>11</v>
      </c>
      <c r="D32" s="103">
        <f t="shared" si="13"/>
        <v>14</v>
      </c>
      <c r="E32" s="93" t="s">
        <v>270</v>
      </c>
      <c r="F32" s="23" t="s">
        <v>271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1" t="s">
        <v>275</v>
      </c>
      <c r="C33" s="101">
        <v>15.0</v>
      </c>
      <c r="D33" s="101">
        <v>75.0</v>
      </c>
      <c r="E33" s="93" t="s">
        <v>276</v>
      </c>
      <c r="F33" s="23" t="s">
        <v>277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1" t="s">
        <v>278</v>
      </c>
      <c r="C34" s="103">
        <f>SUM(K9:K16)</f>
        <v>166.7221013</v>
      </c>
      <c r="D34" s="103">
        <f>SUM(K17:K19)</f>
        <v>119.3666272</v>
      </c>
      <c r="E34" s="93" t="s">
        <v>280</v>
      </c>
      <c r="F34" s="23" t="s">
        <v>281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1" t="s">
        <v>282</v>
      </c>
      <c r="C35" s="92">
        <f>+ROUNDUP(SUM(L9:L16)/15,0)</f>
        <v>2</v>
      </c>
      <c r="D35" s="92">
        <f>+ROUNDUP(SUM(L17:L19)/15,0)</f>
        <v>2</v>
      </c>
      <c r="E35" s="93" t="s">
        <v>283</v>
      </c>
      <c r="F35" s="23" t="s">
        <v>284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23" t="s">
        <v>285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86" t="s">
        <v>220</v>
      </c>
      <c r="C38" s="86" t="s">
        <v>64</v>
      </c>
      <c r="D38" s="86" t="s">
        <v>161</v>
      </c>
      <c r="E38" s="86" t="s">
        <v>221</v>
      </c>
      <c r="F38" s="86" t="s">
        <v>222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21" t="s">
        <v>223</v>
      </c>
      <c r="C39" s="92">
        <f>SUM(J9:J16)</f>
        <v>500.166304</v>
      </c>
      <c r="D39" s="92">
        <f>SUM(J17:J19)</f>
        <v>446.1572245</v>
      </c>
      <c r="E39" s="93" t="s">
        <v>230</v>
      </c>
      <c r="F39" s="23" t="s">
        <v>232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21" t="s">
        <v>235</v>
      </c>
      <c r="C40" s="97">
        <v>0.9122</v>
      </c>
      <c r="D40" s="97">
        <v>0.809</v>
      </c>
      <c r="E40" s="93" t="s">
        <v>236</v>
      </c>
      <c r="F40" s="23" t="s">
        <v>237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21" t="s">
        <v>238</v>
      </c>
      <c r="C41" s="92">
        <f t="shared" ref="C41:D41" si="14">C39/C40</f>
        <v>548.307722</v>
      </c>
      <c r="D41" s="92">
        <f t="shared" si="14"/>
        <v>551.492243</v>
      </c>
      <c r="E41" s="93" t="s">
        <v>240</v>
      </c>
      <c r="F41" s="23" t="s">
        <v>241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21" t="s">
        <v>242</v>
      </c>
      <c r="C42" s="101">
        <f t="shared" ref="C42:D42" si="15">25*6</f>
        <v>150</v>
      </c>
      <c r="D42" s="101">
        <f t="shared" si="15"/>
        <v>150</v>
      </c>
      <c r="E42" s="93" t="s">
        <v>245</v>
      </c>
      <c r="F42" s="23" t="s">
        <v>246</v>
      </c>
      <c r="G42" s="1" t="s">
        <v>310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21" t="s">
        <v>260</v>
      </c>
      <c r="C43" s="101">
        <v>100.0</v>
      </c>
      <c r="D43" s="108">
        <v>100.0</v>
      </c>
      <c r="E43" s="93" t="s">
        <v>264</v>
      </c>
      <c r="F43" s="23" t="s">
        <v>265</v>
      </c>
      <c r="G43" s="1" t="s">
        <v>314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21" t="s">
        <v>266</v>
      </c>
      <c r="C44" s="103">
        <f t="shared" ref="C44:D44" si="16">ROUNDUP(C41/C43, 0)</f>
        <v>6</v>
      </c>
      <c r="D44" s="103">
        <f t="shared" si="16"/>
        <v>6</v>
      </c>
      <c r="E44" s="93" t="s">
        <v>270</v>
      </c>
      <c r="F44" s="23" t="s">
        <v>271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21" t="s">
        <v>275</v>
      </c>
      <c r="C45" s="101">
        <v>15.0</v>
      </c>
      <c r="D45" s="101">
        <v>75.0</v>
      </c>
      <c r="E45" s="93" t="s">
        <v>276</v>
      </c>
      <c r="F45" s="23" t="s">
        <v>277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21" t="s">
        <v>278</v>
      </c>
      <c r="C46" s="103">
        <f>+ROUNDUP(SUM(K9:K16),0)</f>
        <v>167</v>
      </c>
      <c r="D46" s="103">
        <f>SUM(K17:K19)</f>
        <v>119.3666272</v>
      </c>
      <c r="E46" s="93" t="s">
        <v>280</v>
      </c>
      <c r="F46" s="23" t="s">
        <v>281</v>
      </c>
      <c r="G46" s="1" t="s">
        <v>325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21" t="s">
        <v>282</v>
      </c>
      <c r="C47" s="92">
        <f>+ROUNDUP(SUM(L9:L16)/15,0)</f>
        <v>2</v>
      </c>
      <c r="D47" s="92">
        <f>+ROUNDUP(SUM(L17:L19)/15,0)</f>
        <v>2</v>
      </c>
      <c r="E47" s="93" t="s">
        <v>283</v>
      </c>
      <c r="F47" s="23" t="s">
        <v>284</v>
      </c>
      <c r="G47" s="1" t="s">
        <v>325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2" t="s">
        <v>0</v>
      </c>
      <c r="C55" s="3"/>
      <c r="D55" s="3"/>
      <c r="E55" s="3"/>
      <c r="F55" s="3"/>
      <c r="G55" s="3"/>
      <c r="H55" s="3"/>
      <c r="I55" s="3"/>
      <c r="J55" s="4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6" t="s">
        <v>3</v>
      </c>
      <c r="C56" s="6" t="s">
        <v>5</v>
      </c>
      <c r="D56" s="6" t="s">
        <v>7</v>
      </c>
      <c r="E56" s="2" t="s">
        <v>8</v>
      </c>
      <c r="F56" s="3"/>
      <c r="G56" s="3"/>
      <c r="H56" s="9"/>
      <c r="I56" s="17" t="s">
        <v>11</v>
      </c>
      <c r="J56" s="18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9"/>
      <c r="C57" s="19"/>
      <c r="D57" s="19"/>
      <c r="E57" s="2" t="s">
        <v>39</v>
      </c>
      <c r="F57" s="9"/>
      <c r="G57" s="2" t="s">
        <v>42</v>
      </c>
      <c r="H57" s="9"/>
      <c r="I57" s="28"/>
      <c r="J57" s="29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30" t="s">
        <v>50</v>
      </c>
      <c r="C58" s="130">
        <v>431449.0</v>
      </c>
      <c r="D58" s="36" t="s">
        <v>66</v>
      </c>
      <c r="E58" s="37"/>
      <c r="F58" s="37"/>
      <c r="G58" s="37"/>
      <c r="H58" s="37"/>
      <c r="I58" s="35">
        <v>431449.0</v>
      </c>
      <c r="J58" s="36" t="s">
        <v>372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30" t="s">
        <v>73</v>
      </c>
      <c r="C59" s="35">
        <v>431449.0</v>
      </c>
      <c r="D59" s="36" t="s">
        <v>66</v>
      </c>
      <c r="E59" s="50">
        <v>0.01</v>
      </c>
      <c r="F59" s="35">
        <v>4314.0</v>
      </c>
      <c r="G59" s="50">
        <v>0.01</v>
      </c>
      <c r="H59" s="35">
        <v>4314.0</v>
      </c>
      <c r="I59" s="35">
        <v>422820.0</v>
      </c>
      <c r="J59" s="36" t="s">
        <v>372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30" t="s">
        <v>78</v>
      </c>
      <c r="C60" s="35">
        <v>422820.0</v>
      </c>
      <c r="D60" s="36" t="s">
        <v>66</v>
      </c>
      <c r="E60" s="37"/>
      <c r="F60" s="37"/>
      <c r="G60" s="50">
        <v>0.07</v>
      </c>
      <c r="H60" s="35">
        <v>29597.0</v>
      </c>
      <c r="I60" s="35">
        <v>393223.0</v>
      </c>
      <c r="J60" s="36" t="s">
        <v>372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30" t="s">
        <v>82</v>
      </c>
      <c r="C61" s="35">
        <v>393223.0</v>
      </c>
      <c r="D61" s="36" t="s">
        <v>66</v>
      </c>
      <c r="E61" s="50">
        <v>0.04</v>
      </c>
      <c r="F61" s="35">
        <v>15729.0</v>
      </c>
      <c r="G61" s="50">
        <v>0.01</v>
      </c>
      <c r="H61" s="35">
        <v>3932.0</v>
      </c>
      <c r="I61" s="35">
        <v>373562.0</v>
      </c>
      <c r="J61" s="36" t="s">
        <v>372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30" t="s">
        <v>94</v>
      </c>
      <c r="C62" s="35">
        <v>373562.0</v>
      </c>
      <c r="D62" s="36" t="s">
        <v>66</v>
      </c>
      <c r="E62" s="37"/>
      <c r="F62" s="37"/>
      <c r="G62" s="37"/>
      <c r="H62" s="37"/>
      <c r="I62" s="35">
        <v>373562.0</v>
      </c>
      <c r="J62" s="36" t="s">
        <v>372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30" t="s">
        <v>100</v>
      </c>
      <c r="C63" s="35">
        <v>373562.0</v>
      </c>
      <c r="D63" s="36" t="s">
        <v>66</v>
      </c>
      <c r="E63" s="50">
        <v>0.04</v>
      </c>
      <c r="F63" s="35">
        <v>14942.0</v>
      </c>
      <c r="G63" s="37"/>
      <c r="H63" s="37"/>
      <c r="I63" s="35">
        <v>358619.0</v>
      </c>
      <c r="J63" s="36" t="s">
        <v>372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30" t="s">
        <v>116</v>
      </c>
      <c r="C64" s="35">
        <v>358619.0</v>
      </c>
      <c r="D64" s="36" t="s">
        <v>66</v>
      </c>
      <c r="E64" s="37"/>
      <c r="F64" s="37"/>
      <c r="G64" s="37"/>
      <c r="H64" s="37"/>
      <c r="I64" s="35">
        <v>358619.0</v>
      </c>
      <c r="J64" s="36" t="s">
        <v>372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30" t="s">
        <v>118</v>
      </c>
      <c r="C65" s="35">
        <v>358619.0</v>
      </c>
      <c r="D65" s="36" t="s">
        <v>66</v>
      </c>
      <c r="E65" s="37"/>
      <c r="F65" s="37"/>
      <c r="G65" s="37"/>
      <c r="H65" s="37"/>
      <c r="I65" s="61">
        <v>358619.0</v>
      </c>
      <c r="J65" s="36" t="s">
        <v>372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63" t="s">
        <v>121</v>
      </c>
      <c r="C66" s="64">
        <v>431449.0</v>
      </c>
      <c r="D66" s="65" t="s">
        <v>66</v>
      </c>
      <c r="E66" s="66"/>
      <c r="F66" s="68">
        <v>34986.0</v>
      </c>
      <c r="G66" s="66"/>
      <c r="H66" s="68">
        <v>37844.0</v>
      </c>
      <c r="I66" s="61">
        <v>358619.0</v>
      </c>
      <c r="J66" s="69" t="s">
        <v>372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46" t="s">
        <v>393</v>
      </c>
      <c r="F67" s="148">
        <f>+F66/12</f>
        <v>2915.5</v>
      </c>
      <c r="G67" s="1" t="s">
        <v>394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46" t="s">
        <v>395</v>
      </c>
      <c r="F68" s="148">
        <f>+F67/30</f>
        <v>97.18333333</v>
      </c>
      <c r="G68" s="1" t="s">
        <v>394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E69" s="146" t="s">
        <v>396</v>
      </c>
      <c r="F69" s="148">
        <f>+F68/3</f>
        <v>32.39444444</v>
      </c>
      <c r="G69" s="1" t="s">
        <v>394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B55:J55"/>
    <mergeCell ref="B56:B57"/>
    <mergeCell ref="C56:C57"/>
    <mergeCell ref="D56:D57"/>
    <mergeCell ref="E56:H56"/>
    <mergeCell ref="I56:J57"/>
    <mergeCell ref="E57:F57"/>
    <mergeCell ref="G57:H5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46.57"/>
    <col customWidth="1" min="3" max="3" width="34.86"/>
    <col customWidth="1" min="4" max="4" width="20.0"/>
    <col customWidth="1" min="5" max="5" width="59.14"/>
    <col customWidth="1" min="6" max="6" width="28.43"/>
    <col customWidth="1" min="7" max="7" width="19.86"/>
    <col customWidth="1" min="8" max="8" width="27.29"/>
    <col customWidth="1" min="9" max="9" width="22.43"/>
    <col customWidth="1" hidden="1" min="10" max="10" width="16.14"/>
    <col customWidth="1" hidden="1" min="11" max="11" width="21.14"/>
    <col customWidth="1" hidden="1" min="12" max="12" width="18.57"/>
    <col customWidth="1" hidden="1" min="13" max="13" width="23.86"/>
    <col customWidth="1" hidden="1" min="14" max="14" width="26.29"/>
    <col customWidth="1" hidden="1" min="15" max="15" width="34.14"/>
    <col customWidth="1" min="16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5" t="s">
        <v>15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7" t="s">
        <v>16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8" t="s">
        <v>9</v>
      </c>
      <c r="C4" s="10" t="s">
        <v>10</v>
      </c>
      <c r="D4" s="1"/>
      <c r="E4" s="11" t="s">
        <v>12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6" t="s">
        <v>20</v>
      </c>
      <c r="C6" s="16" t="s">
        <v>22</v>
      </c>
      <c r="D6" s="16" t="s">
        <v>23</v>
      </c>
      <c r="E6" s="16" t="s">
        <v>24</v>
      </c>
      <c r="F6" s="16" t="s">
        <v>25</v>
      </c>
      <c r="G6" s="16" t="s">
        <v>26</v>
      </c>
      <c r="H6" s="16" t="s">
        <v>27</v>
      </c>
      <c r="I6" s="16" t="s">
        <v>28</v>
      </c>
      <c r="J6" s="16" t="s">
        <v>29</v>
      </c>
      <c r="K6" s="16" t="s">
        <v>30</v>
      </c>
      <c r="L6" s="16" t="s">
        <v>31</v>
      </c>
      <c r="M6" s="16" t="s">
        <v>32</v>
      </c>
      <c r="N6" s="16" t="s">
        <v>33</v>
      </c>
      <c r="O6" s="16" t="s">
        <v>34</v>
      </c>
      <c r="P6" s="16" t="s">
        <v>35</v>
      </c>
      <c r="Q6" s="16" t="s">
        <v>36</v>
      </c>
      <c r="R6" s="16" t="s">
        <v>37</v>
      </c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20" t="s">
        <v>38</v>
      </c>
      <c r="C7" s="21" t="s">
        <v>40</v>
      </c>
      <c r="D7" s="21" t="s">
        <v>43</v>
      </c>
      <c r="E7" s="23" t="s">
        <v>44</v>
      </c>
      <c r="F7" s="25" t="s">
        <v>46</v>
      </c>
      <c r="G7" s="34">
        <f>I7/2</f>
        <v>549.8999825</v>
      </c>
      <c r="H7" s="42">
        <f>ROUNDUP(('2. PCP - Programa &amp; Lotes'!C28+'2. PCP - Programa &amp; Lotes'!D28)/G7, 0)</f>
        <v>2</v>
      </c>
      <c r="I7" s="46">
        <f>'2. PCP - Programa &amp; Lotes'!C28+'2. PCP - Programa &amp; Lotes'!D28</f>
        <v>1099.799965</v>
      </c>
      <c r="J7" s="47">
        <v>4.5</v>
      </c>
      <c r="K7" s="47">
        <v>36.0</v>
      </c>
      <c r="L7" s="48">
        <v>0.5</v>
      </c>
      <c r="M7" s="54">
        <f>IF(H7&gt;0, (2*J7/K7) + L7, 0)</f>
        <v>0.75</v>
      </c>
      <c r="N7" s="55">
        <f>H7*M7/60</f>
        <v>0.025</v>
      </c>
      <c r="O7" s="56">
        <f>H7*J7*G7</f>
        <v>4949.099842</v>
      </c>
      <c r="P7" s="57">
        <f t="shared" ref="P7:P10" si="1">+ROUNDUP(I7/110,0)</f>
        <v>10</v>
      </c>
      <c r="Q7" s="57" t="s">
        <v>81</v>
      </c>
      <c r="R7" s="1" t="s">
        <v>83</v>
      </c>
      <c r="S7" s="1" t="s">
        <v>84</v>
      </c>
      <c r="T7" s="1">
        <f>I7/25</f>
        <v>43.9919986</v>
      </c>
      <c r="U7" s="1" t="s">
        <v>87</v>
      </c>
      <c r="V7" s="1"/>
      <c r="W7" s="1"/>
      <c r="X7" s="1"/>
      <c r="Y7" s="1"/>
      <c r="Z7" s="1"/>
    </row>
    <row r="8" ht="14.25" customHeight="1">
      <c r="A8" s="1"/>
      <c r="B8" s="20" t="s">
        <v>88</v>
      </c>
      <c r="C8" s="21" t="s">
        <v>43</v>
      </c>
      <c r="D8" s="58" t="s">
        <v>95</v>
      </c>
      <c r="E8" s="23"/>
      <c r="F8" s="25"/>
      <c r="G8" s="34">
        <v>150.0</v>
      </c>
      <c r="H8" s="42">
        <v>4.0</v>
      </c>
      <c r="I8" s="46">
        <f>G8*H8</f>
        <v>600</v>
      </c>
      <c r="J8" s="47"/>
      <c r="K8" s="47"/>
      <c r="L8" s="48"/>
      <c r="M8" s="54"/>
      <c r="N8" s="55"/>
      <c r="O8" s="56"/>
      <c r="P8" s="57">
        <f t="shared" si="1"/>
        <v>6</v>
      </c>
      <c r="Q8" s="57" t="s">
        <v>81</v>
      </c>
      <c r="R8" s="1" t="s">
        <v>83</v>
      </c>
      <c r="S8" s="1" t="s">
        <v>84</v>
      </c>
      <c r="T8" s="1"/>
      <c r="U8" s="1"/>
      <c r="V8" s="1"/>
      <c r="W8" s="1"/>
      <c r="X8" s="1"/>
      <c r="Y8" s="1"/>
      <c r="Z8" s="1"/>
    </row>
    <row r="9" ht="14.25" customHeight="1">
      <c r="A9" s="1"/>
      <c r="B9" s="20" t="s">
        <v>109</v>
      </c>
      <c r="C9" s="58" t="s">
        <v>95</v>
      </c>
      <c r="D9" s="58" t="s">
        <v>110</v>
      </c>
      <c r="E9" s="59" t="s">
        <v>112</v>
      </c>
      <c r="F9" s="60" t="s">
        <v>117</v>
      </c>
      <c r="G9" s="34">
        <f>'2. PCP - Programa &amp; Lotes'!C29</f>
        <v>150</v>
      </c>
      <c r="H9" s="42">
        <f>+ROUNDUP('2. PCP - Programa &amp; Lotes'!C28/'3. Cuantificación Frecuencias'!G9,0)</f>
        <v>4</v>
      </c>
      <c r="I9" s="62">
        <f t="shared" ref="I9:I10" si="2">+H9*G9</f>
        <v>600</v>
      </c>
      <c r="J9" s="47">
        <v>3.5</v>
      </c>
      <c r="K9" s="47">
        <v>48.0</v>
      </c>
      <c r="L9" s="48">
        <v>0.3</v>
      </c>
      <c r="M9" s="67">
        <f t="shared" ref="M9:M17" si="3">IF(H9&gt;0, (2*J9/K9) + L9, 0)</f>
        <v>0.4458333333</v>
      </c>
      <c r="N9" s="55">
        <f t="shared" ref="N9:N17" si="4">H9*M9/60</f>
        <v>0.02972222222</v>
      </c>
      <c r="O9" s="70">
        <f t="shared" ref="O9:O17" si="5">H9*J9*G9</f>
        <v>2100</v>
      </c>
      <c r="P9" s="57">
        <f t="shared" si="1"/>
        <v>6</v>
      </c>
      <c r="Q9" s="71" t="s">
        <v>83</v>
      </c>
      <c r="R9" s="1" t="s">
        <v>83</v>
      </c>
      <c r="S9" s="1" t="s">
        <v>130</v>
      </c>
      <c r="T9" s="1"/>
      <c r="U9" s="1"/>
      <c r="V9" s="1"/>
      <c r="W9" s="1"/>
      <c r="X9" s="1"/>
      <c r="Y9" s="1"/>
      <c r="Z9" s="1"/>
    </row>
    <row r="10" ht="14.25" customHeight="1">
      <c r="A10" s="1"/>
      <c r="B10" s="20" t="s">
        <v>133</v>
      </c>
      <c r="C10" s="21" t="s">
        <v>110</v>
      </c>
      <c r="D10" s="21" t="s">
        <v>134</v>
      </c>
      <c r="E10" s="23" t="s">
        <v>136</v>
      </c>
      <c r="F10" s="25" t="s">
        <v>137</v>
      </c>
      <c r="G10" s="34">
        <v>100.0</v>
      </c>
      <c r="H10" s="42">
        <f>+ROUNDUP('2. PCP - Programa &amp; Lotes'!C41/'3. Cuantificación Frecuencias'!G10,0)</f>
        <v>6</v>
      </c>
      <c r="I10" s="62">
        <f t="shared" si="2"/>
        <v>600</v>
      </c>
      <c r="J10" s="47">
        <v>3.0</v>
      </c>
      <c r="K10" s="47">
        <v>42.0</v>
      </c>
      <c r="L10" s="48">
        <v>0.35</v>
      </c>
      <c r="M10" s="54">
        <f t="shared" si="3"/>
        <v>0.4928571429</v>
      </c>
      <c r="N10" s="55">
        <f t="shared" si="4"/>
        <v>0.04928571429</v>
      </c>
      <c r="O10" s="56">
        <f t="shared" si="5"/>
        <v>1800</v>
      </c>
      <c r="P10" s="57">
        <f t="shared" si="1"/>
        <v>6</v>
      </c>
      <c r="Q10" s="71" t="s">
        <v>83</v>
      </c>
      <c r="R10" s="1" t="s">
        <v>81</v>
      </c>
      <c r="S10" s="1" t="s">
        <v>84</v>
      </c>
      <c r="T10" s="1"/>
      <c r="U10" s="1"/>
      <c r="V10" s="1"/>
      <c r="W10" s="1"/>
      <c r="X10" s="1"/>
      <c r="Y10" s="1"/>
      <c r="Z10" s="1"/>
    </row>
    <row r="11" ht="14.25" customHeight="1">
      <c r="A11" s="1"/>
      <c r="B11" s="20" t="s">
        <v>141</v>
      </c>
      <c r="C11" s="58" t="s">
        <v>134</v>
      </c>
      <c r="D11" s="58" t="s">
        <v>142</v>
      </c>
      <c r="E11" s="59" t="s">
        <v>143</v>
      </c>
      <c r="F11" s="60" t="s">
        <v>144</v>
      </c>
      <c r="G11" s="34" t="s">
        <v>145</v>
      </c>
      <c r="H11" s="42" t="s">
        <v>145</v>
      </c>
      <c r="I11" s="62" t="s">
        <v>145</v>
      </c>
      <c r="J11" s="47">
        <v>5.0</v>
      </c>
      <c r="K11" s="47">
        <v>60.0</v>
      </c>
      <c r="L11" s="48">
        <v>0.0</v>
      </c>
      <c r="M11" s="67">
        <f t="shared" si="3"/>
        <v>0.1666666667</v>
      </c>
      <c r="N11" s="55" t="str">
        <f t="shared" si="4"/>
        <v>#VALUE!</v>
      </c>
      <c r="O11" s="70" t="str">
        <f t="shared" si="5"/>
        <v>#VALUE!</v>
      </c>
      <c r="P11" s="57">
        <v>0.0</v>
      </c>
      <c r="Q11" s="71" t="s">
        <v>81</v>
      </c>
      <c r="R11" s="1" t="s">
        <v>66</v>
      </c>
      <c r="S11" s="1" t="s">
        <v>84</v>
      </c>
      <c r="T11" s="1"/>
      <c r="U11" s="1"/>
      <c r="V11" s="1"/>
      <c r="W11" s="1"/>
      <c r="X11" s="1"/>
      <c r="Y11" s="1"/>
      <c r="Z11" s="1"/>
    </row>
    <row r="12" ht="14.25" customHeight="1">
      <c r="A12" s="1"/>
      <c r="B12" s="20" t="s">
        <v>147</v>
      </c>
      <c r="C12" s="21" t="s">
        <v>142</v>
      </c>
      <c r="D12" s="21" t="s">
        <v>148</v>
      </c>
      <c r="E12" s="23" t="s">
        <v>149</v>
      </c>
      <c r="F12" s="25" t="s">
        <v>144</v>
      </c>
      <c r="G12" s="34" t="s">
        <v>145</v>
      </c>
      <c r="H12" s="42" t="s">
        <v>145</v>
      </c>
      <c r="I12" s="62" t="s">
        <v>145</v>
      </c>
      <c r="J12" s="47">
        <v>6.0</v>
      </c>
      <c r="K12" s="47">
        <v>60.0</v>
      </c>
      <c r="L12" s="48">
        <v>0.0</v>
      </c>
      <c r="M12" s="54">
        <f t="shared" si="3"/>
        <v>0.2</v>
      </c>
      <c r="N12" s="55" t="str">
        <f t="shared" si="4"/>
        <v>#VALUE!</v>
      </c>
      <c r="O12" s="56" t="str">
        <f t="shared" si="5"/>
        <v>#VALUE!</v>
      </c>
      <c r="P12" s="57">
        <v>0.0</v>
      </c>
      <c r="Q12" s="71" t="s">
        <v>81</v>
      </c>
      <c r="R12" s="1" t="s">
        <v>66</v>
      </c>
      <c r="S12" s="1" t="s">
        <v>84</v>
      </c>
      <c r="T12" s="1"/>
      <c r="U12" s="1"/>
      <c r="V12" s="1"/>
      <c r="W12" s="1"/>
      <c r="X12" s="1"/>
      <c r="Y12" s="1"/>
      <c r="Z12" s="1"/>
    </row>
    <row r="13" ht="14.25" customHeight="1">
      <c r="A13" s="1"/>
      <c r="B13" s="20" t="s">
        <v>151</v>
      </c>
      <c r="C13" s="58" t="s">
        <v>148</v>
      </c>
      <c r="D13" s="58" t="s">
        <v>154</v>
      </c>
      <c r="E13" s="59" t="s">
        <v>155</v>
      </c>
      <c r="F13" s="60" t="s">
        <v>156</v>
      </c>
      <c r="G13" s="34" t="s">
        <v>145</v>
      </c>
      <c r="H13" s="42" t="s">
        <v>145</v>
      </c>
      <c r="I13" s="62" t="s">
        <v>145</v>
      </c>
      <c r="J13" s="47">
        <v>4.0</v>
      </c>
      <c r="K13" s="47">
        <v>60.0</v>
      </c>
      <c r="L13" s="48">
        <v>0.0</v>
      </c>
      <c r="M13" s="67">
        <f t="shared" si="3"/>
        <v>0.1333333333</v>
      </c>
      <c r="N13" s="55" t="str">
        <f t="shared" si="4"/>
        <v>#VALUE!</v>
      </c>
      <c r="O13" s="70" t="str">
        <f t="shared" si="5"/>
        <v>#VALUE!</v>
      </c>
      <c r="P13" s="57">
        <v>0.0</v>
      </c>
      <c r="Q13" s="71" t="s">
        <v>81</v>
      </c>
      <c r="R13" s="1" t="s">
        <v>66</v>
      </c>
      <c r="S13" s="1" t="s">
        <v>84</v>
      </c>
      <c r="T13" s="1"/>
      <c r="U13" s="1"/>
      <c r="V13" s="1"/>
      <c r="W13" s="1"/>
      <c r="X13" s="1"/>
      <c r="Y13" s="1"/>
      <c r="Z13" s="1"/>
    </row>
    <row r="14" ht="14.25" customHeight="1">
      <c r="A14" s="1"/>
      <c r="B14" s="20" t="s">
        <v>157</v>
      </c>
      <c r="C14" s="58" t="s">
        <v>154</v>
      </c>
      <c r="D14" s="58" t="s">
        <v>158</v>
      </c>
      <c r="E14" s="59" t="s">
        <v>159</v>
      </c>
      <c r="F14" s="60" t="s">
        <v>46</v>
      </c>
      <c r="G14" s="34">
        <v>315.0</v>
      </c>
      <c r="H14" s="42">
        <f>'2. PCP - Programa &amp; Lotes'!C35</f>
        <v>2</v>
      </c>
      <c r="I14" s="62">
        <f t="shared" ref="I14:I32" si="6">+H14*G14</f>
        <v>630</v>
      </c>
      <c r="J14" s="47">
        <v>5.0</v>
      </c>
      <c r="K14" s="47">
        <v>36.0</v>
      </c>
      <c r="L14" s="48">
        <v>0.75</v>
      </c>
      <c r="M14" s="67">
        <f t="shared" si="3"/>
        <v>1.027777778</v>
      </c>
      <c r="N14" s="55">
        <f t="shared" si="4"/>
        <v>0.03425925926</v>
      </c>
      <c r="O14" s="70">
        <f t="shared" si="5"/>
        <v>3150</v>
      </c>
      <c r="P14" s="57">
        <f t="shared" ref="P14:P32" si="7">+ROUNDUP(I14/110,0)</f>
        <v>6</v>
      </c>
      <c r="Q14" s="80" t="s">
        <v>83</v>
      </c>
      <c r="R14" s="1" t="s">
        <v>163</v>
      </c>
      <c r="S14" s="1" t="s">
        <v>164</v>
      </c>
      <c r="T14" s="1"/>
      <c r="U14" s="1"/>
      <c r="V14" s="1"/>
      <c r="W14" s="1"/>
      <c r="X14" s="1"/>
      <c r="Y14" s="1"/>
      <c r="Z14" s="1"/>
    </row>
    <row r="15" ht="14.25" customHeight="1">
      <c r="A15" s="1"/>
      <c r="B15" s="20" t="s">
        <v>167</v>
      </c>
      <c r="C15" s="21" t="s">
        <v>95</v>
      </c>
      <c r="D15" s="21" t="s">
        <v>168</v>
      </c>
      <c r="E15" s="23" t="s">
        <v>169</v>
      </c>
      <c r="F15" s="25" t="s">
        <v>117</v>
      </c>
      <c r="G15" s="34">
        <f>+'2. PCP - Programa &amp; Lotes'!D42</f>
        <v>150</v>
      </c>
      <c r="H15" s="42">
        <f>+ROUNDUP('2. PCP - Programa &amp; Lotes'!D41/'3. Cuantificación Frecuencias'!G15,0)</f>
        <v>4</v>
      </c>
      <c r="I15" s="62">
        <f t="shared" si="6"/>
        <v>600</v>
      </c>
      <c r="J15" s="47">
        <v>5.5</v>
      </c>
      <c r="K15" s="47">
        <v>48.0</v>
      </c>
      <c r="L15" s="48">
        <v>0.35</v>
      </c>
      <c r="M15" s="54">
        <f t="shared" si="3"/>
        <v>0.5791666667</v>
      </c>
      <c r="N15" s="55">
        <f t="shared" si="4"/>
        <v>0.03861111111</v>
      </c>
      <c r="O15" s="56">
        <f t="shared" si="5"/>
        <v>3300</v>
      </c>
      <c r="P15" s="57">
        <f t="shared" si="7"/>
        <v>6</v>
      </c>
      <c r="Q15" s="71" t="s">
        <v>83</v>
      </c>
      <c r="R15" s="1" t="s">
        <v>83</v>
      </c>
      <c r="S15" s="1" t="s">
        <v>130</v>
      </c>
      <c r="T15" s="1"/>
      <c r="U15" s="1"/>
      <c r="V15" s="1"/>
      <c r="W15" s="1"/>
      <c r="X15" s="1"/>
      <c r="Y15" s="1"/>
      <c r="Z15" s="1"/>
    </row>
    <row r="16" ht="14.25" customHeight="1">
      <c r="A16" s="1"/>
      <c r="B16" s="20" t="s">
        <v>171</v>
      </c>
      <c r="C16" s="58" t="s">
        <v>168</v>
      </c>
      <c r="D16" s="58" t="s">
        <v>172</v>
      </c>
      <c r="E16" s="59" t="s">
        <v>173</v>
      </c>
      <c r="F16" s="60" t="s">
        <v>137</v>
      </c>
      <c r="G16" s="34">
        <f>+'2. PCP - Programa &amp; Lotes'!D43</f>
        <v>100</v>
      </c>
      <c r="H16" s="42">
        <f>+ROUNDUP('2. PCP - Programa &amp; Lotes'!D41/'3. Cuantificación Frecuencias'!G16,0)</f>
        <v>6</v>
      </c>
      <c r="I16" s="62">
        <f t="shared" si="6"/>
        <v>600</v>
      </c>
      <c r="J16" s="47">
        <v>3.0</v>
      </c>
      <c r="K16" s="47">
        <v>42.0</v>
      </c>
      <c r="L16" s="48">
        <v>0.35</v>
      </c>
      <c r="M16" s="67">
        <f t="shared" si="3"/>
        <v>0.4928571429</v>
      </c>
      <c r="N16" s="55">
        <f t="shared" si="4"/>
        <v>0.04928571429</v>
      </c>
      <c r="O16" s="70">
        <f t="shared" si="5"/>
        <v>1800</v>
      </c>
      <c r="P16" s="57">
        <f t="shared" si="7"/>
        <v>6</v>
      </c>
      <c r="Q16" s="71" t="s">
        <v>83</v>
      </c>
      <c r="R16" s="1" t="s">
        <v>81</v>
      </c>
      <c r="S16" s="1" t="s">
        <v>84</v>
      </c>
      <c r="T16" s="1"/>
      <c r="U16" s="1"/>
      <c r="V16" s="1"/>
      <c r="W16" s="1"/>
      <c r="X16" s="1"/>
      <c r="Y16" s="1"/>
      <c r="Z16" s="1"/>
    </row>
    <row r="17" ht="14.25" customHeight="1">
      <c r="A17" s="1"/>
      <c r="B17" s="20" t="s">
        <v>174</v>
      </c>
      <c r="C17" s="21" t="s">
        <v>172</v>
      </c>
      <c r="D17" s="21" t="s">
        <v>175</v>
      </c>
      <c r="E17" s="23" t="s">
        <v>176</v>
      </c>
      <c r="F17" s="25" t="s">
        <v>177</v>
      </c>
      <c r="G17" s="34">
        <v>43.2</v>
      </c>
      <c r="H17" s="42">
        <f>+ROUNDUP('2. PCP - Programa &amp; Lotes'!$D$41*0.4/'3. Cuantificación Frecuencias'!G17,0)</f>
        <v>6</v>
      </c>
      <c r="I17" s="62">
        <f t="shared" si="6"/>
        <v>259.2</v>
      </c>
      <c r="J17" s="47">
        <v>3.0</v>
      </c>
      <c r="K17" s="47">
        <v>42.0</v>
      </c>
      <c r="L17" s="48">
        <v>0.4</v>
      </c>
      <c r="M17" s="54">
        <f t="shared" si="3"/>
        <v>0.5428571429</v>
      </c>
      <c r="N17" s="55">
        <f t="shared" si="4"/>
        <v>0.05428571429</v>
      </c>
      <c r="O17" s="56">
        <f t="shared" si="5"/>
        <v>777.6</v>
      </c>
      <c r="P17" s="57">
        <f t="shared" si="7"/>
        <v>3</v>
      </c>
      <c r="Q17" s="71" t="s">
        <v>163</v>
      </c>
      <c r="R17" s="1" t="s">
        <v>81</v>
      </c>
      <c r="S17" s="1" t="s">
        <v>130</v>
      </c>
      <c r="T17" s="1"/>
      <c r="U17" s="1"/>
      <c r="V17" s="1"/>
      <c r="W17" s="1"/>
      <c r="X17" s="1"/>
      <c r="Y17" s="1"/>
      <c r="Z17" s="1"/>
    </row>
    <row r="18" ht="14.25" customHeight="1">
      <c r="A18" s="1"/>
      <c r="B18" s="20" t="s">
        <v>180</v>
      </c>
      <c r="C18" s="21" t="s">
        <v>172</v>
      </c>
      <c r="D18" s="58" t="s">
        <v>182</v>
      </c>
      <c r="E18" s="23" t="s">
        <v>176</v>
      </c>
      <c r="F18" s="25" t="s">
        <v>177</v>
      </c>
      <c r="G18" s="34">
        <v>43.2</v>
      </c>
      <c r="H18" s="42">
        <f>+ROUNDUP('2. PCP - Programa &amp; Lotes'!D28*0.6/'3. Cuantificación Frecuencias'!G18,0)</f>
        <v>8</v>
      </c>
      <c r="I18" s="62">
        <f t="shared" si="6"/>
        <v>345.6</v>
      </c>
      <c r="J18" s="47"/>
      <c r="K18" s="47"/>
      <c r="L18" s="48"/>
      <c r="M18" s="54"/>
      <c r="N18" s="55"/>
      <c r="O18" s="56"/>
      <c r="P18" s="57">
        <f t="shared" si="7"/>
        <v>4</v>
      </c>
      <c r="Q18" s="71" t="s">
        <v>83</v>
      </c>
      <c r="R18" s="1" t="s">
        <v>81</v>
      </c>
      <c r="S18" s="1" t="s">
        <v>84</v>
      </c>
      <c r="T18" s="1"/>
      <c r="U18" s="1"/>
      <c r="V18" s="1"/>
      <c r="W18" s="1"/>
      <c r="X18" s="1"/>
      <c r="Y18" s="1"/>
      <c r="Z18" s="1"/>
    </row>
    <row r="19" ht="14.25" customHeight="1">
      <c r="A19" s="1"/>
      <c r="B19" s="20" t="s">
        <v>185</v>
      </c>
      <c r="C19" s="58" t="s">
        <v>175</v>
      </c>
      <c r="D19" s="58" t="s">
        <v>182</v>
      </c>
      <c r="E19" s="59" t="s">
        <v>186</v>
      </c>
      <c r="F19" s="60" t="s">
        <v>177</v>
      </c>
      <c r="G19" s="34">
        <v>43.2</v>
      </c>
      <c r="H19" s="42">
        <f>+ROUNDUP('2. PCP - Programa &amp; Lotes'!$D$41*0.4/'3. Cuantificación Frecuencias'!G19,0)</f>
        <v>6</v>
      </c>
      <c r="I19" s="62">
        <f t="shared" si="6"/>
        <v>259.2</v>
      </c>
      <c r="J19" s="47">
        <v>4.0</v>
      </c>
      <c r="K19" s="47">
        <v>42.0</v>
      </c>
      <c r="L19" s="48">
        <v>0.4</v>
      </c>
      <c r="M19" s="67">
        <f t="shared" ref="M19:M23" si="8">IF(H19&gt;0, (2*J19/K19) + L19, 0)</f>
        <v>0.5904761905</v>
      </c>
      <c r="N19" s="55">
        <f t="shared" ref="N19:N23" si="9">H19*M19/60</f>
        <v>0.05904761905</v>
      </c>
      <c r="O19" s="70">
        <f t="shared" ref="O19:O23" si="10">H19*J19*G19</f>
        <v>1036.8</v>
      </c>
      <c r="P19" s="57">
        <f t="shared" si="7"/>
        <v>3</v>
      </c>
      <c r="Q19" s="71" t="s">
        <v>163</v>
      </c>
      <c r="R19" s="1" t="s">
        <v>81</v>
      </c>
      <c r="S19" s="1" t="s">
        <v>130</v>
      </c>
      <c r="T19" s="1"/>
      <c r="U19" s="1"/>
      <c r="V19" s="1"/>
      <c r="W19" s="1"/>
      <c r="X19" s="1"/>
      <c r="Y19" s="1"/>
      <c r="Z19" s="1"/>
    </row>
    <row r="20" ht="14.25" customHeight="1">
      <c r="A20" s="1"/>
      <c r="B20" s="20" t="s">
        <v>188</v>
      </c>
      <c r="C20" s="21" t="s">
        <v>182</v>
      </c>
      <c r="D20" s="21" t="s">
        <v>189</v>
      </c>
      <c r="E20" s="23" t="s">
        <v>190</v>
      </c>
      <c r="F20" s="25" t="s">
        <v>177</v>
      </c>
      <c r="G20" s="34">
        <v>43.2</v>
      </c>
      <c r="H20" s="42">
        <f>'2. PCP - Programa &amp; Lotes'!D32</f>
        <v>14</v>
      </c>
      <c r="I20" s="62">
        <f t="shared" si="6"/>
        <v>604.8</v>
      </c>
      <c r="J20" s="47">
        <v>3.5</v>
      </c>
      <c r="K20" s="47">
        <v>36.0</v>
      </c>
      <c r="L20" s="48">
        <v>0.45</v>
      </c>
      <c r="M20" s="54">
        <f t="shared" si="8"/>
        <v>0.6444444444</v>
      </c>
      <c r="N20" s="55">
        <f t="shared" si="9"/>
        <v>0.1503703704</v>
      </c>
      <c r="O20" s="56">
        <f t="shared" si="10"/>
        <v>2116.8</v>
      </c>
      <c r="P20" s="57">
        <f t="shared" si="7"/>
        <v>6</v>
      </c>
      <c r="Q20" s="71" t="s">
        <v>83</v>
      </c>
      <c r="R20" s="1" t="s">
        <v>81</v>
      </c>
      <c r="S20" s="1" t="s">
        <v>84</v>
      </c>
      <c r="T20" s="1"/>
      <c r="U20" s="1"/>
      <c r="V20" s="1"/>
      <c r="W20" s="1"/>
      <c r="X20" s="1"/>
      <c r="Y20" s="1"/>
      <c r="Z20" s="1"/>
    </row>
    <row r="21" ht="14.25" customHeight="1">
      <c r="A21" s="1"/>
      <c r="B21" s="20" t="s">
        <v>193</v>
      </c>
      <c r="C21" s="58" t="s">
        <v>189</v>
      </c>
      <c r="D21" s="21" t="s">
        <v>195</v>
      </c>
      <c r="E21" s="59" t="s">
        <v>196</v>
      </c>
      <c r="F21" s="60" t="s">
        <v>197</v>
      </c>
      <c r="G21" s="34">
        <v>30.0</v>
      </c>
      <c r="H21" s="42">
        <f>'2. PCP - Programa &amp; Lotes'!D32</f>
        <v>14</v>
      </c>
      <c r="I21" s="62">
        <f t="shared" si="6"/>
        <v>420</v>
      </c>
      <c r="J21" s="47">
        <v>4.0</v>
      </c>
      <c r="K21" s="47">
        <v>42.0</v>
      </c>
      <c r="L21" s="48">
        <v>0.35</v>
      </c>
      <c r="M21" s="67">
        <f t="shared" si="8"/>
        <v>0.5404761905</v>
      </c>
      <c r="N21" s="55">
        <f t="shared" si="9"/>
        <v>0.1261111111</v>
      </c>
      <c r="O21" s="70">
        <f t="shared" si="10"/>
        <v>1680</v>
      </c>
      <c r="P21" s="57">
        <f t="shared" si="7"/>
        <v>4</v>
      </c>
      <c r="Q21" s="71" t="s">
        <v>83</v>
      </c>
      <c r="R21" s="1" t="s">
        <v>81</v>
      </c>
      <c r="S21" s="1" t="s">
        <v>84</v>
      </c>
      <c r="T21" s="1"/>
      <c r="U21" s="1"/>
      <c r="V21" s="1"/>
      <c r="W21" s="1"/>
      <c r="X21" s="1"/>
      <c r="Y21" s="1"/>
      <c r="Z21" s="1"/>
    </row>
    <row r="22" ht="15.75" customHeight="1">
      <c r="A22" s="1"/>
      <c r="B22" s="20" t="s">
        <v>200</v>
      </c>
      <c r="C22" s="21" t="s">
        <v>195</v>
      </c>
      <c r="D22" s="21" t="s">
        <v>158</v>
      </c>
      <c r="E22" s="23" t="s">
        <v>201</v>
      </c>
      <c r="F22" s="25" t="s">
        <v>46</v>
      </c>
      <c r="G22" s="34">
        <v>250.0</v>
      </c>
      <c r="H22" s="42">
        <f>'2. PCP - Programa &amp; Lotes'!D35</f>
        <v>2</v>
      </c>
      <c r="I22" s="62">
        <f t="shared" si="6"/>
        <v>500</v>
      </c>
      <c r="J22" s="47">
        <v>5.0</v>
      </c>
      <c r="K22" s="47">
        <v>36.0</v>
      </c>
      <c r="L22" s="48">
        <v>0.75</v>
      </c>
      <c r="M22" s="54">
        <f t="shared" si="8"/>
        <v>1.027777778</v>
      </c>
      <c r="N22" s="55">
        <f t="shared" si="9"/>
        <v>0.03425925926</v>
      </c>
      <c r="O22" s="56">
        <f t="shared" si="10"/>
        <v>2500</v>
      </c>
      <c r="P22" s="57">
        <f t="shared" si="7"/>
        <v>5</v>
      </c>
      <c r="Q22" s="71" t="s">
        <v>83</v>
      </c>
      <c r="R22" s="1" t="s">
        <v>163</v>
      </c>
      <c r="S22" s="1" t="s">
        <v>164</v>
      </c>
      <c r="T22" s="1"/>
      <c r="U22" s="1"/>
      <c r="V22" s="1"/>
      <c r="W22" s="1"/>
      <c r="X22" s="1"/>
      <c r="Y22" s="1"/>
      <c r="Z22" s="1"/>
    </row>
    <row r="23" ht="15.75" customHeight="1">
      <c r="A23" s="1"/>
      <c r="B23" s="20" t="s">
        <v>202</v>
      </c>
      <c r="C23" s="58" t="s">
        <v>134</v>
      </c>
      <c r="D23" s="58" t="str">
        <f>+C10</f>
        <v>3. Amasado G</v>
      </c>
      <c r="E23" s="59" t="s">
        <v>203</v>
      </c>
      <c r="F23" s="60" t="s">
        <v>204</v>
      </c>
      <c r="G23" s="34">
        <f>+'0. Capacidades x hora - turno'!E5</f>
        <v>6.017423359</v>
      </c>
      <c r="H23" s="42">
        <v>1.0</v>
      </c>
      <c r="I23" s="62">
        <f t="shared" si="6"/>
        <v>6.017423359</v>
      </c>
      <c r="J23" s="47">
        <v>8.0</v>
      </c>
      <c r="K23" s="47">
        <v>48.0</v>
      </c>
      <c r="L23" s="48">
        <v>0.3</v>
      </c>
      <c r="M23" s="67">
        <f t="shared" si="8"/>
        <v>0.6333333333</v>
      </c>
      <c r="N23" s="55">
        <f t="shared" si="9"/>
        <v>0.01055555556</v>
      </c>
      <c r="O23" s="70">
        <f t="shared" si="10"/>
        <v>48.13938687</v>
      </c>
      <c r="P23" s="57">
        <f t="shared" si="7"/>
        <v>1</v>
      </c>
      <c r="Q23" s="1" t="s">
        <v>163</v>
      </c>
      <c r="R23" s="1" t="s">
        <v>163</v>
      </c>
      <c r="S23" s="1" t="s">
        <v>206</v>
      </c>
      <c r="T23" s="1"/>
      <c r="U23" s="1"/>
      <c r="V23" s="1"/>
      <c r="W23" s="1"/>
      <c r="X23" s="1"/>
      <c r="Y23" s="1"/>
      <c r="Z23" s="1"/>
    </row>
    <row r="24" ht="15.75" customHeight="1">
      <c r="A24" s="1"/>
      <c r="B24" s="20" t="s">
        <v>207</v>
      </c>
      <c r="C24" s="58" t="s">
        <v>148</v>
      </c>
      <c r="D24" s="58" t="s">
        <v>110</v>
      </c>
      <c r="E24" s="59" t="s">
        <v>203</v>
      </c>
      <c r="F24" s="60"/>
      <c r="G24" s="34">
        <f>+'0. Capacidades x hora - turno'!E7</f>
        <v>21.9371186</v>
      </c>
      <c r="H24" s="42">
        <v>1.0</v>
      </c>
      <c r="I24" s="62">
        <f t="shared" si="6"/>
        <v>21.9371186</v>
      </c>
      <c r="J24" s="47"/>
      <c r="K24" s="47"/>
      <c r="L24" s="48"/>
      <c r="M24" s="67"/>
      <c r="N24" s="55"/>
      <c r="O24" s="70"/>
      <c r="P24" s="57">
        <f t="shared" si="7"/>
        <v>1</v>
      </c>
      <c r="Q24" s="1" t="s">
        <v>163</v>
      </c>
      <c r="R24" s="1" t="s">
        <v>163</v>
      </c>
      <c r="S24" s="1" t="s">
        <v>206</v>
      </c>
      <c r="T24" s="1"/>
      <c r="U24" s="1"/>
      <c r="V24" s="1"/>
      <c r="W24" s="1"/>
      <c r="X24" s="1"/>
      <c r="Y24" s="1"/>
      <c r="Z24" s="1"/>
    </row>
    <row r="25" ht="15.75" customHeight="1">
      <c r="A25" s="1"/>
      <c r="B25" s="20" t="s">
        <v>208</v>
      </c>
      <c r="C25" s="58" t="s">
        <v>134</v>
      </c>
      <c r="D25" s="58" t="s">
        <v>209</v>
      </c>
      <c r="E25" s="59" t="s">
        <v>210</v>
      </c>
      <c r="F25" s="60"/>
      <c r="G25" s="34">
        <f>+'0. Capacidades x hora - turno'!G5</f>
        <v>6.017423359</v>
      </c>
      <c r="H25" s="42">
        <v>1.0</v>
      </c>
      <c r="I25" s="62">
        <f t="shared" si="6"/>
        <v>6.017423359</v>
      </c>
      <c r="J25" s="47"/>
      <c r="K25" s="47"/>
      <c r="L25" s="48"/>
      <c r="M25" s="67"/>
      <c r="N25" s="55"/>
      <c r="O25" s="70"/>
      <c r="P25" s="57">
        <f t="shared" si="7"/>
        <v>1</v>
      </c>
      <c r="Q25" s="1" t="s">
        <v>163</v>
      </c>
      <c r="R25" s="1" t="s">
        <v>163</v>
      </c>
      <c r="S25" s="1" t="s">
        <v>206</v>
      </c>
      <c r="T25" s="1"/>
      <c r="U25" s="1"/>
      <c r="V25" s="1"/>
      <c r="W25" s="1"/>
      <c r="X25" s="1"/>
      <c r="Y25" s="1"/>
      <c r="Z25" s="1"/>
    </row>
    <row r="26" ht="15.75" customHeight="1">
      <c r="A26" s="1"/>
      <c r="B26" s="20" t="s">
        <v>211</v>
      </c>
      <c r="C26" s="58" t="s">
        <v>148</v>
      </c>
      <c r="D26" s="58" t="s">
        <v>209</v>
      </c>
      <c r="E26" s="59" t="s">
        <v>210</v>
      </c>
      <c r="F26" s="60"/>
      <c r="G26" s="34">
        <f>+'0. Capacidades x hora - turno'!G7</f>
        <v>5.48427965</v>
      </c>
      <c r="H26" s="42">
        <v>1.0</v>
      </c>
      <c r="I26" s="62">
        <f t="shared" si="6"/>
        <v>5.48427965</v>
      </c>
      <c r="J26" s="47"/>
      <c r="K26" s="47"/>
      <c r="L26" s="48"/>
      <c r="M26" s="67"/>
      <c r="N26" s="55"/>
      <c r="O26" s="70"/>
      <c r="P26" s="57">
        <f t="shared" si="7"/>
        <v>1</v>
      </c>
      <c r="Q26" s="1" t="s">
        <v>163</v>
      </c>
      <c r="R26" s="1" t="s">
        <v>163</v>
      </c>
      <c r="S26" s="1" t="s">
        <v>206</v>
      </c>
      <c r="T26" s="1"/>
      <c r="U26" s="1"/>
      <c r="V26" s="1"/>
      <c r="W26" s="1"/>
      <c r="X26" s="1"/>
      <c r="Y26" s="1"/>
      <c r="Z26" s="1"/>
    </row>
    <row r="27" ht="15.75" customHeight="1">
      <c r="A27" s="1"/>
      <c r="B27" s="20" t="s">
        <v>213</v>
      </c>
      <c r="C27" s="58" t="s">
        <v>189</v>
      </c>
      <c r="D27" s="58" t="s">
        <v>209</v>
      </c>
      <c r="E27" s="59" t="s">
        <v>210</v>
      </c>
      <c r="F27" s="60" t="s">
        <v>214</v>
      </c>
      <c r="G27" s="34">
        <v>50.0</v>
      </c>
      <c r="H27" s="42">
        <f>+ROUNDUP(('0. Capacidades x hora - turno'!G5+'0. Capacidades x hora - turno'!G7+'0. Capacidades x hora - turno'!G26)/'3. Cuantificación Frecuencias'!G27,0)</f>
        <v>1</v>
      </c>
      <c r="I27" s="62">
        <f t="shared" si="6"/>
        <v>50</v>
      </c>
      <c r="J27" s="47">
        <v>10.0</v>
      </c>
      <c r="K27" s="47">
        <v>42.0</v>
      </c>
      <c r="L27" s="48">
        <v>0.4</v>
      </c>
      <c r="M27" s="67">
        <f>IF(H27&gt;0, (2*J27/K27) + L27, 0)</f>
        <v>0.8761904762</v>
      </c>
      <c r="N27" s="55">
        <f>H27*M27/60</f>
        <v>0.0146031746</v>
      </c>
      <c r="O27" s="70">
        <f>H27*J27*G27</f>
        <v>500</v>
      </c>
      <c r="P27" s="57">
        <f t="shared" si="7"/>
        <v>1</v>
      </c>
      <c r="Q27" s="1" t="s">
        <v>163</v>
      </c>
      <c r="R27" s="1" t="s">
        <v>163</v>
      </c>
      <c r="S27" s="1" t="s">
        <v>206</v>
      </c>
      <c r="T27" s="1"/>
      <c r="U27" s="1"/>
      <c r="V27" s="1"/>
      <c r="W27" s="1"/>
      <c r="X27" s="1"/>
      <c r="Y27" s="1"/>
      <c r="Z27" s="1"/>
    </row>
    <row r="28" ht="15.75" customHeight="1">
      <c r="A28" s="1"/>
      <c r="B28" s="20" t="s">
        <v>216</v>
      </c>
      <c r="C28" s="21" t="s">
        <v>168</v>
      </c>
      <c r="D28" s="21" t="s">
        <v>217</v>
      </c>
      <c r="E28" s="23" t="s">
        <v>218</v>
      </c>
      <c r="F28" s="25" t="s">
        <v>219</v>
      </c>
      <c r="G28" s="34"/>
      <c r="H28" s="42">
        <f>+ROUNDUP('0. Capacidades x hora - turno'!B21/'0. Capacidades x hora - turno'!Q36,0)</f>
        <v>15</v>
      </c>
      <c r="I28" s="62">
        <f t="shared" si="6"/>
        <v>0</v>
      </c>
      <c r="J28" s="87"/>
      <c r="K28" s="87"/>
      <c r="L28" s="88"/>
      <c r="M28" s="89"/>
      <c r="N28" s="90"/>
      <c r="O28" s="91"/>
      <c r="P28" s="57">
        <f t="shared" si="7"/>
        <v>0</v>
      </c>
      <c r="Q28" s="1" t="s">
        <v>163</v>
      </c>
      <c r="R28" s="1" t="s">
        <v>81</v>
      </c>
      <c r="S28" s="1" t="s">
        <v>164</v>
      </c>
      <c r="T28" s="1"/>
      <c r="U28" s="1"/>
      <c r="V28" s="1"/>
      <c r="W28" s="1"/>
      <c r="X28" s="1"/>
      <c r="Y28" s="1"/>
      <c r="Z28" s="1"/>
    </row>
    <row r="29" ht="15.75" customHeight="1">
      <c r="A29" s="1"/>
      <c r="B29" s="20" t="s">
        <v>224</v>
      </c>
      <c r="C29" s="58" t="s">
        <v>110</v>
      </c>
      <c r="D29" s="58" t="s">
        <v>217</v>
      </c>
      <c r="E29" s="23" t="s">
        <v>225</v>
      </c>
      <c r="F29" s="25" t="s">
        <v>219</v>
      </c>
      <c r="G29" s="34"/>
      <c r="H29" s="42">
        <v>12.0</v>
      </c>
      <c r="I29" s="62">
        <f t="shared" si="6"/>
        <v>0</v>
      </c>
      <c r="J29" s="87"/>
      <c r="K29" s="87"/>
      <c r="L29" s="88"/>
      <c r="M29" s="89"/>
      <c r="N29" s="90"/>
      <c r="O29" s="91"/>
      <c r="P29" s="57">
        <f t="shared" si="7"/>
        <v>0</v>
      </c>
      <c r="Q29" s="1" t="s">
        <v>163</v>
      </c>
      <c r="R29" s="1" t="s">
        <v>81</v>
      </c>
      <c r="S29" s="1" t="s">
        <v>164</v>
      </c>
      <c r="T29" s="1"/>
      <c r="U29" s="1"/>
      <c r="V29" s="1"/>
      <c r="W29" s="1"/>
      <c r="X29" s="1"/>
      <c r="Y29" s="1"/>
      <c r="Z29" s="1"/>
    </row>
    <row r="30" ht="15.75" customHeight="1">
      <c r="A30" s="1"/>
      <c r="B30" s="20" t="s">
        <v>226</v>
      </c>
      <c r="C30" s="21" t="s">
        <v>148</v>
      </c>
      <c r="D30" s="21" t="s">
        <v>227</v>
      </c>
      <c r="E30" s="23" t="s">
        <v>228</v>
      </c>
      <c r="F30" s="25"/>
      <c r="G30" s="34"/>
      <c r="H30" s="42">
        <v>16.0</v>
      </c>
      <c r="I30" s="62">
        <f t="shared" si="6"/>
        <v>0</v>
      </c>
      <c r="J30" s="87"/>
      <c r="K30" s="87"/>
      <c r="L30" s="88"/>
      <c r="M30" s="89"/>
      <c r="N30" s="90"/>
      <c r="O30" s="91"/>
      <c r="P30" s="57">
        <f t="shared" si="7"/>
        <v>0</v>
      </c>
      <c r="Q30" s="1" t="s">
        <v>163</v>
      </c>
      <c r="R30" s="1" t="s">
        <v>81</v>
      </c>
      <c r="S30" s="1" t="s">
        <v>164</v>
      </c>
      <c r="T30" s="1"/>
      <c r="U30" s="1"/>
      <c r="V30" s="1"/>
      <c r="W30" s="1"/>
      <c r="X30" s="1"/>
      <c r="Y30" s="1"/>
      <c r="Z30" s="1"/>
    </row>
    <row r="31" ht="15.75" customHeight="1">
      <c r="A31" s="1"/>
      <c r="B31" s="20" t="s">
        <v>229</v>
      </c>
      <c r="C31" s="58" t="s">
        <v>154</v>
      </c>
      <c r="D31" s="58" t="s">
        <v>227</v>
      </c>
      <c r="E31" s="23" t="s">
        <v>228</v>
      </c>
      <c r="F31" s="60"/>
      <c r="G31" s="34"/>
      <c r="H31" s="42">
        <v>16.0</v>
      </c>
      <c r="I31" s="62">
        <f t="shared" si="6"/>
        <v>0</v>
      </c>
      <c r="J31" s="87"/>
      <c r="K31" s="87"/>
      <c r="L31" s="88"/>
      <c r="M31" s="89"/>
      <c r="N31" s="90"/>
      <c r="O31" s="91"/>
      <c r="P31" s="57">
        <f t="shared" si="7"/>
        <v>0</v>
      </c>
      <c r="Q31" s="1" t="s">
        <v>163</v>
      </c>
      <c r="R31" s="1" t="s">
        <v>81</v>
      </c>
      <c r="S31" s="1" t="s">
        <v>164</v>
      </c>
      <c r="T31" s="1"/>
      <c r="U31" s="1"/>
      <c r="V31" s="1"/>
      <c r="W31" s="1"/>
      <c r="X31" s="1"/>
      <c r="Y31" s="1"/>
      <c r="Z31" s="1"/>
    </row>
    <row r="32" ht="15.75" customHeight="1">
      <c r="A32" s="1"/>
      <c r="B32" s="20" t="s">
        <v>233</v>
      </c>
      <c r="C32" s="21" t="s">
        <v>189</v>
      </c>
      <c r="D32" s="21" t="s">
        <v>227</v>
      </c>
      <c r="E32" s="23" t="s">
        <v>228</v>
      </c>
      <c r="F32" s="25"/>
      <c r="G32" s="34"/>
      <c r="H32" s="42">
        <v>16.0</v>
      </c>
      <c r="I32" s="62">
        <f t="shared" si="6"/>
        <v>0</v>
      </c>
      <c r="J32" s="87"/>
      <c r="K32" s="87"/>
      <c r="L32" s="88"/>
      <c r="M32" s="89"/>
      <c r="N32" s="90"/>
      <c r="O32" s="91"/>
      <c r="P32" s="57">
        <f t="shared" si="7"/>
        <v>0</v>
      </c>
      <c r="Q32" s="1" t="s">
        <v>163</v>
      </c>
      <c r="R32" s="1" t="s">
        <v>81</v>
      </c>
      <c r="S32" s="1" t="s">
        <v>164</v>
      </c>
      <c r="T32" s="1"/>
      <c r="U32" s="1"/>
      <c r="V32" s="1"/>
      <c r="W32" s="1"/>
      <c r="X32" s="1"/>
      <c r="Y32" s="1"/>
      <c r="Z32" s="1"/>
    </row>
    <row r="33" ht="15.75" customHeight="1">
      <c r="A33" s="1"/>
      <c r="B33" s="96" t="s">
        <v>234</v>
      </c>
      <c r="C33" s="82"/>
      <c r="D33" s="82"/>
      <c r="E33" s="82"/>
      <c r="F33" s="82"/>
      <c r="G33" s="82"/>
      <c r="H33" s="99">
        <f t="shared" ref="H33:I33" si="11">+SUM(H7:H32)</f>
        <v>158</v>
      </c>
      <c r="I33" s="99">
        <f t="shared" si="11"/>
        <v>7208.05621</v>
      </c>
      <c r="J33" s="82"/>
      <c r="K33" s="82"/>
      <c r="L33" s="82"/>
      <c r="M33" s="82"/>
      <c r="N33" s="100" t="str">
        <f t="shared" ref="N33:O33" si="12">SUM(N7:N27)</f>
        <v>#VALUE!</v>
      </c>
      <c r="O33" s="99" t="str">
        <f t="shared" si="12"/>
        <v>#VALUE!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4" t="s">
        <v>243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21" t="s">
        <v>244</v>
      </c>
      <c r="C37" s="55" t="str">
        <f>N33</f>
        <v>#VALUE!</v>
      </c>
      <c r="D37" s="93" t="s">
        <v>247</v>
      </c>
      <c r="E37" s="102" t="s">
        <v>248</v>
      </c>
      <c r="F37" s="32"/>
      <c r="G37" s="32"/>
      <c r="H37" s="32"/>
      <c r="I37" s="32"/>
      <c r="J37" s="3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21" t="s">
        <v>250</v>
      </c>
      <c r="C38" s="55" t="str">
        <f>C37/8</f>
        <v>#VALUE!</v>
      </c>
      <c r="D38" s="93" t="s">
        <v>251</v>
      </c>
      <c r="E38" s="102" t="s">
        <v>252</v>
      </c>
      <c r="F38" s="32"/>
      <c r="G38" s="32"/>
      <c r="H38" s="32"/>
      <c r="I38" s="32"/>
      <c r="J38" s="3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21" t="s">
        <v>254</v>
      </c>
      <c r="C39" s="42" t="str">
        <f>O33</f>
        <v>#VALUE!</v>
      </c>
      <c r="D39" s="93" t="s">
        <v>255</v>
      </c>
      <c r="E39" s="102" t="s">
        <v>256</v>
      </c>
      <c r="F39" s="32"/>
      <c r="G39" s="32"/>
      <c r="H39" s="32"/>
      <c r="I39" s="32"/>
      <c r="J39" s="3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E37:J37"/>
    <mergeCell ref="E38:J38"/>
    <mergeCell ref="E39:J39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45.0"/>
    <col customWidth="1" min="3" max="3" width="30.71"/>
    <col customWidth="1" min="4" max="4" width="27.0"/>
    <col customWidth="1" min="5" max="5" width="45.0"/>
    <col customWidth="1" min="6" max="25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5" t="s">
        <v>286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7" t="s">
        <v>287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8" t="s">
        <v>9</v>
      </c>
      <c r="C4" s="10" t="s">
        <v>10</v>
      </c>
      <c r="D4" s="1"/>
      <c r="E4" s="11" t="s">
        <v>12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6" t="s">
        <v>288</v>
      </c>
      <c r="C6" s="16" t="s">
        <v>289</v>
      </c>
      <c r="D6" s="16" t="s">
        <v>221</v>
      </c>
      <c r="E6" s="16" t="s">
        <v>290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23" t="s">
        <v>291</v>
      </c>
      <c r="C7" s="124">
        <f>'2. PCP - Programa &amp; Lotes'!C35*15</f>
        <v>30</v>
      </c>
      <c r="D7" s="93" t="s">
        <v>292</v>
      </c>
      <c r="E7" s="23" t="s">
        <v>293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3" t="s">
        <v>294</v>
      </c>
      <c r="C8" s="124">
        <f>'2. PCP - Programa &amp; Lotes'!D35*15</f>
        <v>30</v>
      </c>
      <c r="D8" s="93" t="s">
        <v>292</v>
      </c>
      <c r="E8" s="23" t="s">
        <v>295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23" t="s">
        <v>296</v>
      </c>
      <c r="C9" s="124">
        <f>C7+C8</f>
        <v>60</v>
      </c>
      <c r="D9" s="93" t="s">
        <v>292</v>
      </c>
      <c r="E9" s="23" t="s">
        <v>297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23" t="s">
        <v>298</v>
      </c>
      <c r="C10" s="125">
        <v>10.0</v>
      </c>
      <c r="D10" s="93" t="s">
        <v>299</v>
      </c>
      <c r="E10" s="23" t="s">
        <v>300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21" t="s">
        <v>301</v>
      </c>
      <c r="C11" s="126">
        <f>C9*(C10/5)</f>
        <v>120</v>
      </c>
      <c r="D11" s="93" t="s">
        <v>302</v>
      </c>
      <c r="E11" s="23" t="s">
        <v>303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23" t="s">
        <v>304</v>
      </c>
      <c r="C12" s="127" t="s">
        <v>305</v>
      </c>
      <c r="D12" s="93" t="s">
        <v>66</v>
      </c>
      <c r="E12" s="23" t="s">
        <v>306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23" t="s">
        <v>307</v>
      </c>
      <c r="C13" s="127" t="s">
        <v>308</v>
      </c>
      <c r="D13" s="93" t="s">
        <v>66</v>
      </c>
      <c r="E13" s="23" t="s">
        <v>309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23" t="s">
        <v>311</v>
      </c>
      <c r="C14" s="125">
        <v>3.0</v>
      </c>
      <c r="D14" s="93" t="s">
        <v>312</v>
      </c>
      <c r="E14" s="23" t="s">
        <v>313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23" t="s">
        <v>315</v>
      </c>
      <c r="C15" s="126">
        <f>ROUNDUP(C11/(C14*2), 0)</f>
        <v>20</v>
      </c>
      <c r="D15" s="93" t="s">
        <v>316</v>
      </c>
      <c r="E15" s="23" t="s">
        <v>317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23" t="s">
        <v>318</v>
      </c>
      <c r="C16" s="124">
        <f>C15*2.7*1.1</f>
        <v>59.4</v>
      </c>
      <c r="D16" s="93" t="s">
        <v>319</v>
      </c>
      <c r="E16" s="23" t="s">
        <v>320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23" t="s">
        <v>321</v>
      </c>
      <c r="C17" s="125">
        <v>3.0</v>
      </c>
      <c r="D17" s="93" t="s">
        <v>322</v>
      </c>
      <c r="E17" s="23" t="s">
        <v>323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23" t="s">
        <v>324</v>
      </c>
      <c r="C18" s="125">
        <v>95.0</v>
      </c>
      <c r="D18" s="93" t="s">
        <v>319</v>
      </c>
      <c r="E18" s="23" t="s">
        <v>326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23" t="s">
        <v>327</v>
      </c>
      <c r="C19" s="125">
        <v>25.0</v>
      </c>
      <c r="D19" s="93" t="s">
        <v>319</v>
      </c>
      <c r="E19" s="23" t="s">
        <v>328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28" t="s">
        <v>329</v>
      </c>
      <c r="C20" s="129">
        <f>C16+C18+C19</f>
        <v>179.4</v>
      </c>
      <c r="D20" s="11" t="s">
        <v>319</v>
      </c>
      <c r="E20" s="128" t="s">
        <v>330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86" t="s">
        <v>288</v>
      </c>
      <c r="C22" s="86" t="s">
        <v>289</v>
      </c>
      <c r="D22" s="86" t="s">
        <v>221</v>
      </c>
      <c r="E22" s="86" t="s">
        <v>290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3" t="s">
        <v>331</v>
      </c>
      <c r="C23" s="124">
        <f>'2. PCP - Programa &amp; Lotes'!C28*15</f>
        <v>8224.615831</v>
      </c>
      <c r="D23" s="93" t="s">
        <v>332</v>
      </c>
      <c r="E23" s="23" t="s">
        <v>333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3" t="s">
        <v>334</v>
      </c>
      <c r="C24" s="124">
        <f>'2. PCP - Programa &amp; Lotes'!D28*15</f>
        <v>8272.383644</v>
      </c>
      <c r="D24" s="93" t="s">
        <v>332</v>
      </c>
      <c r="E24" s="23" t="s">
        <v>335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3" t="s">
        <v>336</v>
      </c>
      <c r="C25" s="124">
        <f>C23+C24</f>
        <v>16496.99947</v>
      </c>
      <c r="D25" s="93" t="s">
        <v>332</v>
      </c>
      <c r="E25" s="23" t="s">
        <v>337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3" t="s">
        <v>338</v>
      </c>
      <c r="C26" s="125">
        <v>15.0</v>
      </c>
      <c r="D26" s="93" t="s">
        <v>299</v>
      </c>
      <c r="E26" s="23" t="s">
        <v>339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1" t="s">
        <v>340</v>
      </c>
      <c r="C27" s="126">
        <f>ROUNDUP((C25*(C26/5))/1000, 0)</f>
        <v>50</v>
      </c>
      <c r="D27" s="93" t="s">
        <v>302</v>
      </c>
      <c r="E27" s="23" t="s">
        <v>341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3" t="s">
        <v>342</v>
      </c>
      <c r="C28" s="125">
        <v>12.0</v>
      </c>
      <c r="D28" s="93" t="s">
        <v>319</v>
      </c>
      <c r="E28" s="23" t="s">
        <v>343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3" t="s">
        <v>344</v>
      </c>
      <c r="C29" s="124">
        <f>ROUNDUP(C27/6, 0)*2.7*1.1</f>
        <v>26.73</v>
      </c>
      <c r="D29" s="93" t="s">
        <v>319</v>
      </c>
      <c r="E29" s="23" t="s">
        <v>345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3" t="s">
        <v>346</v>
      </c>
      <c r="C30" s="125">
        <v>45.0</v>
      </c>
      <c r="D30" s="93" t="s">
        <v>319</v>
      </c>
      <c r="E30" s="23" t="s">
        <v>347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3" t="s">
        <v>348</v>
      </c>
      <c r="C31" s="125">
        <v>15.0</v>
      </c>
      <c r="D31" s="93" t="s">
        <v>319</v>
      </c>
      <c r="E31" s="23" t="s">
        <v>349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28" t="s">
        <v>350</v>
      </c>
      <c r="C32" s="129">
        <f>C28+C29+C30+C31</f>
        <v>98.73</v>
      </c>
      <c r="D32" s="11" t="s">
        <v>319</v>
      </c>
      <c r="E32" s="128" t="s">
        <v>330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6" t="s">
        <v>351</v>
      </c>
      <c r="C35" s="16" t="s">
        <v>352</v>
      </c>
      <c r="D35" s="16" t="s">
        <v>353</v>
      </c>
      <c r="E35" s="16" t="s">
        <v>354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21" t="s">
        <v>355</v>
      </c>
      <c r="C36" s="43" t="s">
        <v>356</v>
      </c>
      <c r="D36" s="34">
        <v>18.0</v>
      </c>
      <c r="E36" s="25" t="s">
        <v>357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21" t="s">
        <v>358</v>
      </c>
      <c r="C37" s="43" t="s">
        <v>359</v>
      </c>
      <c r="D37" s="34">
        <v>8.5</v>
      </c>
      <c r="E37" s="25" t="s">
        <v>360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21" t="s">
        <v>361</v>
      </c>
      <c r="C38" s="43" t="s">
        <v>362</v>
      </c>
      <c r="D38" s="34">
        <v>6.0</v>
      </c>
      <c r="E38" s="25" t="s">
        <v>363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21" t="s">
        <v>364</v>
      </c>
      <c r="C39" s="43" t="s">
        <v>365</v>
      </c>
      <c r="D39" s="34">
        <v>4.5</v>
      </c>
      <c r="E39" s="25" t="s">
        <v>366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21" t="s">
        <v>367</v>
      </c>
      <c r="C40" s="43" t="s">
        <v>368</v>
      </c>
      <c r="D40" s="34">
        <v>6.0</v>
      </c>
      <c r="E40" s="25" t="s">
        <v>369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7.0"/>
    <col customWidth="1" min="3" max="21" width="11.43"/>
    <col customWidth="1" min="22" max="22" width="13.43"/>
    <col customWidth="1" min="23" max="26" width="8.71"/>
  </cols>
  <sheetData>
    <row r="1" ht="9.0" customHeight="1">
      <c r="A1" s="1"/>
      <c r="W1" s="1"/>
      <c r="X1" s="1"/>
      <c r="Y1" s="1"/>
      <c r="Z1" s="1"/>
    </row>
    <row r="2" ht="14.25" customHeight="1">
      <c r="A2" s="1"/>
      <c r="B2" s="131" t="s">
        <v>370</v>
      </c>
      <c r="W2" s="1"/>
      <c r="X2" s="1"/>
      <c r="Y2" s="1"/>
      <c r="Z2" s="1"/>
    </row>
    <row r="3" ht="14.25" customHeight="1">
      <c r="A3" s="1"/>
      <c r="B3" s="132" t="s">
        <v>371</v>
      </c>
      <c r="W3" s="1"/>
      <c r="X3" s="1"/>
      <c r="Y3" s="1"/>
      <c r="Z3" s="1"/>
    </row>
    <row r="4" ht="42.0" customHeight="1">
      <c r="A4" s="1"/>
      <c r="B4" s="133" t="s">
        <v>9</v>
      </c>
      <c r="C4" s="134" t="s">
        <v>373</v>
      </c>
      <c r="E4" s="135" t="s">
        <v>374</v>
      </c>
      <c r="W4" s="1"/>
      <c r="X4" s="1"/>
      <c r="Y4" s="1"/>
      <c r="Z4" s="1"/>
    </row>
    <row r="5" ht="14.25" customHeight="1">
      <c r="A5" s="1"/>
      <c r="W5" s="1"/>
      <c r="X5" s="1"/>
      <c r="Y5" s="1"/>
      <c r="Z5" s="1"/>
    </row>
    <row r="6" ht="36.0" customHeight="1">
      <c r="A6" s="1"/>
      <c r="B6" s="136" t="s">
        <v>375</v>
      </c>
      <c r="C6" s="137" t="s">
        <v>376</v>
      </c>
      <c r="D6" s="137" t="s">
        <v>377</v>
      </c>
      <c r="E6" s="137" t="s">
        <v>110</v>
      </c>
      <c r="F6" s="137" t="s">
        <v>134</v>
      </c>
      <c r="G6" s="137" t="s">
        <v>142</v>
      </c>
      <c r="H6" s="137" t="s">
        <v>378</v>
      </c>
      <c r="I6" s="137" t="s">
        <v>379</v>
      </c>
      <c r="J6" s="137" t="s">
        <v>380</v>
      </c>
      <c r="K6" s="137" t="s">
        <v>381</v>
      </c>
      <c r="L6" s="137" t="s">
        <v>382</v>
      </c>
      <c r="M6" s="137" t="s">
        <v>383</v>
      </c>
      <c r="N6" s="137" t="s">
        <v>384</v>
      </c>
      <c r="O6" s="137" t="s">
        <v>385</v>
      </c>
      <c r="P6" s="137" t="s">
        <v>386</v>
      </c>
      <c r="Q6" s="137" t="s">
        <v>387</v>
      </c>
      <c r="R6" s="137" t="s">
        <v>388</v>
      </c>
      <c r="S6" s="137" t="s">
        <v>389</v>
      </c>
      <c r="T6" s="137" t="s">
        <v>390</v>
      </c>
      <c r="U6" s="137" t="s">
        <v>391</v>
      </c>
      <c r="V6" s="138" t="s">
        <v>392</v>
      </c>
      <c r="W6" s="1"/>
      <c r="X6" s="1"/>
      <c r="Y6" s="1"/>
      <c r="Z6" s="1"/>
    </row>
    <row r="7" ht="21.0" customHeight="1">
      <c r="A7" s="1"/>
      <c r="B7" s="139" t="s">
        <v>40</v>
      </c>
      <c r="C7" s="140" t="s">
        <v>66</v>
      </c>
      <c r="D7" s="141">
        <f>'3. Cuantificación Frecuencias'!H7</f>
        <v>2</v>
      </c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3">
        <f t="shared" ref="V7:V25" si="1">SUM(C7:U7)</f>
        <v>2</v>
      </c>
      <c r="W7" s="1"/>
      <c r="X7" s="1"/>
      <c r="Y7" s="1"/>
      <c r="Z7" s="1"/>
    </row>
    <row r="8" ht="21.0" customHeight="1">
      <c r="A8" s="1"/>
      <c r="B8" s="144" t="s">
        <v>95</v>
      </c>
      <c r="C8" s="145"/>
      <c r="D8" s="140" t="s">
        <v>66</v>
      </c>
      <c r="E8" s="141">
        <f>'3. Cuantificación Frecuencias'!H9</f>
        <v>4</v>
      </c>
      <c r="F8" s="145"/>
      <c r="G8" s="145"/>
      <c r="H8" s="145"/>
      <c r="I8" s="145"/>
      <c r="J8" s="141">
        <f>'3. Cuantificación Frecuencias'!H15</f>
        <v>4</v>
      </c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7">
        <f t="shared" si="1"/>
        <v>8</v>
      </c>
      <c r="W8" s="1"/>
      <c r="X8" s="1"/>
      <c r="Y8" s="1"/>
      <c r="Z8" s="1"/>
    </row>
    <row r="9" ht="21.0" customHeight="1">
      <c r="A9" s="1"/>
      <c r="B9" s="144" t="s">
        <v>110</v>
      </c>
      <c r="C9" s="145"/>
      <c r="D9" s="145"/>
      <c r="E9" s="140" t="s">
        <v>66</v>
      </c>
      <c r="F9" s="141">
        <f>'3. Cuantificación Frecuencias'!H10</f>
        <v>6</v>
      </c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9">
        <f>'3. Cuantificación Frecuencias'!H29</f>
        <v>12</v>
      </c>
      <c r="U9" s="145"/>
      <c r="V9" s="147">
        <f t="shared" si="1"/>
        <v>18</v>
      </c>
      <c r="W9" s="1"/>
      <c r="X9" s="1"/>
      <c r="Y9" s="1"/>
      <c r="Z9" s="1"/>
    </row>
    <row r="10" ht="21.0" customHeight="1">
      <c r="A10" s="1"/>
      <c r="B10" s="144" t="s">
        <v>134</v>
      </c>
      <c r="C10" s="145"/>
      <c r="D10" s="145"/>
      <c r="E10" s="145"/>
      <c r="F10" s="140" t="s">
        <v>66</v>
      </c>
      <c r="G10" s="150" t="str">
        <f>'3. Cuantificación Frecuencias'!H11</f>
        <v>N/A</v>
      </c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7">
        <f t="shared" si="1"/>
        <v>0</v>
      </c>
      <c r="W10" s="1"/>
      <c r="X10" s="1"/>
      <c r="Y10" s="1"/>
      <c r="Z10" s="1"/>
    </row>
    <row r="11" ht="21.0" customHeight="1">
      <c r="A11" s="1"/>
      <c r="B11" s="144" t="s">
        <v>142</v>
      </c>
      <c r="C11" s="145"/>
      <c r="D11" s="145"/>
      <c r="E11" s="145"/>
      <c r="F11" s="145"/>
      <c r="G11" s="140" t="s">
        <v>66</v>
      </c>
      <c r="H11" s="150" t="str">
        <f>'3. Cuantificación Frecuencias'!H12</f>
        <v>N/A</v>
      </c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7">
        <f t="shared" si="1"/>
        <v>0</v>
      </c>
      <c r="W11" s="1"/>
      <c r="X11" s="1"/>
      <c r="Y11" s="1"/>
      <c r="Z11" s="1"/>
    </row>
    <row r="12" ht="21.0" customHeight="1">
      <c r="A12" s="1"/>
      <c r="B12" s="144" t="s">
        <v>148</v>
      </c>
      <c r="C12" s="145"/>
      <c r="D12" s="145"/>
      <c r="E12" s="145"/>
      <c r="F12" s="145"/>
      <c r="G12" s="145"/>
      <c r="H12" s="140" t="s">
        <v>66</v>
      </c>
      <c r="I12" s="150" t="str">
        <f>'3. Cuantificación Frecuencias'!H13</f>
        <v>N/A</v>
      </c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9">
        <f>'3. Cuantificación Frecuencias'!H30</f>
        <v>16</v>
      </c>
      <c r="V12" s="147">
        <f t="shared" si="1"/>
        <v>16</v>
      </c>
      <c r="W12" s="1"/>
      <c r="X12" s="1"/>
      <c r="Y12" s="1"/>
      <c r="Z12" s="1"/>
    </row>
    <row r="13" ht="21.0" customHeight="1">
      <c r="A13" s="1"/>
      <c r="B13" s="144" t="s">
        <v>154</v>
      </c>
      <c r="C13" s="145"/>
      <c r="D13" s="145"/>
      <c r="E13" s="145"/>
      <c r="F13" s="145"/>
      <c r="G13" s="145"/>
      <c r="H13" s="145"/>
      <c r="I13" s="140" t="s">
        <v>66</v>
      </c>
      <c r="J13" s="145"/>
      <c r="K13" s="145"/>
      <c r="L13" s="145"/>
      <c r="M13" s="145"/>
      <c r="N13" s="145"/>
      <c r="O13" s="145"/>
      <c r="P13" s="141">
        <f>'3. Cuantificación Frecuencias'!H14</f>
        <v>2</v>
      </c>
      <c r="Q13" s="145"/>
      <c r="R13" s="145"/>
      <c r="S13" s="145"/>
      <c r="T13" s="145"/>
      <c r="U13" s="149">
        <f>'3. Cuantificación Frecuencias'!H31</f>
        <v>16</v>
      </c>
      <c r="V13" s="147">
        <f t="shared" si="1"/>
        <v>18</v>
      </c>
      <c r="W13" s="1"/>
      <c r="X13" s="1"/>
      <c r="Y13" s="1"/>
      <c r="Z13" s="1"/>
    </row>
    <row r="14" ht="21.0" customHeight="1">
      <c r="A14" s="1"/>
      <c r="B14" s="144" t="s">
        <v>380</v>
      </c>
      <c r="C14" s="145"/>
      <c r="D14" s="145"/>
      <c r="E14" s="145"/>
      <c r="F14" s="145"/>
      <c r="G14" s="145"/>
      <c r="H14" s="145"/>
      <c r="I14" s="145"/>
      <c r="J14" s="140" t="s">
        <v>66</v>
      </c>
      <c r="K14" s="141">
        <f>'3. Cuantificación Frecuencias'!H16</f>
        <v>6</v>
      </c>
      <c r="L14" s="145"/>
      <c r="M14" s="145"/>
      <c r="N14" s="145"/>
      <c r="O14" s="145"/>
      <c r="P14" s="145"/>
      <c r="Q14" s="145"/>
      <c r="R14" s="145"/>
      <c r="S14" s="145"/>
      <c r="T14" s="149">
        <f>'3. Cuantificación Frecuencias'!H28</f>
        <v>15</v>
      </c>
      <c r="U14" s="145"/>
      <c r="V14" s="147">
        <f t="shared" si="1"/>
        <v>21</v>
      </c>
      <c r="W14" s="1"/>
      <c r="X14" s="1"/>
      <c r="Y14" s="1"/>
      <c r="Z14" s="1"/>
    </row>
    <row r="15" ht="21.0" customHeight="1">
      <c r="A15" s="1"/>
      <c r="B15" s="144" t="s">
        <v>381</v>
      </c>
      <c r="C15" s="145"/>
      <c r="D15" s="145"/>
      <c r="E15" s="145"/>
      <c r="F15" s="145"/>
      <c r="G15" s="145"/>
      <c r="H15" s="145"/>
      <c r="I15" s="145"/>
      <c r="J15" s="145"/>
      <c r="K15" s="140" t="s">
        <v>66</v>
      </c>
      <c r="L15" s="141">
        <f>'3. Cuantificación Frecuencias'!H17</f>
        <v>6</v>
      </c>
      <c r="M15" s="145"/>
      <c r="N15" s="145"/>
      <c r="O15" s="145"/>
      <c r="P15" s="145"/>
      <c r="Q15" s="145"/>
      <c r="R15" s="145"/>
      <c r="S15" s="145"/>
      <c r="T15" s="145"/>
      <c r="U15" s="145"/>
      <c r="V15" s="147">
        <f t="shared" si="1"/>
        <v>6</v>
      </c>
      <c r="W15" s="1"/>
      <c r="X15" s="1"/>
      <c r="Y15" s="1"/>
      <c r="Z15" s="1"/>
    </row>
    <row r="16" ht="21.0" customHeight="1">
      <c r="A16" s="1"/>
      <c r="B16" s="144" t="s">
        <v>382</v>
      </c>
      <c r="C16" s="145"/>
      <c r="D16" s="145"/>
      <c r="E16" s="145"/>
      <c r="F16" s="145"/>
      <c r="G16" s="145"/>
      <c r="H16" s="145"/>
      <c r="I16" s="145"/>
      <c r="J16" s="145"/>
      <c r="K16" s="145"/>
      <c r="L16" s="140" t="s">
        <v>66</v>
      </c>
      <c r="M16" s="141">
        <f>'3. Cuantificación Frecuencias'!H19</f>
        <v>6</v>
      </c>
      <c r="N16" s="145"/>
      <c r="O16" s="145"/>
      <c r="P16" s="145"/>
      <c r="Q16" s="145"/>
      <c r="R16" s="145"/>
      <c r="S16" s="145"/>
      <c r="T16" s="145"/>
      <c r="U16" s="145"/>
      <c r="V16" s="147">
        <f t="shared" si="1"/>
        <v>6</v>
      </c>
      <c r="W16" s="1"/>
      <c r="X16" s="1"/>
      <c r="Y16" s="1"/>
      <c r="Z16" s="1"/>
    </row>
    <row r="17" ht="21.0" customHeight="1">
      <c r="A17" s="1"/>
      <c r="B17" s="144" t="s">
        <v>383</v>
      </c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0" t="s">
        <v>66</v>
      </c>
      <c r="N17" s="141">
        <f>'3. Cuantificación Frecuencias'!H20</f>
        <v>14</v>
      </c>
      <c r="O17" s="145"/>
      <c r="P17" s="145"/>
      <c r="Q17" s="145"/>
      <c r="R17" s="145"/>
      <c r="S17" s="145"/>
      <c r="T17" s="145"/>
      <c r="U17" s="145"/>
      <c r="V17" s="147">
        <f t="shared" si="1"/>
        <v>14</v>
      </c>
      <c r="W17" s="1"/>
      <c r="X17" s="1"/>
      <c r="Y17" s="1"/>
      <c r="Z17" s="1"/>
    </row>
    <row r="18" ht="21.0" customHeight="1">
      <c r="A18" s="1"/>
      <c r="B18" s="144" t="s">
        <v>384</v>
      </c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0" t="s">
        <v>66</v>
      </c>
      <c r="O18" s="141">
        <f>'3. Cuantificación Frecuencias'!H21</f>
        <v>14</v>
      </c>
      <c r="P18" s="145"/>
      <c r="Q18" s="145"/>
      <c r="R18" s="145"/>
      <c r="S18" s="145"/>
      <c r="T18" s="145"/>
      <c r="U18" s="149">
        <f>'3. Cuantificación Frecuencias'!H32</f>
        <v>16</v>
      </c>
      <c r="V18" s="147">
        <f t="shared" si="1"/>
        <v>30</v>
      </c>
      <c r="W18" s="1"/>
      <c r="X18" s="1"/>
      <c r="Y18" s="1"/>
      <c r="Z18" s="1"/>
    </row>
    <row r="19" ht="21.0" customHeight="1">
      <c r="A19" s="1"/>
      <c r="B19" s="144" t="s">
        <v>397</v>
      </c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0" t="s">
        <v>66</v>
      </c>
      <c r="P19" s="141">
        <f>'3. Cuantificación Frecuencias'!H22</f>
        <v>2</v>
      </c>
      <c r="Q19" s="145"/>
      <c r="R19" s="145"/>
      <c r="S19" s="145"/>
      <c r="T19" s="145"/>
      <c r="U19" s="145"/>
      <c r="V19" s="147">
        <f t="shared" si="1"/>
        <v>2</v>
      </c>
      <c r="W19" s="1"/>
      <c r="X19" s="1"/>
      <c r="Y19" s="1"/>
      <c r="Z19" s="1"/>
    </row>
    <row r="20" ht="21.0" customHeight="1">
      <c r="A20" s="1"/>
      <c r="B20" s="144" t="s">
        <v>398</v>
      </c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0" t="s">
        <v>66</v>
      </c>
      <c r="Q20" s="145"/>
      <c r="R20" s="145"/>
      <c r="S20" s="145"/>
      <c r="T20" s="145"/>
      <c r="U20" s="145"/>
      <c r="V20" s="147">
        <f t="shared" si="1"/>
        <v>0</v>
      </c>
      <c r="W20" s="1"/>
      <c r="X20" s="1"/>
      <c r="Y20" s="1"/>
      <c r="Z20" s="1"/>
    </row>
    <row r="21" ht="21.0" customHeight="1">
      <c r="A21" s="1"/>
      <c r="B21" s="144" t="s">
        <v>399</v>
      </c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0" t="s">
        <v>66</v>
      </c>
      <c r="R21" s="145"/>
      <c r="S21" s="145"/>
      <c r="T21" s="145"/>
      <c r="U21" s="145"/>
      <c r="V21" s="147">
        <f t="shared" si="1"/>
        <v>0</v>
      </c>
      <c r="W21" s="1"/>
      <c r="X21" s="1"/>
      <c r="Y21" s="1"/>
      <c r="Z21" s="1"/>
    </row>
    <row r="22" ht="21.0" customHeight="1">
      <c r="A22" s="1"/>
      <c r="B22" s="144" t="s">
        <v>400</v>
      </c>
      <c r="C22" s="145"/>
      <c r="D22" s="145"/>
      <c r="E22" s="141">
        <f>'3. Cuantificación Frecuencias'!H23</f>
        <v>1</v>
      </c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0" t="s">
        <v>66</v>
      </c>
      <c r="S22" s="145"/>
      <c r="T22" s="145"/>
      <c r="U22" s="145"/>
      <c r="V22" s="147">
        <f t="shared" si="1"/>
        <v>1</v>
      </c>
      <c r="W22" s="1"/>
      <c r="X22" s="1"/>
      <c r="Y22" s="1"/>
      <c r="Z22" s="1"/>
    </row>
    <row r="23" ht="21.0" customHeight="1">
      <c r="A23" s="1"/>
      <c r="B23" s="144" t="s">
        <v>401</v>
      </c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1">
        <f>'3. Cuantificación Frecuencias'!H27</f>
        <v>1</v>
      </c>
      <c r="R23" s="145"/>
      <c r="S23" s="151" t="s">
        <v>66</v>
      </c>
      <c r="T23" s="145"/>
      <c r="U23" s="145"/>
      <c r="V23" s="147">
        <f t="shared" si="1"/>
        <v>1</v>
      </c>
      <c r="W23" s="1"/>
      <c r="X23" s="1"/>
      <c r="Y23" s="1"/>
      <c r="Z23" s="1"/>
    </row>
    <row r="24" ht="21.0" customHeight="1">
      <c r="A24" s="1"/>
      <c r="B24" s="144" t="s">
        <v>390</v>
      </c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52" t="s">
        <v>66</v>
      </c>
      <c r="U24" s="145"/>
      <c r="V24" s="147">
        <f t="shared" si="1"/>
        <v>0</v>
      </c>
      <c r="W24" s="1"/>
      <c r="X24" s="1"/>
      <c r="Y24" s="1"/>
      <c r="Z24" s="1"/>
    </row>
    <row r="25" ht="21.0" customHeight="1">
      <c r="A25" s="1"/>
      <c r="B25" s="144" t="s">
        <v>391</v>
      </c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52" t="s">
        <v>66</v>
      </c>
      <c r="V25" s="147">
        <f t="shared" si="1"/>
        <v>0</v>
      </c>
      <c r="W25" s="1"/>
      <c r="X25" s="1"/>
      <c r="Y25" s="1"/>
      <c r="Z25" s="1"/>
    </row>
    <row r="26" ht="15.75" customHeight="1">
      <c r="A26" s="1"/>
      <c r="B26" s="153" t="s">
        <v>402</v>
      </c>
      <c r="C26" s="154">
        <f t="shared" ref="C26:V26" si="2">SUM(C7:C25)</f>
        <v>0</v>
      </c>
      <c r="D26" s="154">
        <f t="shared" si="2"/>
        <v>2</v>
      </c>
      <c r="E26" s="154">
        <f t="shared" si="2"/>
        <v>5</v>
      </c>
      <c r="F26" s="154">
        <f t="shared" si="2"/>
        <v>6</v>
      </c>
      <c r="G26" s="154">
        <f t="shared" si="2"/>
        <v>0</v>
      </c>
      <c r="H26" s="154">
        <f t="shared" si="2"/>
        <v>0</v>
      </c>
      <c r="I26" s="154">
        <f t="shared" si="2"/>
        <v>0</v>
      </c>
      <c r="J26" s="154">
        <f t="shared" si="2"/>
        <v>4</v>
      </c>
      <c r="K26" s="154">
        <f t="shared" si="2"/>
        <v>6</v>
      </c>
      <c r="L26" s="154">
        <f t="shared" si="2"/>
        <v>6</v>
      </c>
      <c r="M26" s="154">
        <f t="shared" si="2"/>
        <v>6</v>
      </c>
      <c r="N26" s="154">
        <f t="shared" si="2"/>
        <v>14</v>
      </c>
      <c r="O26" s="154">
        <f t="shared" si="2"/>
        <v>14</v>
      </c>
      <c r="P26" s="154">
        <f t="shared" si="2"/>
        <v>4</v>
      </c>
      <c r="Q26" s="154">
        <f t="shared" si="2"/>
        <v>1</v>
      </c>
      <c r="R26" s="154">
        <f t="shared" si="2"/>
        <v>0</v>
      </c>
      <c r="S26" s="154">
        <f t="shared" si="2"/>
        <v>0</v>
      </c>
      <c r="T26" s="154">
        <f t="shared" si="2"/>
        <v>27</v>
      </c>
      <c r="U26" s="154">
        <f t="shared" si="2"/>
        <v>48</v>
      </c>
      <c r="V26" s="155">
        <f t="shared" si="2"/>
        <v>143</v>
      </c>
      <c r="W26" s="1"/>
      <c r="X26" s="1"/>
      <c r="Y26" s="1"/>
      <c r="Z26" s="1"/>
    </row>
    <row r="27" ht="15.75" customHeight="1">
      <c r="A27" s="1"/>
      <c r="W27" s="1"/>
      <c r="X27" s="1"/>
      <c r="Y27" s="1"/>
      <c r="Z27" s="1"/>
    </row>
    <row r="28" ht="15.75" customHeight="1">
      <c r="A28" s="1"/>
      <c r="W28" s="1"/>
      <c r="X28" s="1"/>
      <c r="Y28" s="1"/>
      <c r="Z28" s="1"/>
    </row>
    <row r="29" ht="15.75" customHeight="1">
      <c r="A29" s="1"/>
      <c r="B29" s="156" t="s">
        <v>403</v>
      </c>
      <c r="D29" s="71"/>
      <c r="W29" s="1"/>
      <c r="X29" s="1"/>
      <c r="Y29" s="1"/>
      <c r="Z29" s="1"/>
    </row>
    <row r="30" ht="15.75" customHeight="1">
      <c r="A30" s="1"/>
      <c r="B30" s="157" t="s">
        <v>404</v>
      </c>
      <c r="C30" s="158" t="s">
        <v>405</v>
      </c>
      <c r="D30" s="158" t="s">
        <v>406</v>
      </c>
      <c r="E30" s="159"/>
      <c r="F30" s="159"/>
      <c r="G30" s="159"/>
      <c r="H30" s="159"/>
      <c r="I30" s="159"/>
      <c r="J30" s="160"/>
      <c r="W30" s="1"/>
      <c r="X30" s="1"/>
      <c r="Y30" s="1"/>
      <c r="Z30" s="1"/>
    </row>
    <row r="31" ht="15.75" customHeight="1">
      <c r="A31" s="1"/>
      <c r="B31" s="161" t="s">
        <v>407</v>
      </c>
      <c r="C31" s="162" t="s">
        <v>408</v>
      </c>
      <c r="D31" s="162" t="s">
        <v>409</v>
      </c>
      <c r="J31" s="163"/>
      <c r="W31" s="1"/>
      <c r="X31" s="1"/>
      <c r="Y31" s="1"/>
      <c r="Z31" s="1"/>
    </row>
    <row r="32" ht="15.75" customHeight="1">
      <c r="A32" s="1"/>
      <c r="B32" s="164" t="s">
        <v>410</v>
      </c>
      <c r="C32" s="165" t="s">
        <v>411</v>
      </c>
      <c r="D32" s="165" t="s">
        <v>412</v>
      </c>
      <c r="E32" s="166"/>
      <c r="F32" s="166"/>
      <c r="G32" s="166"/>
      <c r="H32" s="166"/>
      <c r="I32" s="166"/>
      <c r="J32" s="167"/>
      <c r="W32" s="1"/>
      <c r="X32" s="1"/>
      <c r="Y32" s="1"/>
      <c r="Z32" s="1"/>
    </row>
    <row r="33" ht="15.75" customHeight="1">
      <c r="A33" s="1"/>
      <c r="W33" s="1"/>
      <c r="X33" s="1"/>
      <c r="Y33" s="1"/>
      <c r="Z33" s="1"/>
    </row>
    <row r="34" ht="15.75" customHeight="1">
      <c r="A34" s="1"/>
      <c r="W34" s="1"/>
      <c r="X34" s="1"/>
      <c r="Y34" s="1"/>
      <c r="Z34" s="1"/>
    </row>
    <row r="35" ht="15.75" customHeight="1">
      <c r="A35" s="1"/>
      <c r="W35" s="1"/>
      <c r="X35" s="1"/>
      <c r="Y35" s="1"/>
      <c r="Z35" s="1"/>
    </row>
    <row r="36" ht="15.75" customHeight="1">
      <c r="A36" s="1"/>
      <c r="W36" s="1"/>
      <c r="X36" s="1"/>
      <c r="Y36" s="1"/>
      <c r="Z36" s="1"/>
    </row>
    <row r="37" ht="15.75" customHeight="1">
      <c r="A37" s="1"/>
      <c r="W37" s="1"/>
      <c r="X37" s="1"/>
      <c r="Y37" s="1"/>
      <c r="Z37" s="1"/>
    </row>
    <row r="38" ht="15.75" customHeight="1">
      <c r="A38" s="1"/>
      <c r="W38" s="1"/>
      <c r="X38" s="1"/>
      <c r="Y38" s="1"/>
      <c r="Z38" s="1"/>
    </row>
    <row r="39" ht="15.75" customHeight="1">
      <c r="A39" s="1"/>
      <c r="W39" s="1"/>
      <c r="X39" s="1"/>
      <c r="Y39" s="1"/>
      <c r="Z39" s="1"/>
    </row>
    <row r="40" ht="15.75" customHeight="1">
      <c r="A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D29:J29"/>
    <mergeCell ref="D30:J30"/>
    <mergeCell ref="D31:J31"/>
    <mergeCell ref="D32:J3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7.0"/>
    <col customWidth="1" min="3" max="21" width="11.43"/>
    <col customWidth="1" min="22" max="22" width="13.43"/>
    <col customWidth="1" min="23" max="26" width="8.71"/>
  </cols>
  <sheetData>
    <row r="1" ht="14.25" customHeight="1">
      <c r="A1" s="1"/>
      <c r="W1" s="1"/>
      <c r="X1" s="1"/>
      <c r="Y1" s="1"/>
      <c r="Z1" s="1"/>
    </row>
    <row r="2" ht="14.25" customHeight="1">
      <c r="A2" s="1"/>
      <c r="B2" s="131" t="s">
        <v>413</v>
      </c>
      <c r="W2" s="1"/>
      <c r="X2" s="1"/>
      <c r="Y2" s="1"/>
      <c r="Z2" s="1"/>
    </row>
    <row r="3" ht="14.25" customHeight="1">
      <c r="A3" s="1"/>
      <c r="B3" s="132" t="s">
        <v>414</v>
      </c>
      <c r="W3" s="1"/>
      <c r="X3" s="1"/>
      <c r="Y3" s="1"/>
      <c r="Z3" s="1"/>
    </row>
    <row r="4" ht="42.0" customHeight="1">
      <c r="A4" s="1"/>
      <c r="B4" s="133" t="s">
        <v>9</v>
      </c>
      <c r="C4" s="134" t="s">
        <v>373</v>
      </c>
      <c r="E4" s="135" t="s">
        <v>374</v>
      </c>
      <c r="W4" s="1"/>
      <c r="X4" s="1"/>
      <c r="Y4" s="1"/>
      <c r="Z4" s="1"/>
    </row>
    <row r="5" ht="14.25" customHeight="1">
      <c r="A5" s="1"/>
      <c r="W5" s="1"/>
      <c r="X5" s="1"/>
      <c r="Y5" s="1"/>
      <c r="Z5" s="1"/>
    </row>
    <row r="6" ht="36.0" customHeight="1">
      <c r="A6" s="1"/>
      <c r="B6" s="136" t="s">
        <v>375</v>
      </c>
      <c r="C6" s="137" t="s">
        <v>376</v>
      </c>
      <c r="D6" s="137" t="s">
        <v>377</v>
      </c>
      <c r="E6" s="137" t="s">
        <v>110</v>
      </c>
      <c r="F6" s="137" t="s">
        <v>134</v>
      </c>
      <c r="G6" s="137" t="s">
        <v>142</v>
      </c>
      <c r="H6" s="137" t="s">
        <v>378</v>
      </c>
      <c r="I6" s="137" t="s">
        <v>379</v>
      </c>
      <c r="J6" s="137" t="s">
        <v>380</v>
      </c>
      <c r="K6" s="137" t="s">
        <v>381</v>
      </c>
      <c r="L6" s="137" t="s">
        <v>382</v>
      </c>
      <c r="M6" s="137" t="s">
        <v>383</v>
      </c>
      <c r="N6" s="137" t="s">
        <v>384</v>
      </c>
      <c r="O6" s="137" t="s">
        <v>385</v>
      </c>
      <c r="P6" s="137" t="s">
        <v>386</v>
      </c>
      <c r="Q6" s="137" t="s">
        <v>387</v>
      </c>
      <c r="R6" s="137" t="s">
        <v>388</v>
      </c>
      <c r="S6" s="137" t="s">
        <v>389</v>
      </c>
      <c r="T6" s="137" t="s">
        <v>390</v>
      </c>
      <c r="U6" s="137" t="s">
        <v>391</v>
      </c>
      <c r="V6" s="138" t="s">
        <v>415</v>
      </c>
      <c r="W6" s="1"/>
      <c r="X6" s="1"/>
      <c r="Y6" s="1"/>
      <c r="Z6" s="1"/>
    </row>
    <row r="7" ht="21.0" customHeight="1">
      <c r="A7" s="1"/>
      <c r="B7" s="139" t="s">
        <v>40</v>
      </c>
      <c r="C7" s="168" t="s">
        <v>66</v>
      </c>
      <c r="D7" s="169">
        <f>'3. Cuantificación Frecuencias'!I7</f>
        <v>1099.799965</v>
      </c>
      <c r="E7" s="170"/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>
        <f t="shared" ref="U7:U24" si="1">SUM(C7:T7)</f>
        <v>1099.799965</v>
      </c>
      <c r="V7" s="171">
        <f t="shared" ref="V7:V25" si="2">SUM(C7:U7)</f>
        <v>2199.59993</v>
      </c>
      <c r="W7" s="1"/>
      <c r="X7" s="1"/>
      <c r="Y7" s="1"/>
      <c r="Z7" s="1"/>
    </row>
    <row r="8" ht="21.0" customHeight="1">
      <c r="A8" s="1"/>
      <c r="B8" s="144" t="s">
        <v>95</v>
      </c>
      <c r="C8" s="172"/>
      <c r="D8" s="168" t="s">
        <v>66</v>
      </c>
      <c r="E8" s="169">
        <f>'3. Cuantificación Frecuencias'!I9</f>
        <v>600</v>
      </c>
      <c r="F8" s="172"/>
      <c r="G8" s="172"/>
      <c r="H8" s="172"/>
      <c r="I8" s="172"/>
      <c r="J8" s="169">
        <f>'3. Cuantificación Frecuencias'!I15</f>
        <v>600</v>
      </c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>
        <f t="shared" si="1"/>
        <v>1200</v>
      </c>
      <c r="V8" s="173">
        <f t="shared" si="2"/>
        <v>2400</v>
      </c>
      <c r="W8" s="1"/>
      <c r="X8" s="1"/>
      <c r="Y8" s="1"/>
      <c r="Z8" s="1"/>
    </row>
    <row r="9" ht="21.0" customHeight="1">
      <c r="A9" s="1"/>
      <c r="B9" s="144" t="s">
        <v>110</v>
      </c>
      <c r="C9" s="172"/>
      <c r="D9" s="172"/>
      <c r="E9" s="168" t="s">
        <v>66</v>
      </c>
      <c r="F9" s="169">
        <f>'3. Cuantificación Frecuencias'!I10</f>
        <v>600</v>
      </c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69">
        <f>'3. Cuantificación Frecuencias'!I29</f>
        <v>0</v>
      </c>
      <c r="U9" s="172">
        <f t="shared" si="1"/>
        <v>600</v>
      </c>
      <c r="V9" s="173">
        <f t="shared" si="2"/>
        <v>1200</v>
      </c>
      <c r="W9" s="1"/>
      <c r="X9" s="1"/>
      <c r="Y9" s="1"/>
      <c r="Z9" s="1"/>
    </row>
    <row r="10" ht="21.0" customHeight="1">
      <c r="A10" s="1"/>
      <c r="B10" s="144" t="s">
        <v>134</v>
      </c>
      <c r="C10" s="172"/>
      <c r="D10" s="172"/>
      <c r="E10" s="172"/>
      <c r="F10" s="168" t="s">
        <v>66</v>
      </c>
      <c r="G10" s="174" t="str">
        <f>'3. Cuantificación Frecuencias'!I11</f>
        <v>N/A</v>
      </c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>
        <f t="shared" si="1"/>
        <v>0</v>
      </c>
      <c r="V10" s="173">
        <f t="shared" si="2"/>
        <v>0</v>
      </c>
      <c r="W10" s="1"/>
      <c r="X10" s="1"/>
      <c r="Y10" s="1"/>
      <c r="Z10" s="1"/>
    </row>
    <row r="11" ht="21.0" customHeight="1">
      <c r="A11" s="1"/>
      <c r="B11" s="144" t="s">
        <v>142</v>
      </c>
      <c r="C11" s="172"/>
      <c r="D11" s="172"/>
      <c r="E11" s="172"/>
      <c r="F11" s="172"/>
      <c r="G11" s="168" t="s">
        <v>66</v>
      </c>
      <c r="H11" s="174" t="str">
        <f>'3. Cuantificación Frecuencias'!I12</f>
        <v>N/A</v>
      </c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>
        <f t="shared" si="1"/>
        <v>0</v>
      </c>
      <c r="V11" s="173">
        <f t="shared" si="2"/>
        <v>0</v>
      </c>
      <c r="W11" s="1"/>
      <c r="X11" s="1"/>
      <c r="Y11" s="1"/>
      <c r="Z11" s="1"/>
    </row>
    <row r="12" ht="21.0" customHeight="1">
      <c r="A12" s="1"/>
      <c r="B12" s="144" t="s">
        <v>148</v>
      </c>
      <c r="C12" s="172"/>
      <c r="D12" s="172"/>
      <c r="E12" s="172"/>
      <c r="F12" s="172"/>
      <c r="G12" s="172"/>
      <c r="H12" s="168" t="s">
        <v>66</v>
      </c>
      <c r="I12" s="174" t="str">
        <f>'3. Cuantificación Frecuencias'!I13</f>
        <v>N/A</v>
      </c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69">
        <f t="shared" si="1"/>
        <v>0</v>
      </c>
      <c r="V12" s="173">
        <f t="shared" si="2"/>
        <v>0</v>
      </c>
      <c r="W12" s="1"/>
      <c r="X12" s="1"/>
      <c r="Y12" s="1"/>
      <c r="Z12" s="1"/>
    </row>
    <row r="13" ht="21.0" customHeight="1">
      <c r="A13" s="1"/>
      <c r="B13" s="144" t="s">
        <v>154</v>
      </c>
      <c r="C13" s="172"/>
      <c r="D13" s="172"/>
      <c r="E13" s="172"/>
      <c r="F13" s="172"/>
      <c r="G13" s="172"/>
      <c r="H13" s="172"/>
      <c r="I13" s="168" t="s">
        <v>66</v>
      </c>
      <c r="J13" s="172"/>
      <c r="K13" s="172"/>
      <c r="L13" s="172"/>
      <c r="M13" s="172"/>
      <c r="N13" s="172"/>
      <c r="O13" s="172"/>
      <c r="P13" s="169">
        <f>'3. Cuantificación Frecuencias'!I14</f>
        <v>630</v>
      </c>
      <c r="Q13" s="172"/>
      <c r="R13" s="172"/>
      <c r="S13" s="172"/>
      <c r="T13" s="172"/>
      <c r="U13" s="169">
        <f t="shared" si="1"/>
        <v>630</v>
      </c>
      <c r="V13" s="173">
        <f t="shared" si="2"/>
        <v>1260</v>
      </c>
      <c r="W13" s="1"/>
      <c r="X13" s="1"/>
      <c r="Y13" s="1"/>
      <c r="Z13" s="1"/>
    </row>
    <row r="14" ht="21.0" customHeight="1">
      <c r="A14" s="1"/>
      <c r="B14" s="144" t="s">
        <v>380</v>
      </c>
      <c r="C14" s="172"/>
      <c r="D14" s="172"/>
      <c r="E14" s="172"/>
      <c r="F14" s="172"/>
      <c r="G14" s="172"/>
      <c r="H14" s="172"/>
      <c r="I14" s="172"/>
      <c r="J14" s="168" t="s">
        <v>66</v>
      </c>
      <c r="K14" s="169">
        <f>'3. Cuantificación Frecuencias'!I16</f>
        <v>600</v>
      </c>
      <c r="L14" s="172"/>
      <c r="M14" s="172"/>
      <c r="N14" s="172"/>
      <c r="O14" s="172"/>
      <c r="P14" s="172"/>
      <c r="Q14" s="172"/>
      <c r="R14" s="172"/>
      <c r="S14" s="172"/>
      <c r="T14" s="169">
        <f>'3. Cuantificación Frecuencias'!I28</f>
        <v>0</v>
      </c>
      <c r="U14" s="172">
        <f t="shared" si="1"/>
        <v>600</v>
      </c>
      <c r="V14" s="173">
        <f t="shared" si="2"/>
        <v>1200</v>
      </c>
      <c r="W14" s="1"/>
      <c r="X14" s="1"/>
      <c r="Y14" s="1"/>
      <c r="Z14" s="1"/>
    </row>
    <row r="15" ht="21.0" customHeight="1">
      <c r="A15" s="1"/>
      <c r="B15" s="144" t="s">
        <v>381</v>
      </c>
      <c r="C15" s="172"/>
      <c r="D15" s="172"/>
      <c r="E15" s="172"/>
      <c r="F15" s="172"/>
      <c r="G15" s="172"/>
      <c r="H15" s="172"/>
      <c r="I15" s="172"/>
      <c r="J15" s="172"/>
      <c r="K15" s="168" t="s">
        <v>66</v>
      </c>
      <c r="L15" s="169">
        <f>'3. Cuantificación Frecuencias'!I17</f>
        <v>259.2</v>
      </c>
      <c r="M15" s="172"/>
      <c r="N15" s="172"/>
      <c r="O15" s="172"/>
      <c r="P15" s="172"/>
      <c r="Q15" s="172"/>
      <c r="R15" s="172"/>
      <c r="S15" s="172"/>
      <c r="T15" s="172"/>
      <c r="U15" s="172">
        <f t="shared" si="1"/>
        <v>259.2</v>
      </c>
      <c r="V15" s="173">
        <f t="shared" si="2"/>
        <v>518.4</v>
      </c>
      <c r="W15" s="1"/>
      <c r="X15" s="1"/>
      <c r="Y15" s="1"/>
      <c r="Z15" s="1"/>
    </row>
    <row r="16" ht="21.0" customHeight="1">
      <c r="A16" s="1"/>
      <c r="B16" s="144" t="s">
        <v>382</v>
      </c>
      <c r="C16" s="172"/>
      <c r="D16" s="172"/>
      <c r="E16" s="172"/>
      <c r="F16" s="172"/>
      <c r="G16" s="172"/>
      <c r="H16" s="172"/>
      <c r="I16" s="172"/>
      <c r="J16" s="172"/>
      <c r="K16" s="172"/>
      <c r="L16" s="168" t="s">
        <v>66</v>
      </c>
      <c r="M16" s="169">
        <f>'3. Cuantificación Frecuencias'!I19</f>
        <v>259.2</v>
      </c>
      <c r="N16" s="172"/>
      <c r="O16" s="172"/>
      <c r="P16" s="172"/>
      <c r="Q16" s="172"/>
      <c r="R16" s="172"/>
      <c r="S16" s="172"/>
      <c r="T16" s="172"/>
      <c r="U16" s="172">
        <f t="shared" si="1"/>
        <v>259.2</v>
      </c>
      <c r="V16" s="173">
        <f t="shared" si="2"/>
        <v>518.4</v>
      </c>
      <c r="W16" s="1"/>
      <c r="X16" s="1"/>
      <c r="Y16" s="1"/>
      <c r="Z16" s="1"/>
    </row>
    <row r="17" ht="21.0" customHeight="1">
      <c r="A17" s="1"/>
      <c r="B17" s="144" t="s">
        <v>383</v>
      </c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68" t="s">
        <v>66</v>
      </c>
      <c r="N17" s="169">
        <f>'3. Cuantificación Frecuencias'!I20</f>
        <v>604.8</v>
      </c>
      <c r="O17" s="172"/>
      <c r="P17" s="172"/>
      <c r="Q17" s="172"/>
      <c r="R17" s="172"/>
      <c r="S17" s="172"/>
      <c r="T17" s="172"/>
      <c r="U17" s="172">
        <f t="shared" si="1"/>
        <v>604.8</v>
      </c>
      <c r="V17" s="173">
        <f t="shared" si="2"/>
        <v>1209.6</v>
      </c>
      <c r="W17" s="1"/>
      <c r="X17" s="1"/>
      <c r="Y17" s="1"/>
      <c r="Z17" s="1"/>
    </row>
    <row r="18" ht="21.0" customHeight="1">
      <c r="A18" s="1"/>
      <c r="B18" s="144" t="s">
        <v>384</v>
      </c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68" t="s">
        <v>66</v>
      </c>
      <c r="O18" s="169">
        <f>'3. Cuantificación Frecuencias'!I21</f>
        <v>420</v>
      </c>
      <c r="P18" s="172"/>
      <c r="Q18" s="172"/>
      <c r="R18" s="172"/>
      <c r="S18" s="172"/>
      <c r="T18" s="172"/>
      <c r="U18" s="169">
        <f t="shared" si="1"/>
        <v>420</v>
      </c>
      <c r="V18" s="173">
        <f t="shared" si="2"/>
        <v>840</v>
      </c>
      <c r="W18" s="1"/>
      <c r="X18" s="1"/>
      <c r="Y18" s="1"/>
      <c r="Z18" s="1"/>
    </row>
    <row r="19" ht="21.0" customHeight="1">
      <c r="A19" s="1"/>
      <c r="B19" s="144" t="s">
        <v>397</v>
      </c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68" t="s">
        <v>66</v>
      </c>
      <c r="P19" s="169">
        <f>'3. Cuantificación Frecuencias'!I22</f>
        <v>500</v>
      </c>
      <c r="Q19" s="172"/>
      <c r="R19" s="172"/>
      <c r="S19" s="172"/>
      <c r="T19" s="172"/>
      <c r="U19" s="172">
        <f t="shared" si="1"/>
        <v>500</v>
      </c>
      <c r="V19" s="173">
        <f t="shared" si="2"/>
        <v>1000</v>
      </c>
      <c r="W19" s="1"/>
      <c r="X19" s="1"/>
      <c r="Y19" s="1"/>
      <c r="Z19" s="1"/>
    </row>
    <row r="20" ht="21.0" customHeight="1">
      <c r="A20" s="1"/>
      <c r="B20" s="144" t="s">
        <v>398</v>
      </c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68" t="s">
        <v>66</v>
      </c>
      <c r="Q20" s="172"/>
      <c r="R20" s="172"/>
      <c r="S20" s="172"/>
      <c r="T20" s="172"/>
      <c r="U20" s="172">
        <f t="shared" si="1"/>
        <v>0</v>
      </c>
      <c r="V20" s="173">
        <f t="shared" si="2"/>
        <v>0</v>
      </c>
      <c r="W20" s="1"/>
      <c r="X20" s="1"/>
      <c r="Y20" s="1"/>
      <c r="Z20" s="1"/>
    </row>
    <row r="21" ht="21.0" customHeight="1">
      <c r="A21" s="1"/>
      <c r="B21" s="144" t="s">
        <v>399</v>
      </c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68" t="s">
        <v>66</v>
      </c>
      <c r="R21" s="172"/>
      <c r="S21" s="172"/>
      <c r="T21" s="172"/>
      <c r="U21" s="172">
        <f t="shared" si="1"/>
        <v>0</v>
      </c>
      <c r="V21" s="173">
        <f t="shared" si="2"/>
        <v>0</v>
      </c>
      <c r="W21" s="1"/>
      <c r="X21" s="1"/>
      <c r="Y21" s="1"/>
      <c r="Z21" s="1"/>
    </row>
    <row r="22" ht="21.0" customHeight="1">
      <c r="A22" s="1"/>
      <c r="B22" s="144" t="s">
        <v>400</v>
      </c>
      <c r="C22" s="172"/>
      <c r="D22" s="172"/>
      <c r="E22" s="169">
        <f>'3. Cuantificación Frecuencias'!I23</f>
        <v>6.017423359</v>
      </c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68" t="s">
        <v>66</v>
      </c>
      <c r="S22" s="172"/>
      <c r="T22" s="172"/>
      <c r="U22" s="172">
        <f t="shared" si="1"/>
        <v>6.017423359</v>
      </c>
      <c r="V22" s="173">
        <f t="shared" si="2"/>
        <v>12.03484672</v>
      </c>
      <c r="W22" s="1"/>
      <c r="X22" s="1"/>
      <c r="Y22" s="1"/>
      <c r="Z22" s="1"/>
    </row>
    <row r="23" ht="21.0" customHeight="1">
      <c r="A23" s="1"/>
      <c r="B23" s="144" t="s">
        <v>401</v>
      </c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69">
        <f>'3. Cuantificación Frecuencias'!I27</f>
        <v>50</v>
      </c>
      <c r="R23" s="172"/>
      <c r="S23" s="168" t="s">
        <v>66</v>
      </c>
      <c r="T23" s="172"/>
      <c r="U23" s="172">
        <f t="shared" si="1"/>
        <v>50</v>
      </c>
      <c r="V23" s="173">
        <f t="shared" si="2"/>
        <v>100</v>
      </c>
      <c r="W23" s="1"/>
      <c r="X23" s="1"/>
      <c r="Y23" s="1"/>
      <c r="Z23" s="1"/>
    </row>
    <row r="24" ht="21.0" customHeight="1">
      <c r="A24" s="1"/>
      <c r="B24" s="144" t="s">
        <v>390</v>
      </c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68" t="s">
        <v>66</v>
      </c>
      <c r="U24" s="172">
        <f t="shared" si="1"/>
        <v>0</v>
      </c>
      <c r="V24" s="173">
        <f t="shared" si="2"/>
        <v>0</v>
      </c>
      <c r="W24" s="1"/>
      <c r="X24" s="1"/>
      <c r="Y24" s="1"/>
      <c r="Z24" s="1"/>
    </row>
    <row r="25" ht="21.0" customHeight="1">
      <c r="A25" s="1"/>
      <c r="B25" s="144" t="s">
        <v>391</v>
      </c>
      <c r="C25" s="172">
        <f t="shared" ref="C25:U25" si="3">SUM(C7:C24)</f>
        <v>0</v>
      </c>
      <c r="D25" s="172">
        <f t="shared" si="3"/>
        <v>1099.799965</v>
      </c>
      <c r="E25" s="172">
        <f t="shared" si="3"/>
        <v>606.0174234</v>
      </c>
      <c r="F25" s="172">
        <f t="shared" si="3"/>
        <v>600</v>
      </c>
      <c r="G25" s="172">
        <f t="shared" si="3"/>
        <v>0</v>
      </c>
      <c r="H25" s="172">
        <f t="shared" si="3"/>
        <v>0</v>
      </c>
      <c r="I25" s="172">
        <f t="shared" si="3"/>
        <v>0</v>
      </c>
      <c r="J25" s="172">
        <f t="shared" si="3"/>
        <v>600</v>
      </c>
      <c r="K25" s="172">
        <f t="shared" si="3"/>
        <v>600</v>
      </c>
      <c r="L25" s="172">
        <f t="shared" si="3"/>
        <v>259.2</v>
      </c>
      <c r="M25" s="172">
        <f t="shared" si="3"/>
        <v>259.2</v>
      </c>
      <c r="N25" s="172">
        <f t="shared" si="3"/>
        <v>604.8</v>
      </c>
      <c r="O25" s="172">
        <f t="shared" si="3"/>
        <v>420</v>
      </c>
      <c r="P25" s="172">
        <f t="shared" si="3"/>
        <v>1130</v>
      </c>
      <c r="Q25" s="172">
        <f t="shared" si="3"/>
        <v>50</v>
      </c>
      <c r="R25" s="172">
        <f t="shared" si="3"/>
        <v>0</v>
      </c>
      <c r="S25" s="172">
        <f t="shared" si="3"/>
        <v>0</v>
      </c>
      <c r="T25" s="172">
        <f t="shared" si="3"/>
        <v>0</v>
      </c>
      <c r="U25" s="180">
        <f t="shared" si="3"/>
        <v>6229.017388</v>
      </c>
      <c r="V25" s="173">
        <f t="shared" si="2"/>
        <v>12458.03478</v>
      </c>
      <c r="W25" s="1"/>
      <c r="X25" s="1"/>
      <c r="Y25" s="1"/>
      <c r="Z25" s="1"/>
    </row>
    <row r="26" ht="15.75" customHeight="1">
      <c r="A26" s="1"/>
      <c r="B26" s="153" t="s">
        <v>436</v>
      </c>
      <c r="C26" s="181">
        <f t="shared" ref="C26:V26" si="4">SUM(C7:C25)</f>
        <v>0</v>
      </c>
      <c r="D26" s="181">
        <f t="shared" si="4"/>
        <v>2199.59993</v>
      </c>
      <c r="E26" s="181">
        <f t="shared" si="4"/>
        <v>1212.034847</v>
      </c>
      <c r="F26" s="181">
        <f t="shared" si="4"/>
        <v>1200</v>
      </c>
      <c r="G26" s="181">
        <f t="shared" si="4"/>
        <v>0</v>
      </c>
      <c r="H26" s="181">
        <f t="shared" si="4"/>
        <v>0</v>
      </c>
      <c r="I26" s="181">
        <f t="shared" si="4"/>
        <v>0</v>
      </c>
      <c r="J26" s="181">
        <f t="shared" si="4"/>
        <v>1200</v>
      </c>
      <c r="K26" s="181">
        <f t="shared" si="4"/>
        <v>1200</v>
      </c>
      <c r="L26" s="181">
        <f t="shared" si="4"/>
        <v>518.4</v>
      </c>
      <c r="M26" s="181">
        <f t="shared" si="4"/>
        <v>518.4</v>
      </c>
      <c r="N26" s="181">
        <f t="shared" si="4"/>
        <v>1209.6</v>
      </c>
      <c r="O26" s="181">
        <f t="shared" si="4"/>
        <v>840</v>
      </c>
      <c r="P26" s="181">
        <f t="shared" si="4"/>
        <v>2260</v>
      </c>
      <c r="Q26" s="181">
        <f t="shared" si="4"/>
        <v>100</v>
      </c>
      <c r="R26" s="181">
        <f t="shared" si="4"/>
        <v>0</v>
      </c>
      <c r="S26" s="181">
        <f t="shared" si="4"/>
        <v>0</v>
      </c>
      <c r="T26" s="181">
        <f t="shared" si="4"/>
        <v>0</v>
      </c>
      <c r="U26" s="181">
        <f t="shared" si="4"/>
        <v>12458.03478</v>
      </c>
      <c r="V26" s="182">
        <f t="shared" si="4"/>
        <v>24916.06955</v>
      </c>
      <c r="W26" s="1"/>
      <c r="X26" s="1"/>
      <c r="Y26" s="1"/>
      <c r="Z26" s="1"/>
    </row>
    <row r="27" ht="15.75" customHeight="1">
      <c r="A27" s="1"/>
      <c r="W27" s="1"/>
      <c r="X27" s="1"/>
      <c r="Y27" s="1"/>
      <c r="Z27" s="1"/>
    </row>
    <row r="28" ht="15.75" customHeight="1">
      <c r="A28" s="1"/>
      <c r="W28" s="1"/>
      <c r="X28" s="1"/>
      <c r="Y28" s="1"/>
      <c r="Z28" s="1"/>
    </row>
    <row r="29" ht="15.75" customHeight="1">
      <c r="A29" s="1"/>
      <c r="B29" s="156" t="s">
        <v>403</v>
      </c>
      <c r="W29" s="1"/>
      <c r="X29" s="1"/>
      <c r="Y29" s="1"/>
      <c r="Z29" s="1"/>
    </row>
    <row r="30" ht="15.75" customHeight="1">
      <c r="A30" s="1"/>
      <c r="B30" s="183" t="s">
        <v>404</v>
      </c>
      <c r="C30" s="162" t="s">
        <v>405</v>
      </c>
      <c r="D30" s="162" t="s">
        <v>406</v>
      </c>
      <c r="W30" s="1"/>
      <c r="X30" s="1"/>
      <c r="Y30" s="1"/>
      <c r="Z30" s="1"/>
    </row>
    <row r="31" ht="15.75" customHeight="1">
      <c r="A31" s="1"/>
      <c r="B31" s="184" t="s">
        <v>407</v>
      </c>
      <c r="C31" s="162" t="s">
        <v>408</v>
      </c>
      <c r="D31" s="162" t="s">
        <v>409</v>
      </c>
      <c r="W31" s="1"/>
      <c r="X31" s="1"/>
      <c r="Y31" s="1"/>
      <c r="Z31" s="1"/>
    </row>
    <row r="32" ht="15.75" customHeight="1">
      <c r="A32" s="1"/>
      <c r="B32" s="185" t="s">
        <v>410</v>
      </c>
      <c r="C32" s="162" t="s">
        <v>411</v>
      </c>
      <c r="D32" s="162" t="s">
        <v>412</v>
      </c>
      <c r="W32" s="1"/>
      <c r="X32" s="1"/>
      <c r="Y32" s="1"/>
      <c r="Z32" s="1"/>
    </row>
    <row r="33" ht="15.75" customHeight="1">
      <c r="A33" s="1"/>
      <c r="W33" s="1"/>
      <c r="X33" s="1"/>
      <c r="Y33" s="1"/>
      <c r="Z33" s="1"/>
    </row>
    <row r="34" ht="15.75" customHeight="1">
      <c r="A34" s="1"/>
      <c r="W34" s="1"/>
      <c r="X34" s="1"/>
      <c r="Y34" s="1"/>
      <c r="Z34" s="1"/>
    </row>
    <row r="35" ht="15.75" customHeight="1">
      <c r="A35" s="1"/>
      <c r="W35" s="1"/>
      <c r="X35" s="1"/>
      <c r="Y35" s="1"/>
      <c r="Z35" s="1"/>
    </row>
    <row r="36" ht="15.75" customHeight="1">
      <c r="A36" s="1"/>
      <c r="W36" s="1"/>
      <c r="X36" s="1"/>
      <c r="Y36" s="1"/>
      <c r="Z36" s="1"/>
    </row>
    <row r="37" ht="15.75" customHeight="1">
      <c r="A37" s="1"/>
      <c r="W37" s="1"/>
      <c r="X37" s="1"/>
      <c r="Y37" s="1"/>
      <c r="Z37" s="1"/>
    </row>
    <row r="38" ht="15.75" customHeight="1">
      <c r="A38" s="1"/>
      <c r="W38" s="1"/>
      <c r="X38" s="1"/>
      <c r="Y38" s="1"/>
      <c r="Z38" s="1"/>
    </row>
    <row r="39" ht="15.75" customHeight="1">
      <c r="A39" s="1"/>
      <c r="W39" s="1"/>
      <c r="X39" s="1"/>
      <c r="Y39" s="1"/>
      <c r="Z39" s="1"/>
    </row>
    <row r="40" ht="15.75" customHeight="1">
      <c r="A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10.0"/>
    <col customWidth="1" min="3" max="3" width="36.57"/>
    <col customWidth="1" min="4" max="4" width="21.14"/>
    <col customWidth="1" min="5" max="5" width="20.71"/>
    <col customWidth="1" min="6" max="6" width="11.71"/>
    <col customWidth="1" min="7" max="7" width="10.71"/>
    <col customWidth="1" min="8" max="8" width="31.29"/>
    <col customWidth="1" min="9" max="9" width="20.86"/>
    <col customWidth="1" min="10" max="10" width="10.0"/>
    <col customWidth="1" min="11" max="11" width="16.86"/>
    <col customWidth="1" min="12" max="12" width="14.29"/>
    <col customWidth="1" min="13" max="13" width="28.71"/>
    <col customWidth="1" min="14" max="14" width="8.71"/>
    <col customWidth="1" min="15" max="15" width="11.86"/>
    <col customWidth="1" min="16" max="16" width="6.14"/>
    <col customWidth="1" min="17" max="26" width="8.71"/>
  </cols>
  <sheetData>
    <row r="1" ht="14.25" customHeight="1">
      <c r="A1" s="175"/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</row>
    <row r="2" ht="14.25" customHeight="1">
      <c r="A2" s="175"/>
      <c r="B2" s="176" t="s">
        <v>416</v>
      </c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</row>
    <row r="3" ht="14.25" customHeight="1">
      <c r="A3" s="175"/>
      <c r="B3" s="177" t="s">
        <v>417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</row>
    <row r="4" ht="14.25" customHeight="1">
      <c r="A4" s="175"/>
      <c r="B4" s="8" t="s">
        <v>9</v>
      </c>
      <c r="I4" s="10" t="s">
        <v>418</v>
      </c>
      <c r="K4" s="175"/>
      <c r="L4" s="11" t="s">
        <v>12</v>
      </c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</row>
    <row r="5" ht="14.25" customHeight="1">
      <c r="A5" s="175"/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</row>
    <row r="6" ht="14.25" customHeight="1">
      <c r="A6" s="175"/>
      <c r="B6" s="176" t="s">
        <v>419</v>
      </c>
      <c r="C6" s="175"/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</row>
    <row r="7" ht="14.25" customHeight="1">
      <c r="A7" s="175"/>
      <c r="B7" s="175"/>
      <c r="C7" s="175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</row>
    <row r="8" ht="14.25" customHeight="1">
      <c r="A8" s="175"/>
      <c r="B8" s="178" t="s">
        <v>420</v>
      </c>
      <c r="C8" s="178" t="s">
        <v>421</v>
      </c>
      <c r="D8" s="178" t="s">
        <v>48</v>
      </c>
      <c r="E8" s="178" t="s">
        <v>422</v>
      </c>
      <c r="F8" s="178" t="s">
        <v>423</v>
      </c>
      <c r="G8" s="178" t="s">
        <v>424</v>
      </c>
      <c r="H8" s="178" t="s">
        <v>425</v>
      </c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</row>
    <row r="9" ht="14.25" customHeight="1">
      <c r="A9" s="175"/>
      <c r="B9" s="20">
        <v>1.0</v>
      </c>
      <c r="C9" s="21" t="s">
        <v>426</v>
      </c>
      <c r="D9" s="43" t="s">
        <v>427</v>
      </c>
      <c r="E9" s="47">
        <v>4.0</v>
      </c>
      <c r="F9" s="47">
        <v>18.0</v>
      </c>
      <c r="G9" s="34">
        <v>95.0</v>
      </c>
      <c r="H9" s="179" t="s">
        <v>428</v>
      </c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</row>
    <row r="10" ht="14.25" customHeight="1">
      <c r="A10" s="175"/>
      <c r="B10" s="20">
        <v>2.0</v>
      </c>
      <c r="C10" s="21" t="s">
        <v>429</v>
      </c>
      <c r="D10" s="43" t="s">
        <v>427</v>
      </c>
      <c r="E10" s="47">
        <v>8.5</v>
      </c>
      <c r="F10" s="47">
        <v>18.0</v>
      </c>
      <c r="G10" s="34">
        <v>12.0</v>
      </c>
      <c r="H10" s="179" t="s">
        <v>430</v>
      </c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</row>
    <row r="11" ht="14.25" customHeight="1">
      <c r="A11" s="175"/>
      <c r="B11" s="20">
        <v>3.0</v>
      </c>
      <c r="C11" s="21" t="s">
        <v>431</v>
      </c>
      <c r="D11" s="43" t="s">
        <v>432</v>
      </c>
      <c r="E11" s="47">
        <v>12.0</v>
      </c>
      <c r="F11" s="47">
        <v>20.0</v>
      </c>
      <c r="G11" s="34">
        <v>6.5</v>
      </c>
      <c r="H11" s="179" t="s">
        <v>433</v>
      </c>
      <c r="I11" s="175"/>
      <c r="J11" s="175"/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</row>
    <row r="12" ht="14.25" customHeight="1">
      <c r="A12" s="175"/>
      <c r="B12" s="20">
        <v>4.0</v>
      </c>
      <c r="C12" s="21" t="s">
        <v>434</v>
      </c>
      <c r="D12" s="43" t="s">
        <v>432</v>
      </c>
      <c r="E12" s="47">
        <v>15.0</v>
      </c>
      <c r="F12" s="47">
        <v>20.0</v>
      </c>
      <c r="G12" s="34">
        <v>4.0</v>
      </c>
      <c r="H12" s="179" t="s">
        <v>435</v>
      </c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</row>
    <row r="13" ht="14.25" customHeight="1">
      <c r="A13" s="175"/>
      <c r="B13" s="20">
        <v>5.0</v>
      </c>
      <c r="C13" s="21" t="s">
        <v>437</v>
      </c>
      <c r="D13" s="43" t="s">
        <v>432</v>
      </c>
      <c r="E13" s="47">
        <v>20.0</v>
      </c>
      <c r="F13" s="47">
        <v>20.0</v>
      </c>
      <c r="G13" s="34">
        <v>12.0</v>
      </c>
      <c r="H13" s="179" t="s">
        <v>438</v>
      </c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</row>
    <row r="14" ht="14.25" customHeight="1">
      <c r="A14" s="175"/>
      <c r="B14" s="20">
        <v>6.0</v>
      </c>
      <c r="C14" s="21" t="s">
        <v>439</v>
      </c>
      <c r="D14" s="43" t="s">
        <v>432</v>
      </c>
      <c r="E14" s="47">
        <v>26.0</v>
      </c>
      <c r="F14" s="47">
        <v>20.0</v>
      </c>
      <c r="G14" s="34">
        <v>11.5</v>
      </c>
      <c r="H14" s="179" t="s">
        <v>440</v>
      </c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</row>
    <row r="15" ht="14.25" customHeight="1">
      <c r="A15" s="175"/>
      <c r="B15" s="20">
        <v>7.0</v>
      </c>
      <c r="C15" s="21" t="s">
        <v>441</v>
      </c>
      <c r="D15" s="43" t="s">
        <v>432</v>
      </c>
      <c r="E15" s="47">
        <v>30.0</v>
      </c>
      <c r="F15" s="47">
        <v>20.0</v>
      </c>
      <c r="G15" s="34">
        <v>7.5</v>
      </c>
      <c r="H15" s="179" t="s">
        <v>442</v>
      </c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</row>
    <row r="16" ht="14.25" customHeight="1">
      <c r="A16" s="175"/>
      <c r="B16" s="20">
        <v>8.0</v>
      </c>
      <c r="C16" s="21" t="s">
        <v>443</v>
      </c>
      <c r="D16" s="43" t="s">
        <v>432</v>
      </c>
      <c r="E16" s="47">
        <v>32.5</v>
      </c>
      <c r="F16" s="47">
        <v>20.0</v>
      </c>
      <c r="G16" s="34">
        <v>5.0</v>
      </c>
      <c r="H16" s="179" t="s">
        <v>444</v>
      </c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</row>
    <row r="17" ht="14.25" customHeight="1">
      <c r="A17" s="175"/>
      <c r="B17" s="20">
        <v>9.0</v>
      </c>
      <c r="C17" s="21" t="s">
        <v>445</v>
      </c>
      <c r="D17" s="43" t="s">
        <v>446</v>
      </c>
      <c r="E17" s="47">
        <v>12.0</v>
      </c>
      <c r="F17" s="47">
        <v>14.0</v>
      </c>
      <c r="G17" s="34">
        <v>8.5</v>
      </c>
      <c r="H17" s="179" t="s">
        <v>447</v>
      </c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</row>
    <row r="18" ht="14.25" customHeight="1">
      <c r="A18" s="175"/>
      <c r="B18" s="20">
        <v>10.0</v>
      </c>
      <c r="C18" s="21" t="s">
        <v>448</v>
      </c>
      <c r="D18" s="43" t="s">
        <v>446</v>
      </c>
      <c r="E18" s="47">
        <v>15.0</v>
      </c>
      <c r="F18" s="47">
        <v>14.0</v>
      </c>
      <c r="G18" s="34">
        <v>6.5</v>
      </c>
      <c r="H18" s="179" t="s">
        <v>449</v>
      </c>
      <c r="I18" s="175"/>
      <c r="J18" s="175"/>
      <c r="K18" s="175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</row>
    <row r="19" ht="14.25" customHeight="1">
      <c r="A19" s="175"/>
      <c r="B19" s="20">
        <v>11.0</v>
      </c>
      <c r="C19" s="21" t="s">
        <v>450</v>
      </c>
      <c r="D19" s="43" t="s">
        <v>446</v>
      </c>
      <c r="E19" s="47">
        <v>18.0</v>
      </c>
      <c r="F19" s="47">
        <v>14.0</v>
      </c>
      <c r="G19" s="34">
        <v>6.5</v>
      </c>
      <c r="H19" s="179" t="s">
        <v>451</v>
      </c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  <c r="Z19" s="175"/>
    </row>
    <row r="20" ht="14.25" customHeight="1">
      <c r="A20" s="175"/>
      <c r="B20" s="20">
        <v>12.0</v>
      </c>
      <c r="C20" s="21" t="s">
        <v>452</v>
      </c>
      <c r="D20" s="43" t="s">
        <v>446</v>
      </c>
      <c r="E20" s="47">
        <v>22.0</v>
      </c>
      <c r="F20" s="47">
        <v>14.0</v>
      </c>
      <c r="G20" s="34">
        <v>14.0</v>
      </c>
      <c r="H20" s="179" t="s">
        <v>453</v>
      </c>
      <c r="I20" s="175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</row>
    <row r="21" ht="15.75" customHeight="1">
      <c r="A21" s="175"/>
      <c r="B21" s="20">
        <v>13.0</v>
      </c>
      <c r="C21" s="21" t="s">
        <v>454</v>
      </c>
      <c r="D21" s="43" t="s">
        <v>446</v>
      </c>
      <c r="E21" s="47">
        <v>25.5</v>
      </c>
      <c r="F21" s="47">
        <v>14.0</v>
      </c>
      <c r="G21" s="34">
        <v>18.0</v>
      </c>
      <c r="H21" s="179" t="s">
        <v>455</v>
      </c>
      <c r="I21" s="175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</row>
    <row r="22" ht="15.75" customHeight="1">
      <c r="A22" s="175"/>
      <c r="B22" s="20">
        <v>14.0</v>
      </c>
      <c r="C22" s="21" t="s">
        <v>456</v>
      </c>
      <c r="D22" s="43" t="s">
        <v>446</v>
      </c>
      <c r="E22" s="47">
        <v>28.5</v>
      </c>
      <c r="F22" s="47">
        <v>14.0</v>
      </c>
      <c r="G22" s="34">
        <v>5.5</v>
      </c>
      <c r="H22" s="179" t="s">
        <v>457</v>
      </c>
      <c r="I22" s="175"/>
      <c r="J22" s="175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  <c r="Z22" s="175"/>
    </row>
    <row r="23" ht="15.75" customHeight="1">
      <c r="A23" s="175"/>
      <c r="B23" s="20">
        <v>15.0</v>
      </c>
      <c r="C23" s="21" t="s">
        <v>458</v>
      </c>
      <c r="D23" s="43" t="s">
        <v>446</v>
      </c>
      <c r="E23" s="47">
        <v>30.5</v>
      </c>
      <c r="F23" s="47">
        <v>14.0</v>
      </c>
      <c r="G23" s="34">
        <v>12.0</v>
      </c>
      <c r="H23" s="179" t="s">
        <v>459</v>
      </c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</row>
    <row r="24" ht="15.75" customHeight="1">
      <c r="A24" s="175"/>
      <c r="B24" s="20">
        <v>16.0</v>
      </c>
      <c r="C24" s="21" t="s">
        <v>460</v>
      </c>
      <c r="D24" s="43" t="s">
        <v>446</v>
      </c>
      <c r="E24" s="47">
        <v>32.5</v>
      </c>
      <c r="F24" s="47">
        <v>14.0</v>
      </c>
      <c r="G24" s="34">
        <v>5.0</v>
      </c>
      <c r="H24" s="179" t="s">
        <v>444</v>
      </c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</row>
    <row r="25" ht="15.75" customHeight="1">
      <c r="A25" s="175"/>
      <c r="B25" s="20">
        <v>17.0</v>
      </c>
      <c r="C25" s="21" t="s">
        <v>461</v>
      </c>
      <c r="D25" s="43" t="s">
        <v>427</v>
      </c>
      <c r="E25" s="47">
        <v>36.0</v>
      </c>
      <c r="F25" s="47">
        <v>16.0</v>
      </c>
      <c r="G25" s="34">
        <v>160.0</v>
      </c>
      <c r="H25" s="179" t="s">
        <v>462</v>
      </c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</row>
    <row r="26" ht="15.75" customHeight="1">
      <c r="A26" s="175"/>
      <c r="B26" s="20">
        <v>18.0</v>
      </c>
      <c r="C26" s="21" t="s">
        <v>463</v>
      </c>
      <c r="D26" s="43" t="s">
        <v>464</v>
      </c>
      <c r="E26" s="47">
        <v>8.5</v>
      </c>
      <c r="F26" s="47">
        <v>12.0</v>
      </c>
      <c r="G26" s="34">
        <v>15.0</v>
      </c>
      <c r="H26" s="179" t="s">
        <v>465</v>
      </c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</row>
    <row r="27" ht="15.75" customHeight="1">
      <c r="A27" s="175"/>
      <c r="B27" s="175"/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</row>
    <row r="28" ht="15.75" customHeight="1">
      <c r="A28" s="175"/>
      <c r="B28" s="175"/>
      <c r="C28" s="175"/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</row>
    <row r="29" ht="15.75" customHeight="1">
      <c r="A29" s="175"/>
      <c r="B29" s="176" t="s">
        <v>466</v>
      </c>
      <c r="C29" s="175"/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</row>
    <row r="30" ht="15.75" customHeight="1">
      <c r="A30" s="175"/>
      <c r="B30" s="175"/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</row>
    <row r="31" ht="15.75" customHeight="1">
      <c r="A31" s="175"/>
      <c r="B31" s="186" t="s">
        <v>467</v>
      </c>
      <c r="C31" s="186" t="s">
        <v>22</v>
      </c>
      <c r="D31" s="186" t="s">
        <v>23</v>
      </c>
      <c r="E31" s="186" t="s">
        <v>27</v>
      </c>
      <c r="F31" s="186" t="s">
        <v>29</v>
      </c>
      <c r="G31" s="186" t="s">
        <v>468</v>
      </c>
      <c r="H31" s="186" t="s">
        <v>469</v>
      </c>
      <c r="I31" s="186" t="s">
        <v>470</v>
      </c>
      <c r="J31" s="186" t="s">
        <v>471</v>
      </c>
      <c r="K31" s="186" t="s">
        <v>31</v>
      </c>
      <c r="L31" s="186" t="s">
        <v>33</v>
      </c>
      <c r="M31" s="186" t="s">
        <v>472</v>
      </c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</row>
    <row r="32" ht="15.75" customHeight="1">
      <c r="A32" s="175"/>
      <c r="B32" s="20" t="s">
        <v>473</v>
      </c>
      <c r="C32" s="21" t="s">
        <v>95</v>
      </c>
      <c r="D32" s="21" t="s">
        <v>474</v>
      </c>
      <c r="E32" s="42">
        <f>'5. Desde-Hasta (Viajes)'!E8</f>
        <v>4</v>
      </c>
      <c r="F32" s="187">
        <f t="shared" ref="F32:F33" si="1">ROUND(SQRT((E11-E10)^2+(F11-F10)^2), 1)</f>
        <v>4</v>
      </c>
      <c r="G32" s="46">
        <f>'3. Cuantificación Frecuencias'!G9</f>
        <v>150</v>
      </c>
      <c r="H32" s="56">
        <f t="shared" ref="H32:H42" si="2">E32*F32</f>
        <v>16</v>
      </c>
      <c r="I32" s="56">
        <f t="shared" ref="I32:I42" si="3">H32*G32</f>
        <v>2400</v>
      </c>
      <c r="J32" s="188">
        <f>'3. Cuantificación Frecuencias'!K9</f>
        <v>48</v>
      </c>
      <c r="K32" s="54">
        <f>'3. Cuantificación Frecuencias'!L9</f>
        <v>0.3</v>
      </c>
      <c r="L32" s="55">
        <f t="shared" ref="L32:L42" si="4">E32*((2*F32/J32)+K32)/60</f>
        <v>0.03111111111</v>
      </c>
      <c r="M32" s="189" t="s">
        <v>475</v>
      </c>
      <c r="N32" s="175"/>
      <c r="O32" s="175">
        <f t="shared" ref="O32:O42" si="5">L32*60</f>
        <v>1.866666667</v>
      </c>
      <c r="P32" s="191">
        <f t="shared" ref="P32:P42" si="6">L32/8</f>
        <v>0.003888888889</v>
      </c>
      <c r="Q32" s="175"/>
      <c r="R32" s="175"/>
      <c r="S32" s="175"/>
      <c r="T32" s="175"/>
      <c r="U32" s="175"/>
      <c r="V32" s="175"/>
      <c r="W32" s="175"/>
      <c r="X32" s="175"/>
      <c r="Y32" s="175"/>
      <c r="Z32" s="175"/>
    </row>
    <row r="33" ht="15.75" customHeight="1">
      <c r="A33" s="175"/>
      <c r="B33" s="20" t="s">
        <v>478</v>
      </c>
      <c r="C33" s="21" t="s">
        <v>474</v>
      </c>
      <c r="D33" s="21" t="s">
        <v>479</v>
      </c>
      <c r="E33" s="42">
        <f>'5. Desde-Hasta (Viajes)'!F9</f>
        <v>6</v>
      </c>
      <c r="F33" s="187">
        <f t="shared" si="1"/>
        <v>3</v>
      </c>
      <c r="G33" s="46">
        <f>'3. Cuantificación Frecuencias'!G10</f>
        <v>100</v>
      </c>
      <c r="H33" s="56">
        <f t="shared" si="2"/>
        <v>18</v>
      </c>
      <c r="I33" s="56">
        <f t="shared" si="3"/>
        <v>1800</v>
      </c>
      <c r="J33" s="188">
        <f>'3. Cuantificación Frecuencias'!K10</f>
        <v>42</v>
      </c>
      <c r="K33" s="54">
        <f>'3. Cuantificación Frecuencias'!L10</f>
        <v>0.35</v>
      </c>
      <c r="L33" s="55">
        <f t="shared" si="4"/>
        <v>0.04928571429</v>
      </c>
      <c r="M33" s="189" t="s">
        <v>475</v>
      </c>
      <c r="N33" s="175"/>
      <c r="O33" s="175">
        <f t="shared" si="5"/>
        <v>2.957142857</v>
      </c>
      <c r="P33" s="191">
        <f t="shared" si="6"/>
        <v>0.006160714286</v>
      </c>
      <c r="Q33" s="175"/>
      <c r="R33" s="175"/>
      <c r="S33" s="175"/>
      <c r="T33" s="175"/>
      <c r="U33" s="175"/>
      <c r="V33" s="175"/>
      <c r="W33" s="175"/>
      <c r="X33" s="175"/>
      <c r="Y33" s="175"/>
      <c r="Z33" s="175"/>
    </row>
    <row r="34" ht="15.75" customHeight="1">
      <c r="A34" s="175"/>
      <c r="B34" s="20" t="s">
        <v>482</v>
      </c>
      <c r="C34" s="21" t="s">
        <v>95</v>
      </c>
      <c r="D34" s="21" t="s">
        <v>483</v>
      </c>
      <c r="E34" s="42">
        <f>'5. Desde-Hasta (Viajes)'!J8</f>
        <v>4</v>
      </c>
      <c r="F34" s="187">
        <f>ROUND(SQRT((E17-E10)^2+(F17-F10)^2), 1)</f>
        <v>5.3</v>
      </c>
      <c r="G34" s="46">
        <f>'3. Cuantificación Frecuencias'!G15</f>
        <v>150</v>
      </c>
      <c r="H34" s="56">
        <f t="shared" si="2"/>
        <v>21.2</v>
      </c>
      <c r="I34" s="56">
        <f t="shared" si="3"/>
        <v>3180</v>
      </c>
      <c r="J34" s="188">
        <f>'3. Cuantificación Frecuencias'!K15</f>
        <v>48</v>
      </c>
      <c r="K34" s="54">
        <f>'3. Cuantificación Frecuencias'!L15</f>
        <v>0.35</v>
      </c>
      <c r="L34" s="55">
        <f t="shared" si="4"/>
        <v>0.03805555556</v>
      </c>
      <c r="M34" s="43" t="s">
        <v>493</v>
      </c>
      <c r="N34" s="175"/>
      <c r="O34" s="175">
        <f t="shared" si="5"/>
        <v>2.283333333</v>
      </c>
      <c r="P34" s="191">
        <f t="shared" si="6"/>
        <v>0.004756944444</v>
      </c>
      <c r="Q34" s="175"/>
      <c r="R34" s="175"/>
      <c r="S34" s="175"/>
      <c r="T34" s="175"/>
      <c r="U34" s="175"/>
      <c r="V34" s="175"/>
      <c r="W34" s="175"/>
      <c r="X34" s="175"/>
      <c r="Y34" s="175"/>
      <c r="Z34" s="175"/>
    </row>
    <row r="35" ht="15.75" customHeight="1">
      <c r="A35" s="175"/>
      <c r="B35" s="20" t="s">
        <v>496</v>
      </c>
      <c r="C35" s="21" t="s">
        <v>483</v>
      </c>
      <c r="D35" s="21" t="s">
        <v>498</v>
      </c>
      <c r="E35" s="42">
        <f>'5. Desde-Hasta (Viajes)'!K14</f>
        <v>6</v>
      </c>
      <c r="F35" s="187">
        <f t="shared" ref="F35:F39" si="7">ROUND(SQRT((E18-E17)^2+(F18-F17)^2), 1)</f>
        <v>3</v>
      </c>
      <c r="G35" s="46">
        <f>'3. Cuantificación Frecuencias'!G16</f>
        <v>100</v>
      </c>
      <c r="H35" s="56">
        <f t="shared" si="2"/>
        <v>18</v>
      </c>
      <c r="I35" s="56">
        <f t="shared" si="3"/>
        <v>1800</v>
      </c>
      <c r="J35" s="188">
        <f>'3. Cuantificación Frecuencias'!K16</f>
        <v>42</v>
      </c>
      <c r="K35" s="54">
        <f>'3. Cuantificación Frecuencias'!L16</f>
        <v>0.35</v>
      </c>
      <c r="L35" s="55">
        <f t="shared" si="4"/>
        <v>0.04928571429</v>
      </c>
      <c r="M35" s="43" t="s">
        <v>493</v>
      </c>
      <c r="N35" s="175"/>
      <c r="O35" s="175">
        <f t="shared" si="5"/>
        <v>2.957142857</v>
      </c>
      <c r="P35" s="191">
        <f t="shared" si="6"/>
        <v>0.006160714286</v>
      </c>
      <c r="Q35" s="175"/>
      <c r="R35" s="175"/>
      <c r="S35" s="175"/>
      <c r="T35" s="175"/>
      <c r="U35" s="175"/>
      <c r="V35" s="175"/>
      <c r="W35" s="175"/>
      <c r="X35" s="175"/>
      <c r="Y35" s="175"/>
      <c r="Z35" s="175"/>
    </row>
    <row r="36" ht="15.75" customHeight="1">
      <c r="A36" s="175"/>
      <c r="B36" s="20" t="s">
        <v>512</v>
      </c>
      <c r="C36" s="21" t="s">
        <v>498</v>
      </c>
      <c r="D36" s="21" t="s">
        <v>514</v>
      </c>
      <c r="E36" s="42">
        <f>'5. Desde-Hasta (Viajes)'!L15</f>
        <v>6</v>
      </c>
      <c r="F36" s="187">
        <f t="shared" si="7"/>
        <v>3</v>
      </c>
      <c r="G36" s="46">
        <f>'3. Cuantificación Frecuencias'!G17</f>
        <v>43.2</v>
      </c>
      <c r="H36" s="56">
        <f t="shared" si="2"/>
        <v>18</v>
      </c>
      <c r="I36" s="56">
        <f t="shared" si="3"/>
        <v>777.6</v>
      </c>
      <c r="J36" s="188">
        <f>'3. Cuantificación Frecuencias'!K17</f>
        <v>42</v>
      </c>
      <c r="K36" s="54">
        <f>'3. Cuantificación Frecuencias'!L17</f>
        <v>0.4</v>
      </c>
      <c r="L36" s="55">
        <f t="shared" si="4"/>
        <v>0.05428571429</v>
      </c>
      <c r="M36" s="43" t="s">
        <v>493</v>
      </c>
      <c r="N36" s="175"/>
      <c r="O36" s="175">
        <f t="shared" si="5"/>
        <v>3.257142857</v>
      </c>
      <c r="P36" s="191">
        <f t="shared" si="6"/>
        <v>0.006785714286</v>
      </c>
      <c r="Q36" s="175"/>
      <c r="R36" s="175"/>
      <c r="S36" s="175"/>
      <c r="T36" s="175"/>
      <c r="U36" s="175"/>
      <c r="V36" s="175"/>
      <c r="W36" s="175"/>
      <c r="X36" s="175"/>
      <c r="Y36" s="175"/>
      <c r="Z36" s="175"/>
    </row>
    <row r="37" ht="15.75" customHeight="1">
      <c r="A37" s="175"/>
      <c r="B37" s="20" t="s">
        <v>524</v>
      </c>
      <c r="C37" s="21" t="s">
        <v>514</v>
      </c>
      <c r="D37" s="21" t="s">
        <v>525</v>
      </c>
      <c r="E37" s="42">
        <f>'5. Desde-Hasta (Viajes)'!M16</f>
        <v>6</v>
      </c>
      <c r="F37" s="187">
        <f t="shared" si="7"/>
        <v>4</v>
      </c>
      <c r="G37" s="46">
        <f>'3. Cuantificación Frecuencias'!G19</f>
        <v>43.2</v>
      </c>
      <c r="H37" s="56">
        <f t="shared" si="2"/>
        <v>24</v>
      </c>
      <c r="I37" s="56">
        <f t="shared" si="3"/>
        <v>1036.8</v>
      </c>
      <c r="J37" s="188">
        <f>'3. Cuantificación Frecuencias'!K19</f>
        <v>42</v>
      </c>
      <c r="K37" s="54">
        <f>'3. Cuantificación Frecuencias'!L19</f>
        <v>0.4</v>
      </c>
      <c r="L37" s="55">
        <f t="shared" si="4"/>
        <v>0.05904761905</v>
      </c>
      <c r="M37" s="43" t="s">
        <v>493</v>
      </c>
      <c r="N37" s="175"/>
      <c r="O37" s="175">
        <f t="shared" si="5"/>
        <v>3.542857143</v>
      </c>
      <c r="P37" s="191">
        <f t="shared" si="6"/>
        <v>0.007380952381</v>
      </c>
      <c r="Q37" s="175"/>
      <c r="R37" s="175"/>
      <c r="S37" s="175"/>
      <c r="T37" s="175"/>
      <c r="U37" s="175"/>
      <c r="V37" s="175"/>
      <c r="W37" s="175"/>
      <c r="X37" s="175"/>
      <c r="Y37" s="175"/>
      <c r="Z37" s="175"/>
    </row>
    <row r="38" ht="15.75" customHeight="1">
      <c r="A38" s="175"/>
      <c r="B38" s="20" t="s">
        <v>534</v>
      </c>
      <c r="C38" s="21" t="s">
        <v>525</v>
      </c>
      <c r="D38" s="21" t="s">
        <v>535</v>
      </c>
      <c r="E38" s="42">
        <f>'5. Desde-Hasta (Viajes)'!N17</f>
        <v>14</v>
      </c>
      <c r="F38" s="187">
        <f t="shared" si="7"/>
        <v>3.5</v>
      </c>
      <c r="G38" s="46">
        <f>'3. Cuantificación Frecuencias'!G20</f>
        <v>43.2</v>
      </c>
      <c r="H38" s="56">
        <f t="shared" si="2"/>
        <v>49</v>
      </c>
      <c r="I38" s="56">
        <f t="shared" si="3"/>
        <v>2116.8</v>
      </c>
      <c r="J38" s="188">
        <f>'3. Cuantificación Frecuencias'!K20</f>
        <v>36</v>
      </c>
      <c r="K38" s="54">
        <f>'3. Cuantificación Frecuencias'!L20</f>
        <v>0.45</v>
      </c>
      <c r="L38" s="55">
        <f t="shared" si="4"/>
        <v>0.1503703704</v>
      </c>
      <c r="M38" s="189" t="s">
        <v>544</v>
      </c>
      <c r="N38" s="175"/>
      <c r="O38" s="175">
        <f t="shared" si="5"/>
        <v>9.022222222</v>
      </c>
      <c r="P38" s="191">
        <f t="shared" si="6"/>
        <v>0.0187962963</v>
      </c>
      <c r="Q38" s="175"/>
      <c r="R38" s="175"/>
      <c r="S38" s="175"/>
      <c r="T38" s="175"/>
      <c r="U38" s="175"/>
      <c r="V38" s="175"/>
      <c r="W38" s="175"/>
      <c r="X38" s="175"/>
      <c r="Y38" s="175"/>
      <c r="Z38" s="175"/>
    </row>
    <row r="39" ht="15.75" customHeight="1">
      <c r="A39" s="175"/>
      <c r="B39" s="20" t="s">
        <v>547</v>
      </c>
      <c r="C39" s="21" t="s">
        <v>535</v>
      </c>
      <c r="D39" s="21" t="s">
        <v>548</v>
      </c>
      <c r="E39" s="42">
        <f>'5. Desde-Hasta (Viajes)'!O18</f>
        <v>14</v>
      </c>
      <c r="F39" s="187">
        <f t="shared" si="7"/>
        <v>3</v>
      </c>
      <c r="G39" s="46">
        <f>'3. Cuantificación Frecuencias'!G21</f>
        <v>30</v>
      </c>
      <c r="H39" s="56">
        <f t="shared" si="2"/>
        <v>42</v>
      </c>
      <c r="I39" s="56">
        <f t="shared" si="3"/>
        <v>1260</v>
      </c>
      <c r="J39" s="188">
        <f>'3. Cuantificación Frecuencias'!K21</f>
        <v>42</v>
      </c>
      <c r="K39" s="54">
        <f>'3. Cuantificación Frecuencias'!L21</f>
        <v>0.35</v>
      </c>
      <c r="L39" s="55">
        <f t="shared" si="4"/>
        <v>0.115</v>
      </c>
      <c r="M39" s="43" t="s">
        <v>553</v>
      </c>
      <c r="N39" s="175"/>
      <c r="O39" s="175">
        <f t="shared" si="5"/>
        <v>6.9</v>
      </c>
      <c r="P39" s="191">
        <f t="shared" si="6"/>
        <v>0.014375</v>
      </c>
      <c r="Q39" s="175"/>
      <c r="R39" s="175"/>
      <c r="S39" s="175"/>
      <c r="T39" s="175"/>
      <c r="U39" s="175"/>
      <c r="V39" s="175"/>
      <c r="W39" s="175"/>
      <c r="X39" s="175"/>
      <c r="Y39" s="175"/>
      <c r="Z39" s="175"/>
    </row>
    <row r="40" ht="15.75" customHeight="1">
      <c r="A40" s="175"/>
      <c r="B40" s="20" t="s">
        <v>556</v>
      </c>
      <c r="C40" s="21" t="s">
        <v>40</v>
      </c>
      <c r="D40" s="21" t="s">
        <v>95</v>
      </c>
      <c r="E40" s="42">
        <f>'5. Desde-Hasta (Viajes)'!D7</f>
        <v>2</v>
      </c>
      <c r="F40" s="187">
        <f>ROUND(SQRT((E10-E9)^2+(F10-F9)^2), 1)</f>
        <v>4.5</v>
      </c>
      <c r="G40" s="46">
        <f>'3. Cuantificación Frecuencias'!G7</f>
        <v>549.8999825</v>
      </c>
      <c r="H40" s="56">
        <f t="shared" si="2"/>
        <v>9</v>
      </c>
      <c r="I40" s="56">
        <f t="shared" si="3"/>
        <v>4949.099842</v>
      </c>
      <c r="J40" s="188">
        <f>'3. Cuantificación Frecuencias'!K7</f>
        <v>36</v>
      </c>
      <c r="K40" s="54">
        <f>'3. Cuantificación Frecuencias'!L7</f>
        <v>0.5</v>
      </c>
      <c r="L40" s="55">
        <f t="shared" si="4"/>
        <v>0.025</v>
      </c>
      <c r="M40" s="43" t="s">
        <v>566</v>
      </c>
      <c r="N40" s="175"/>
      <c r="O40" s="175">
        <f t="shared" si="5"/>
        <v>1.5</v>
      </c>
      <c r="P40" s="191">
        <f t="shared" si="6"/>
        <v>0.003125</v>
      </c>
      <c r="Q40" s="175"/>
      <c r="R40" s="175"/>
      <c r="S40" s="175"/>
      <c r="T40" s="175"/>
      <c r="U40" s="175"/>
      <c r="V40" s="175"/>
      <c r="W40" s="175"/>
      <c r="X40" s="175"/>
      <c r="Y40" s="175"/>
      <c r="Z40" s="175"/>
    </row>
    <row r="41" ht="15.75" customHeight="1">
      <c r="A41" s="175"/>
      <c r="B41" s="20" t="s">
        <v>569</v>
      </c>
      <c r="C41" s="21" t="s">
        <v>154</v>
      </c>
      <c r="D41" s="21" t="s">
        <v>398</v>
      </c>
      <c r="E41" s="42">
        <f>'3. Cuantificación Frecuencias'!H14</f>
        <v>2</v>
      </c>
      <c r="F41" s="187">
        <f>ROUND(SQRT((E25-E15)^2+(F25-F15)^2), 1)</f>
        <v>7.2</v>
      </c>
      <c r="G41" s="46">
        <f>'3. Cuantificación Frecuencias'!G14</f>
        <v>315</v>
      </c>
      <c r="H41" s="56">
        <f t="shared" si="2"/>
        <v>14.4</v>
      </c>
      <c r="I41" s="56">
        <f t="shared" si="3"/>
        <v>4536</v>
      </c>
      <c r="J41" s="188">
        <f>'3. Cuantificación Frecuencias'!K14</f>
        <v>36</v>
      </c>
      <c r="K41" s="54">
        <f>'3. Cuantificación Frecuencias'!L14</f>
        <v>0.75</v>
      </c>
      <c r="L41" s="55">
        <f t="shared" si="4"/>
        <v>0.03833333333</v>
      </c>
      <c r="M41" s="43" t="s">
        <v>575</v>
      </c>
      <c r="N41" s="175"/>
      <c r="O41" s="175">
        <f t="shared" si="5"/>
        <v>2.3</v>
      </c>
      <c r="P41" s="191">
        <f t="shared" si="6"/>
        <v>0.004791666667</v>
      </c>
      <c r="Q41" s="175"/>
      <c r="R41" s="175"/>
      <c r="S41" s="175"/>
      <c r="T41" s="175"/>
      <c r="U41" s="175"/>
      <c r="V41" s="175"/>
      <c r="W41" s="175"/>
      <c r="X41" s="175"/>
      <c r="Y41" s="175"/>
      <c r="Z41" s="175"/>
    </row>
    <row r="42" ht="15.75" customHeight="1">
      <c r="A42" s="175"/>
      <c r="B42" s="20" t="s">
        <v>578</v>
      </c>
      <c r="C42" s="21" t="s">
        <v>579</v>
      </c>
      <c r="D42" s="21" t="s">
        <v>398</v>
      </c>
      <c r="E42" s="42">
        <f>'3. Cuantificación Frecuencias'!H22</f>
        <v>2</v>
      </c>
      <c r="F42" s="187">
        <f>ROUND(SQRT((E25-E23)^2+(F25-F23)^2), 1)</f>
        <v>5.9</v>
      </c>
      <c r="G42" s="46">
        <f>'3. Cuantificación Frecuencias'!G22</f>
        <v>250</v>
      </c>
      <c r="H42" s="56">
        <f t="shared" si="2"/>
        <v>11.8</v>
      </c>
      <c r="I42" s="56">
        <f t="shared" si="3"/>
        <v>2950</v>
      </c>
      <c r="J42" s="188">
        <f>'3. Cuantificación Frecuencias'!K22</f>
        <v>36</v>
      </c>
      <c r="K42" s="54">
        <f>'3. Cuantificación Frecuencias'!L22</f>
        <v>0.75</v>
      </c>
      <c r="L42" s="55">
        <f t="shared" si="4"/>
        <v>0.03592592593</v>
      </c>
      <c r="M42" s="43" t="s">
        <v>575</v>
      </c>
      <c r="N42" s="175"/>
      <c r="O42" s="175">
        <f t="shared" si="5"/>
        <v>2.155555556</v>
      </c>
      <c r="P42" s="191">
        <f t="shared" si="6"/>
        <v>0.004490740741</v>
      </c>
      <c r="Q42" s="175"/>
      <c r="R42" s="175"/>
      <c r="S42" s="175"/>
      <c r="T42" s="175"/>
      <c r="U42" s="175"/>
      <c r="V42" s="175"/>
      <c r="W42" s="175"/>
      <c r="X42" s="175"/>
      <c r="Y42" s="175"/>
      <c r="Z42" s="175"/>
    </row>
    <row r="43" ht="15.75" customHeight="1">
      <c r="A43" s="175"/>
      <c r="B43" s="202" t="s">
        <v>590</v>
      </c>
      <c r="C43" s="203"/>
      <c r="D43" s="203"/>
      <c r="E43" s="203"/>
      <c r="F43" s="203"/>
      <c r="G43" s="203"/>
      <c r="H43" s="205">
        <f t="shared" ref="H43:I43" si="8">SUM(H32:H42)</f>
        <v>241.4</v>
      </c>
      <c r="I43" s="205">
        <f t="shared" si="8"/>
        <v>26806.29984</v>
      </c>
      <c r="J43" s="203"/>
      <c r="K43" s="203"/>
      <c r="L43" s="206">
        <f>SUM(L32:L42)</f>
        <v>0.6457010582</v>
      </c>
      <c r="M43" s="207" t="s">
        <v>600</v>
      </c>
      <c r="N43" s="175"/>
      <c r="O43" s="175">
        <f t="shared" ref="O43:P43" si="9">SUM(O32:O42)</f>
        <v>38.74206349</v>
      </c>
      <c r="P43" s="191">
        <f t="shared" si="9"/>
        <v>0.08071263228</v>
      </c>
      <c r="Q43" s="175"/>
      <c r="R43" s="175"/>
      <c r="S43" s="175"/>
      <c r="T43" s="175"/>
      <c r="U43" s="175"/>
      <c r="V43" s="175"/>
      <c r="W43" s="175"/>
      <c r="X43" s="175"/>
      <c r="Y43" s="175"/>
      <c r="Z43" s="175"/>
    </row>
    <row r="44" ht="15.75" customHeight="1">
      <c r="A44" s="175"/>
      <c r="B44" s="175"/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</row>
    <row r="45" ht="15.75" customHeight="1">
      <c r="A45" s="175"/>
      <c r="B45" s="175"/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</row>
    <row r="46" ht="15.75" customHeight="1">
      <c r="A46" s="175"/>
      <c r="B46" s="175"/>
      <c r="C46" s="175"/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</row>
    <row r="47" ht="15.75" customHeight="1">
      <c r="A47" s="175"/>
      <c r="B47" s="175"/>
      <c r="C47" s="175"/>
      <c r="D47" s="175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</row>
    <row r="48" ht="15.75" customHeight="1">
      <c r="A48" s="175"/>
      <c r="B48" s="175"/>
      <c r="C48" s="175"/>
      <c r="D48" s="175"/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</row>
    <row r="49" ht="15.75" customHeight="1">
      <c r="A49" s="175"/>
      <c r="B49" s="175"/>
      <c r="C49" s="175"/>
      <c r="D49" s="175"/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</row>
    <row r="50" ht="15.75" customHeight="1">
      <c r="A50" s="175"/>
      <c r="B50" s="175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</row>
    <row r="51" ht="15.75" customHeight="1">
      <c r="A51" s="175"/>
      <c r="B51" s="175"/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</row>
    <row r="52" ht="15.75" customHeight="1">
      <c r="A52" s="175"/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</row>
    <row r="53" ht="15.75" customHeight="1">
      <c r="A53" s="175"/>
      <c r="B53" s="175"/>
      <c r="C53" s="175"/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</row>
    <row r="54" ht="15.75" customHeight="1">
      <c r="A54" s="175"/>
      <c r="B54" s="175"/>
      <c r="C54" s="175"/>
      <c r="D54" s="175"/>
      <c r="E54" s="175"/>
      <c r="F54" s="175"/>
      <c r="G54" s="175"/>
      <c r="H54" s="175"/>
      <c r="I54" s="175"/>
      <c r="J54" s="175"/>
      <c r="K54" s="175"/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</row>
    <row r="55" ht="15.75" customHeight="1">
      <c r="A55" s="175"/>
      <c r="B55" s="175"/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</row>
    <row r="56" ht="15.75" customHeight="1">
      <c r="A56" s="175"/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</row>
    <row r="57" ht="15.75" customHeight="1">
      <c r="A57" s="175"/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</row>
    <row r="58" ht="15.75" customHeight="1">
      <c r="A58" s="175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</row>
    <row r="59" ht="15.75" customHeight="1">
      <c r="A59" s="175"/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</row>
    <row r="60" ht="15.75" customHeight="1">
      <c r="A60" s="175"/>
      <c r="B60" s="175"/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</row>
    <row r="61" ht="15.75" customHeight="1">
      <c r="A61" s="175"/>
      <c r="B61" s="175"/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</row>
    <row r="62" ht="15.75" customHeight="1">
      <c r="A62" s="175"/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</row>
    <row r="63" ht="15.75" customHeight="1">
      <c r="A63" s="175"/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</row>
    <row r="64" ht="15.75" customHeight="1">
      <c r="A64" s="175"/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</row>
    <row r="65" ht="15.75" customHeight="1">
      <c r="A65" s="175"/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</row>
    <row r="66" ht="15.75" customHeight="1">
      <c r="A66" s="175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</row>
    <row r="67" ht="15.75" customHeight="1">
      <c r="A67" s="175"/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</row>
    <row r="68" ht="15.75" customHeight="1">
      <c r="A68" s="175"/>
      <c r="B68" s="175"/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</row>
    <row r="69" ht="15.75" customHeight="1">
      <c r="A69" s="175"/>
      <c r="B69" s="175"/>
      <c r="C69" s="175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</row>
    <row r="70" ht="15.75" customHeight="1">
      <c r="A70" s="175"/>
      <c r="B70" s="175"/>
      <c r="C70" s="175"/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</row>
    <row r="71" ht="15.75" customHeight="1">
      <c r="A71" s="175"/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</row>
    <row r="72" ht="15.75" customHeight="1">
      <c r="A72" s="175"/>
      <c r="B72" s="175"/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</row>
    <row r="73" ht="15.75" customHeight="1">
      <c r="A73" s="175"/>
      <c r="B73" s="175"/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</row>
    <row r="74" ht="15.75" customHeight="1">
      <c r="A74" s="175"/>
      <c r="B74" s="175"/>
      <c r="C74" s="175"/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</row>
    <row r="75" ht="15.75" customHeight="1">
      <c r="A75" s="175"/>
      <c r="B75" s="175"/>
      <c r="C75" s="17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</row>
    <row r="76" ht="15.75" customHeight="1">
      <c r="A76" s="175"/>
      <c r="B76" s="175"/>
      <c r="C76" s="175"/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</row>
    <row r="77" ht="15.75" customHeight="1">
      <c r="A77" s="175"/>
      <c r="B77" s="175"/>
      <c r="C77" s="175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</row>
    <row r="78" ht="15.75" customHeight="1">
      <c r="A78" s="175"/>
      <c r="B78" s="175"/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</row>
    <row r="79" ht="15.75" customHeight="1">
      <c r="A79" s="175"/>
      <c r="B79" s="175"/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</row>
    <row r="80" ht="15.75" customHeight="1">
      <c r="A80" s="175"/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</row>
    <row r="81" ht="15.75" customHeight="1">
      <c r="A81" s="175"/>
      <c r="B81" s="175"/>
      <c r="C81" s="175"/>
      <c r="D81" s="175"/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</row>
    <row r="82" ht="15.75" customHeight="1">
      <c r="A82" s="175"/>
      <c r="B82" s="175"/>
      <c r="C82" s="175"/>
      <c r="D82" s="175"/>
      <c r="E82" s="175"/>
      <c r="F82" s="175"/>
      <c r="G82" s="175"/>
      <c r="H82" s="175"/>
      <c r="I82" s="175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</row>
    <row r="83" ht="15.75" customHeight="1">
      <c r="A83" s="175"/>
      <c r="B83" s="175"/>
      <c r="C83" s="175"/>
      <c r="D83" s="175"/>
      <c r="E83" s="175"/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5"/>
      <c r="X83" s="175"/>
      <c r="Y83" s="175"/>
      <c r="Z83" s="175"/>
    </row>
    <row r="84" ht="15.75" customHeight="1">
      <c r="A84" s="175"/>
      <c r="B84" s="175"/>
      <c r="C84" s="175"/>
      <c r="D84" s="175"/>
      <c r="E84" s="175"/>
      <c r="F84" s="175"/>
      <c r="G84" s="175"/>
      <c r="H84" s="175"/>
      <c r="I84" s="175"/>
      <c r="J84" s="175"/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</row>
    <row r="85" ht="15.75" customHeight="1">
      <c r="A85" s="175"/>
      <c r="B85" s="175"/>
      <c r="C85" s="175"/>
      <c r="D85" s="175"/>
      <c r="E85" s="175"/>
      <c r="F85" s="175"/>
      <c r="G85" s="175"/>
      <c r="H85" s="175"/>
      <c r="I85" s="175"/>
      <c r="J85" s="175"/>
      <c r="K85" s="175"/>
      <c r="L85" s="175"/>
      <c r="M85" s="175"/>
      <c r="N85" s="175"/>
      <c r="O85" s="175"/>
      <c r="P85" s="175"/>
      <c r="Q85" s="175"/>
      <c r="R85" s="175"/>
      <c r="S85" s="175"/>
      <c r="T85" s="175"/>
      <c r="U85" s="175"/>
      <c r="V85" s="175"/>
      <c r="W85" s="175"/>
      <c r="X85" s="175"/>
      <c r="Y85" s="175"/>
      <c r="Z85" s="175"/>
    </row>
    <row r="86" ht="15.75" customHeight="1">
      <c r="A86" s="175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  <c r="Z86" s="175"/>
    </row>
    <row r="87" ht="15.75" customHeight="1">
      <c r="A87" s="175"/>
      <c r="B87" s="175"/>
      <c r="C87" s="175"/>
      <c r="D87" s="175"/>
      <c r="E87" s="175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</row>
    <row r="88" ht="15.75" customHeight="1">
      <c r="A88" s="175"/>
      <c r="B88" s="175"/>
      <c r="C88" s="175"/>
      <c r="D88" s="175"/>
      <c r="E88" s="175"/>
      <c r="F88" s="175"/>
      <c r="G88" s="175"/>
      <c r="H88" s="175"/>
      <c r="I88" s="175"/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  <c r="Y88" s="175"/>
      <c r="Z88" s="175"/>
    </row>
    <row r="89" ht="15.75" customHeight="1">
      <c r="A89" s="175"/>
      <c r="B89" s="175"/>
      <c r="C89" s="175"/>
      <c r="D89" s="175"/>
      <c r="E89" s="175"/>
      <c r="F89" s="175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75"/>
    </row>
    <row r="90" ht="15.75" customHeight="1">
      <c r="A90" s="175"/>
      <c r="B90" s="175"/>
      <c r="C90" s="175"/>
      <c r="D90" s="175"/>
      <c r="E90" s="175"/>
      <c r="F90" s="175"/>
      <c r="G90" s="175"/>
      <c r="H90" s="175"/>
      <c r="I90" s="175"/>
      <c r="J90" s="175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  <c r="Y90" s="175"/>
      <c r="Z90" s="175"/>
    </row>
    <row r="91" ht="15.75" customHeight="1">
      <c r="A91" s="175"/>
      <c r="B91" s="175"/>
      <c r="C91" s="175"/>
      <c r="D91" s="175"/>
      <c r="E91" s="175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</row>
    <row r="92" ht="15.75" customHeight="1">
      <c r="A92" s="175"/>
      <c r="B92" s="175"/>
      <c r="C92" s="175"/>
      <c r="D92" s="175"/>
      <c r="E92" s="175"/>
      <c r="F92" s="175"/>
      <c r="G92" s="175"/>
      <c r="H92" s="175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</row>
    <row r="93" ht="15.75" customHeight="1">
      <c r="A93" s="175"/>
      <c r="B93" s="175"/>
      <c r="C93" s="175"/>
      <c r="D93" s="175"/>
      <c r="E93" s="175"/>
      <c r="F93" s="175"/>
      <c r="G93" s="175"/>
      <c r="H93" s="175"/>
      <c r="I93" s="175"/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5"/>
      <c r="Y93" s="175"/>
      <c r="Z93" s="175"/>
    </row>
    <row r="94" ht="15.75" customHeight="1">
      <c r="A94" s="175"/>
      <c r="B94" s="175"/>
      <c r="C94" s="175"/>
      <c r="D94" s="175"/>
      <c r="E94" s="175"/>
      <c r="F94" s="175"/>
      <c r="G94" s="175"/>
      <c r="H94" s="175"/>
      <c r="I94" s="175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  <c r="Y94" s="175"/>
      <c r="Z94" s="175"/>
    </row>
    <row r="95" ht="15.75" customHeight="1">
      <c r="A95" s="175"/>
      <c r="B95" s="175"/>
      <c r="C95" s="175"/>
      <c r="D95" s="175"/>
      <c r="E95" s="175"/>
      <c r="F95" s="175"/>
      <c r="G95" s="175"/>
      <c r="H95" s="175"/>
      <c r="I95" s="175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  <c r="Y95" s="175"/>
      <c r="Z95" s="175"/>
    </row>
    <row r="96" ht="15.75" customHeight="1">
      <c r="A96" s="175"/>
      <c r="B96" s="175"/>
      <c r="C96" s="175"/>
      <c r="D96" s="175"/>
      <c r="E96" s="175"/>
      <c r="F96" s="175"/>
      <c r="G96" s="175"/>
      <c r="H96" s="175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  <c r="Z96" s="175"/>
    </row>
    <row r="97" ht="15.75" customHeight="1">
      <c r="A97" s="175"/>
      <c r="B97" s="175"/>
      <c r="C97" s="175"/>
      <c r="D97" s="175"/>
      <c r="E97" s="175"/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  <c r="Z97" s="175"/>
    </row>
    <row r="98" ht="15.75" customHeight="1">
      <c r="A98" s="175"/>
      <c r="B98" s="175"/>
      <c r="C98" s="175"/>
      <c r="D98" s="175"/>
      <c r="E98" s="175"/>
      <c r="F98" s="175"/>
      <c r="G98" s="175"/>
      <c r="H98" s="175"/>
      <c r="I98" s="175"/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  <c r="Z98" s="175"/>
    </row>
    <row r="99" ht="15.75" customHeight="1">
      <c r="A99" s="175"/>
      <c r="B99" s="175"/>
      <c r="C99" s="175"/>
      <c r="D99" s="175"/>
      <c r="E99" s="175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  <c r="Z99" s="175"/>
    </row>
    <row r="100" ht="15.75" customHeight="1">
      <c r="A100" s="175"/>
      <c r="B100" s="175"/>
      <c r="C100" s="175"/>
      <c r="D100" s="175"/>
      <c r="E100" s="175"/>
      <c r="F100" s="175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  <c r="Z100" s="175"/>
    </row>
    <row r="101" ht="15.75" customHeight="1">
      <c r="A101" s="175"/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</row>
    <row r="102" ht="15.75" customHeight="1">
      <c r="A102" s="175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</row>
    <row r="103" ht="15.75" customHeight="1">
      <c r="A103" s="175"/>
      <c r="B103" s="175"/>
      <c r="C103" s="175"/>
      <c r="D103" s="175"/>
      <c r="E103" s="175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</row>
    <row r="104" ht="15.75" customHeight="1">
      <c r="A104" s="175"/>
      <c r="B104" s="175"/>
      <c r="C104" s="175"/>
      <c r="D104" s="175"/>
      <c r="E104" s="175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</row>
    <row r="105" ht="15.75" customHeight="1">
      <c r="A105" s="175"/>
      <c r="B105" s="175"/>
      <c r="C105" s="175"/>
      <c r="D105" s="175"/>
      <c r="E105" s="175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</row>
    <row r="106" ht="15.75" customHeight="1">
      <c r="A106" s="175"/>
      <c r="B106" s="175"/>
      <c r="C106" s="175"/>
      <c r="D106" s="175"/>
      <c r="E106" s="175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</row>
    <row r="107" ht="15.75" customHeight="1">
      <c r="A107" s="175"/>
      <c r="B107" s="175"/>
      <c r="C107" s="175"/>
      <c r="D107" s="175"/>
      <c r="E107" s="175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</row>
    <row r="108" ht="15.75" customHeight="1">
      <c r="A108" s="175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</row>
    <row r="109" ht="15.75" customHeight="1">
      <c r="A109" s="175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</row>
    <row r="110" ht="15.75" customHeight="1">
      <c r="A110" s="175"/>
      <c r="B110" s="175"/>
      <c r="C110" s="175"/>
      <c r="D110" s="175"/>
      <c r="E110" s="175"/>
      <c r="F110" s="175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</row>
    <row r="111" ht="15.75" customHeight="1">
      <c r="A111" s="175"/>
      <c r="B111" s="175"/>
      <c r="C111" s="175"/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</row>
    <row r="112" ht="15.75" customHeight="1">
      <c r="A112" s="175"/>
      <c r="B112" s="175"/>
      <c r="C112" s="175"/>
      <c r="D112" s="175"/>
      <c r="E112" s="175"/>
      <c r="F112" s="175"/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</row>
    <row r="113" ht="15.75" customHeight="1">
      <c r="A113" s="175"/>
      <c r="B113" s="175"/>
      <c r="C113" s="175"/>
      <c r="D113" s="175"/>
      <c r="E113" s="175"/>
      <c r="F113" s="175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</row>
    <row r="114" ht="15.75" customHeight="1">
      <c r="A114" s="175"/>
      <c r="B114" s="175"/>
      <c r="C114" s="175"/>
      <c r="D114" s="175"/>
      <c r="E114" s="175"/>
      <c r="F114" s="175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</row>
    <row r="115" ht="15.75" customHeight="1">
      <c r="A115" s="175"/>
      <c r="B115" s="175"/>
      <c r="C115" s="175"/>
      <c r="D115" s="175"/>
      <c r="E115" s="175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</row>
    <row r="116" ht="15.75" customHeight="1">
      <c r="A116" s="175"/>
      <c r="B116" s="175"/>
      <c r="C116" s="175"/>
      <c r="D116" s="175"/>
      <c r="E116" s="175"/>
      <c r="F116" s="175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</row>
    <row r="117" ht="15.75" customHeight="1">
      <c r="A117" s="175"/>
      <c r="B117" s="175"/>
      <c r="C117" s="175"/>
      <c r="D117" s="175"/>
      <c r="E117" s="175"/>
      <c r="F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  <c r="Z117" s="175"/>
    </row>
    <row r="118" ht="15.75" customHeight="1">
      <c r="A118" s="175"/>
      <c r="B118" s="175"/>
      <c r="C118" s="175"/>
      <c r="D118" s="175"/>
      <c r="E118" s="175"/>
      <c r="F118" s="175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</row>
    <row r="119" ht="15.75" customHeight="1">
      <c r="A119" s="175"/>
      <c r="B119" s="175"/>
      <c r="C119" s="175"/>
      <c r="D119" s="175"/>
      <c r="E119" s="175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</row>
    <row r="120" ht="15.75" customHeight="1">
      <c r="A120" s="175"/>
      <c r="B120" s="175"/>
      <c r="C120" s="175"/>
      <c r="D120" s="175"/>
      <c r="E120" s="175"/>
      <c r="F120" s="175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</row>
    <row r="121" ht="15.75" customHeight="1">
      <c r="A121" s="175"/>
      <c r="B121" s="175"/>
      <c r="C121" s="175"/>
      <c r="D121" s="175"/>
      <c r="E121" s="175"/>
      <c r="F121" s="175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</row>
    <row r="122" ht="15.75" customHeight="1">
      <c r="A122" s="175"/>
      <c r="B122" s="175"/>
      <c r="C122" s="175"/>
      <c r="D122" s="175"/>
      <c r="E122" s="175"/>
      <c r="F122" s="175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</row>
    <row r="123" ht="15.75" customHeight="1">
      <c r="A123" s="175"/>
      <c r="B123" s="175"/>
      <c r="C123" s="175"/>
      <c r="D123" s="175"/>
      <c r="E123" s="175"/>
      <c r="F123" s="175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</row>
    <row r="124" ht="15.75" customHeight="1">
      <c r="A124" s="175"/>
      <c r="B124" s="175"/>
      <c r="C124" s="175"/>
      <c r="D124" s="175"/>
      <c r="E124" s="175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</row>
    <row r="125" ht="15.75" customHeight="1">
      <c r="A125" s="175"/>
      <c r="B125" s="175"/>
      <c r="C125" s="175"/>
      <c r="D125" s="175"/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</row>
    <row r="126" ht="15.75" customHeight="1">
      <c r="A126" s="175"/>
      <c r="B126" s="175"/>
      <c r="C126" s="175"/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</row>
    <row r="127" ht="15.75" customHeight="1">
      <c r="A127" s="175"/>
      <c r="B127" s="175"/>
      <c r="C127" s="175"/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</row>
    <row r="128" ht="15.75" customHeight="1">
      <c r="A128" s="175"/>
      <c r="B128" s="175"/>
      <c r="C128" s="175"/>
      <c r="D128" s="175"/>
      <c r="E128" s="175"/>
      <c r="F128" s="175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</row>
    <row r="129" ht="15.75" customHeight="1">
      <c r="A129" s="175"/>
      <c r="B129" s="175"/>
      <c r="C129" s="175"/>
      <c r="D129" s="175"/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</row>
    <row r="130" ht="15.75" customHeight="1">
      <c r="A130" s="175"/>
      <c r="B130" s="175"/>
      <c r="C130" s="175"/>
      <c r="D130" s="175"/>
      <c r="E130" s="175"/>
      <c r="F130" s="175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</row>
    <row r="131" ht="15.75" customHeight="1">
      <c r="A131" s="175"/>
      <c r="B131" s="175"/>
      <c r="C131" s="175"/>
      <c r="D131" s="175"/>
      <c r="E131" s="175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</row>
    <row r="132" ht="15.75" customHeight="1">
      <c r="A132" s="175"/>
      <c r="B132" s="175"/>
      <c r="C132" s="175"/>
      <c r="D132" s="175"/>
      <c r="E132" s="175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</row>
    <row r="133" ht="15.75" customHeight="1">
      <c r="A133" s="175"/>
      <c r="B133" s="175"/>
      <c r="C133" s="175"/>
      <c r="D133" s="175"/>
      <c r="E133" s="175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</row>
    <row r="134" ht="15.75" customHeight="1">
      <c r="A134" s="175"/>
      <c r="B134" s="175"/>
      <c r="C134" s="175"/>
      <c r="D134" s="175"/>
      <c r="E134" s="175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</row>
    <row r="135" ht="15.75" customHeight="1">
      <c r="A135" s="175"/>
      <c r="B135" s="175"/>
      <c r="C135" s="175"/>
      <c r="D135" s="175"/>
      <c r="E135" s="175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</row>
    <row r="136" ht="15.75" customHeight="1">
      <c r="A136" s="175"/>
      <c r="B136" s="175"/>
      <c r="C136" s="175"/>
      <c r="D136" s="175"/>
      <c r="E136" s="175"/>
      <c r="F136" s="175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</row>
    <row r="137" ht="15.75" customHeight="1">
      <c r="A137" s="175"/>
      <c r="B137" s="175"/>
      <c r="C137" s="175"/>
      <c r="D137" s="175"/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</row>
    <row r="138" ht="15.75" customHeight="1">
      <c r="A138" s="175"/>
      <c r="B138" s="175"/>
      <c r="C138" s="175"/>
      <c r="D138" s="175"/>
      <c r="E138" s="175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</row>
    <row r="139" ht="15.75" customHeight="1">
      <c r="A139" s="175"/>
      <c r="B139" s="175"/>
      <c r="C139" s="175"/>
      <c r="D139" s="175"/>
      <c r="E139" s="175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</row>
    <row r="140" ht="15.75" customHeight="1">
      <c r="A140" s="175"/>
      <c r="B140" s="175"/>
      <c r="C140" s="175"/>
      <c r="D140" s="175"/>
      <c r="E140" s="175"/>
      <c r="F140" s="175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</row>
    <row r="141" ht="15.75" customHeight="1">
      <c r="A141" s="175"/>
      <c r="B141" s="175"/>
      <c r="C141" s="175"/>
      <c r="D141" s="175"/>
      <c r="E141" s="175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</row>
    <row r="142" ht="15.75" customHeight="1">
      <c r="A142" s="175"/>
      <c r="B142" s="175"/>
      <c r="C142" s="175"/>
      <c r="D142" s="175"/>
      <c r="E142" s="175"/>
      <c r="F142" s="175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</row>
    <row r="143" ht="15.75" customHeight="1">
      <c r="A143" s="175"/>
      <c r="B143" s="175"/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</row>
    <row r="144" ht="15.75" customHeight="1">
      <c r="A144" s="175"/>
      <c r="B144" s="175"/>
      <c r="C144" s="175"/>
      <c r="D144" s="175"/>
      <c r="E144" s="175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</row>
    <row r="145" ht="15.75" customHeight="1">
      <c r="A145" s="175"/>
      <c r="B145" s="175"/>
      <c r="C145" s="175"/>
      <c r="D145" s="175"/>
      <c r="E145" s="175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</row>
    <row r="146" ht="15.75" customHeight="1">
      <c r="A146" s="175"/>
      <c r="B146" s="175"/>
      <c r="C146" s="175"/>
      <c r="D146" s="175"/>
      <c r="E146" s="175"/>
      <c r="F146" s="175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</row>
    <row r="147" ht="15.75" customHeight="1">
      <c r="A147" s="175"/>
      <c r="B147" s="175"/>
      <c r="C147" s="175"/>
      <c r="D147" s="175"/>
      <c r="E147" s="175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</row>
    <row r="148" ht="15.75" customHeight="1">
      <c r="A148" s="175"/>
      <c r="B148" s="175"/>
      <c r="C148" s="175"/>
      <c r="D148" s="175"/>
      <c r="E148" s="175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</row>
    <row r="149" ht="15.75" customHeight="1">
      <c r="A149" s="175"/>
      <c r="B149" s="175"/>
      <c r="C149" s="175"/>
      <c r="D149" s="175"/>
      <c r="E149" s="175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</row>
    <row r="150" ht="15.75" customHeight="1">
      <c r="A150" s="175"/>
      <c r="B150" s="175"/>
      <c r="C150" s="175"/>
      <c r="D150" s="175"/>
      <c r="E150" s="175"/>
      <c r="F150" s="175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</row>
    <row r="151" ht="15.75" customHeight="1">
      <c r="A151" s="175"/>
      <c r="B151" s="175"/>
      <c r="C151" s="175"/>
      <c r="D151" s="175"/>
      <c r="E151" s="175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</row>
    <row r="152" ht="15.75" customHeight="1">
      <c r="A152" s="175"/>
      <c r="B152" s="175"/>
      <c r="C152" s="175"/>
      <c r="D152" s="175"/>
      <c r="E152" s="175"/>
      <c r="F152" s="175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</row>
    <row r="153" ht="15.75" customHeight="1">
      <c r="A153" s="175"/>
      <c r="B153" s="175"/>
      <c r="C153" s="175"/>
      <c r="D153" s="175"/>
      <c r="E153" s="175"/>
      <c r="F153" s="175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</row>
    <row r="154" ht="15.75" customHeight="1">
      <c r="A154" s="175"/>
      <c r="B154" s="175"/>
      <c r="C154" s="175"/>
      <c r="D154" s="175"/>
      <c r="E154" s="175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</row>
    <row r="155" ht="15.75" customHeight="1">
      <c r="A155" s="175"/>
      <c r="B155" s="175"/>
      <c r="C155" s="175"/>
      <c r="D155" s="175"/>
      <c r="E155" s="175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  <c r="Z155" s="175"/>
    </row>
    <row r="156" ht="15.75" customHeight="1">
      <c r="A156" s="175"/>
      <c r="B156" s="175"/>
      <c r="C156" s="175"/>
      <c r="D156" s="175"/>
      <c r="E156" s="175"/>
      <c r="F156" s="175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  <c r="Z156" s="175"/>
    </row>
    <row r="157" ht="15.75" customHeight="1">
      <c r="A157" s="175"/>
      <c r="B157" s="175"/>
      <c r="C157" s="175"/>
      <c r="D157" s="175"/>
      <c r="E157" s="175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  <c r="Z157" s="175"/>
    </row>
    <row r="158" ht="15.75" customHeight="1">
      <c r="A158" s="175"/>
      <c r="B158" s="175"/>
      <c r="C158" s="175"/>
      <c r="D158" s="175"/>
      <c r="E158" s="175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  <c r="Z158" s="175"/>
    </row>
    <row r="159" ht="15.75" customHeight="1">
      <c r="A159" s="175"/>
      <c r="B159" s="175"/>
      <c r="C159" s="175"/>
      <c r="D159" s="175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  <c r="Z159" s="175"/>
    </row>
    <row r="160" ht="15.75" customHeight="1">
      <c r="A160" s="175"/>
      <c r="B160" s="175"/>
      <c r="C160" s="175"/>
      <c r="D160" s="175"/>
      <c r="E160" s="175"/>
      <c r="F160" s="175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  <c r="Z160" s="175"/>
    </row>
    <row r="161" ht="15.75" customHeight="1">
      <c r="A161" s="175"/>
      <c r="B161" s="175"/>
      <c r="C161" s="175"/>
      <c r="D161" s="175"/>
      <c r="E161" s="175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  <c r="Z161" s="175"/>
    </row>
    <row r="162" ht="15.75" customHeight="1">
      <c r="A162" s="175"/>
      <c r="B162" s="175"/>
      <c r="C162" s="175"/>
      <c r="D162" s="175"/>
      <c r="E162" s="175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</row>
    <row r="163" ht="15.75" customHeight="1">
      <c r="A163" s="175"/>
      <c r="B163" s="175"/>
      <c r="C163" s="175"/>
      <c r="D163" s="175"/>
      <c r="E163" s="175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  <c r="Z163" s="175"/>
    </row>
    <row r="164" ht="15.75" customHeight="1">
      <c r="A164" s="175"/>
      <c r="B164" s="175"/>
      <c r="C164" s="175"/>
      <c r="D164" s="175"/>
      <c r="E164" s="175"/>
      <c r="F164" s="175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</row>
    <row r="165" ht="15.75" customHeight="1">
      <c r="A165" s="175"/>
      <c r="B165" s="175"/>
      <c r="C165" s="175"/>
      <c r="D165" s="175"/>
      <c r="E165" s="175"/>
      <c r="F165" s="175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  <c r="Z165" s="175"/>
    </row>
    <row r="166" ht="15.75" customHeight="1">
      <c r="A166" s="175"/>
      <c r="B166" s="175"/>
      <c r="C166" s="175"/>
      <c r="D166" s="175"/>
      <c r="E166" s="175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</row>
    <row r="167" ht="15.75" customHeight="1">
      <c r="A167" s="175"/>
      <c r="B167" s="175"/>
      <c r="C167" s="175"/>
      <c r="D167" s="175"/>
      <c r="E167" s="175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  <c r="Z167" s="175"/>
    </row>
    <row r="168" ht="15.75" customHeight="1">
      <c r="A168" s="175"/>
      <c r="B168" s="175"/>
      <c r="C168" s="175"/>
      <c r="D168" s="175"/>
      <c r="E168" s="175"/>
      <c r="F168" s="175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  <c r="Z168" s="175"/>
    </row>
    <row r="169" ht="15.75" customHeight="1">
      <c r="A169" s="175"/>
      <c r="B169" s="175"/>
      <c r="C169" s="175"/>
      <c r="D169" s="175"/>
      <c r="E169" s="175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  <c r="Z169" s="175"/>
    </row>
    <row r="170" ht="15.75" customHeight="1">
      <c r="A170" s="175"/>
      <c r="B170" s="175"/>
      <c r="C170" s="175"/>
      <c r="D170" s="175"/>
      <c r="E170" s="175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</row>
    <row r="171" ht="15.75" customHeight="1">
      <c r="A171" s="175"/>
      <c r="B171" s="175"/>
      <c r="C171" s="175"/>
      <c r="D171" s="175"/>
      <c r="E171" s="175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</row>
    <row r="172" ht="15.75" customHeight="1">
      <c r="A172" s="175"/>
      <c r="B172" s="175"/>
      <c r="C172" s="175"/>
      <c r="D172" s="175"/>
      <c r="E172" s="175"/>
      <c r="F172" s="175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</row>
    <row r="173" ht="15.75" customHeight="1">
      <c r="A173" s="175"/>
      <c r="B173" s="175"/>
      <c r="C173" s="175"/>
      <c r="D173" s="175"/>
      <c r="E173" s="175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</row>
    <row r="174" ht="15.75" customHeight="1">
      <c r="A174" s="175"/>
      <c r="B174" s="175"/>
      <c r="C174" s="175"/>
      <c r="D174" s="175"/>
      <c r="E174" s="175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</row>
    <row r="175" ht="15.75" customHeight="1">
      <c r="A175" s="175"/>
      <c r="B175" s="175"/>
      <c r="C175" s="175"/>
      <c r="D175" s="175"/>
      <c r="E175" s="175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</row>
    <row r="176" ht="15.75" customHeight="1">
      <c r="A176" s="175"/>
      <c r="B176" s="175"/>
      <c r="C176" s="175"/>
      <c r="D176" s="175"/>
      <c r="E176" s="175"/>
      <c r="F176" s="175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</row>
    <row r="177" ht="15.75" customHeight="1">
      <c r="A177" s="175"/>
      <c r="B177" s="175"/>
      <c r="C177" s="175"/>
      <c r="D177" s="175"/>
      <c r="E177" s="175"/>
      <c r="F177" s="175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</row>
    <row r="178" ht="15.75" customHeight="1">
      <c r="A178" s="175"/>
      <c r="B178" s="175"/>
      <c r="C178" s="175"/>
      <c r="D178" s="175"/>
      <c r="E178" s="175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  <c r="Z178" s="175"/>
    </row>
    <row r="179" ht="15.75" customHeight="1">
      <c r="A179" s="175"/>
      <c r="B179" s="175"/>
      <c r="C179" s="175"/>
      <c r="D179" s="175"/>
      <c r="E179" s="175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  <c r="Z179" s="175"/>
    </row>
    <row r="180" ht="15.75" customHeight="1">
      <c r="A180" s="175"/>
      <c r="B180" s="175"/>
      <c r="C180" s="175"/>
      <c r="D180" s="175"/>
      <c r="E180" s="175"/>
      <c r="F180" s="175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  <c r="Z180" s="175"/>
    </row>
    <row r="181" ht="15.75" customHeight="1">
      <c r="A181" s="175"/>
      <c r="B181" s="175"/>
      <c r="C181" s="175"/>
      <c r="D181" s="175"/>
      <c r="E181" s="175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  <c r="Z181" s="175"/>
    </row>
    <row r="182" ht="15.75" customHeight="1">
      <c r="A182" s="175"/>
      <c r="B182" s="175"/>
      <c r="C182" s="175"/>
      <c r="D182" s="175"/>
      <c r="E182" s="175"/>
      <c r="F182" s="175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  <c r="Z182" s="175"/>
    </row>
    <row r="183" ht="15.75" customHeight="1">
      <c r="A183" s="175"/>
      <c r="B183" s="175"/>
      <c r="C183" s="175"/>
      <c r="D183" s="175"/>
      <c r="E183" s="175"/>
      <c r="F183" s="175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  <c r="Z183" s="175"/>
    </row>
    <row r="184" ht="15.75" customHeight="1">
      <c r="A184" s="175"/>
      <c r="B184" s="175"/>
      <c r="C184" s="175"/>
      <c r="D184" s="175"/>
      <c r="E184" s="175"/>
      <c r="F184" s="175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  <c r="Z184" s="175"/>
    </row>
    <row r="185" ht="15.75" customHeight="1">
      <c r="A185" s="175"/>
      <c r="B185" s="175"/>
      <c r="C185" s="175"/>
      <c r="D185" s="175"/>
      <c r="E185" s="175"/>
      <c r="F185" s="175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  <c r="Z185" s="175"/>
    </row>
    <row r="186" ht="15.75" customHeight="1">
      <c r="A186" s="175"/>
      <c r="B186" s="175"/>
      <c r="C186" s="175"/>
      <c r="D186" s="175"/>
      <c r="E186" s="175"/>
      <c r="F186" s="175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  <c r="Z186" s="175"/>
    </row>
    <row r="187" ht="15.75" customHeight="1">
      <c r="A187" s="175"/>
      <c r="B187" s="175"/>
      <c r="C187" s="175"/>
      <c r="D187" s="175"/>
      <c r="E187" s="175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  <c r="Z187" s="175"/>
    </row>
    <row r="188" ht="15.75" customHeight="1">
      <c r="A188" s="175"/>
      <c r="B188" s="175"/>
      <c r="C188" s="175"/>
      <c r="D188" s="175"/>
      <c r="E188" s="175"/>
      <c r="F188" s="175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  <c r="Z188" s="175"/>
    </row>
    <row r="189" ht="15.75" customHeight="1">
      <c r="A189" s="175"/>
      <c r="B189" s="175"/>
      <c r="C189" s="175"/>
      <c r="D189" s="175"/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  <c r="Z189" s="175"/>
    </row>
    <row r="190" ht="15.75" customHeight="1">
      <c r="A190" s="175"/>
      <c r="B190" s="175"/>
      <c r="C190" s="175"/>
      <c r="D190" s="175"/>
      <c r="E190" s="175"/>
      <c r="F190" s="175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  <c r="Z190" s="175"/>
    </row>
    <row r="191" ht="15.75" customHeight="1">
      <c r="A191" s="175"/>
      <c r="B191" s="175"/>
      <c r="C191" s="175"/>
      <c r="D191" s="175"/>
      <c r="E191" s="175"/>
      <c r="F191" s="175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  <c r="Z191" s="175"/>
    </row>
    <row r="192" ht="15.75" customHeight="1">
      <c r="A192" s="175"/>
      <c r="B192" s="175"/>
      <c r="C192" s="175"/>
      <c r="D192" s="175"/>
      <c r="E192" s="175"/>
      <c r="F192" s="175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  <c r="Z192" s="175"/>
    </row>
    <row r="193" ht="15.75" customHeight="1">
      <c r="A193" s="175"/>
      <c r="B193" s="175"/>
      <c r="C193" s="175"/>
      <c r="D193" s="175"/>
      <c r="E193" s="175"/>
      <c r="F193" s="175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  <c r="Z193" s="175"/>
    </row>
    <row r="194" ht="15.75" customHeight="1">
      <c r="A194" s="175"/>
      <c r="B194" s="175"/>
      <c r="C194" s="175"/>
      <c r="D194" s="175"/>
      <c r="E194" s="175"/>
      <c r="F194" s="175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  <c r="Z194" s="175"/>
    </row>
    <row r="195" ht="15.75" customHeight="1">
      <c r="A195" s="175"/>
      <c r="B195" s="175"/>
      <c r="C195" s="175"/>
      <c r="D195" s="175"/>
      <c r="E195" s="175"/>
      <c r="F195" s="175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  <c r="Z195" s="175"/>
    </row>
    <row r="196" ht="15.75" customHeight="1">
      <c r="A196" s="175"/>
      <c r="B196" s="175"/>
      <c r="C196" s="175"/>
      <c r="D196" s="175"/>
      <c r="E196" s="175"/>
      <c r="F196" s="175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  <c r="Z196" s="175"/>
    </row>
    <row r="197" ht="15.75" customHeight="1">
      <c r="A197" s="175"/>
      <c r="B197" s="175"/>
      <c r="C197" s="175"/>
      <c r="D197" s="175"/>
      <c r="E197" s="175"/>
      <c r="F197" s="175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  <c r="Z197" s="175"/>
    </row>
    <row r="198" ht="15.75" customHeight="1">
      <c r="A198" s="175"/>
      <c r="B198" s="175"/>
      <c r="C198" s="175"/>
      <c r="D198" s="175"/>
      <c r="E198" s="175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  <c r="Z198" s="175"/>
    </row>
    <row r="199" ht="15.75" customHeight="1">
      <c r="A199" s="175"/>
      <c r="B199" s="175"/>
      <c r="C199" s="175"/>
      <c r="D199" s="175"/>
      <c r="E199" s="175"/>
      <c r="F199" s="175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  <c r="Z199" s="175"/>
    </row>
    <row r="200" ht="15.75" customHeight="1">
      <c r="A200" s="175"/>
      <c r="B200" s="175"/>
      <c r="C200" s="175"/>
      <c r="D200" s="175"/>
      <c r="E200" s="175"/>
      <c r="F200" s="175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  <c r="Z200" s="175"/>
    </row>
    <row r="201" ht="15.75" customHeight="1">
      <c r="A201" s="175"/>
      <c r="B201" s="175"/>
      <c r="C201" s="175"/>
      <c r="D201" s="175"/>
      <c r="E201" s="175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  <c r="Z201" s="175"/>
    </row>
    <row r="202" ht="15.75" customHeight="1">
      <c r="A202" s="175"/>
      <c r="B202" s="175"/>
      <c r="C202" s="175"/>
      <c r="D202" s="175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  <c r="Z202" s="175"/>
    </row>
    <row r="203" ht="15.75" customHeight="1">
      <c r="A203" s="175"/>
      <c r="B203" s="175"/>
      <c r="C203" s="175"/>
      <c r="D203" s="175"/>
      <c r="E203" s="175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  <c r="Z203" s="175"/>
    </row>
    <row r="204" ht="15.75" customHeight="1">
      <c r="A204" s="175"/>
      <c r="B204" s="175"/>
      <c r="C204" s="175"/>
      <c r="D204" s="175"/>
      <c r="E204" s="175"/>
      <c r="F204" s="175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  <c r="Z204" s="175"/>
    </row>
    <row r="205" ht="15.75" customHeight="1">
      <c r="A205" s="175"/>
      <c r="B205" s="175"/>
      <c r="C205" s="175"/>
      <c r="D205" s="175"/>
      <c r="E205" s="175"/>
      <c r="F205" s="175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  <c r="Z205" s="175"/>
    </row>
    <row r="206" ht="15.75" customHeight="1">
      <c r="A206" s="175"/>
      <c r="B206" s="175"/>
      <c r="C206" s="175"/>
      <c r="D206" s="175"/>
      <c r="E206" s="175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  <c r="Z206" s="175"/>
    </row>
    <row r="207" ht="15.75" customHeight="1">
      <c r="A207" s="175"/>
      <c r="B207" s="175"/>
      <c r="C207" s="175"/>
      <c r="D207" s="175"/>
      <c r="E207" s="175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  <c r="Z207" s="175"/>
    </row>
    <row r="208" ht="15.75" customHeight="1">
      <c r="A208" s="175"/>
      <c r="B208" s="175"/>
      <c r="C208" s="175"/>
      <c r="D208" s="175"/>
      <c r="E208" s="175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</row>
    <row r="209" ht="15.75" customHeight="1">
      <c r="A209" s="175"/>
      <c r="B209" s="175"/>
      <c r="C209" s="175"/>
      <c r="D209" s="175"/>
      <c r="E209" s="175"/>
      <c r="F209" s="175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  <c r="Z209" s="175"/>
    </row>
    <row r="210" ht="15.75" customHeight="1">
      <c r="A210" s="175"/>
      <c r="B210" s="175"/>
      <c r="C210" s="175"/>
      <c r="D210" s="175"/>
      <c r="E210" s="175"/>
      <c r="F210" s="175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  <c r="Z210" s="175"/>
    </row>
    <row r="211" ht="15.75" customHeight="1">
      <c r="A211" s="175"/>
      <c r="B211" s="175"/>
      <c r="C211" s="175"/>
      <c r="D211" s="175"/>
      <c r="E211" s="175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  <c r="Z211" s="175"/>
    </row>
    <row r="212" ht="15.75" customHeight="1">
      <c r="A212" s="175"/>
      <c r="B212" s="175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  <c r="Z212" s="175"/>
    </row>
    <row r="213" ht="15.75" customHeight="1">
      <c r="A213" s="175"/>
      <c r="B213" s="175"/>
      <c r="C213" s="175"/>
      <c r="D213" s="175"/>
      <c r="E213" s="175"/>
      <c r="F213" s="175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  <c r="Z213" s="175"/>
    </row>
    <row r="214" ht="15.75" customHeight="1">
      <c r="A214" s="175"/>
      <c r="B214" s="175"/>
      <c r="C214" s="175"/>
      <c r="D214" s="175"/>
      <c r="E214" s="175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  <c r="Z214" s="175"/>
    </row>
    <row r="215" ht="15.75" customHeight="1">
      <c r="A215" s="175"/>
      <c r="B215" s="175"/>
      <c r="C215" s="175"/>
      <c r="D215" s="175"/>
      <c r="E215" s="175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  <c r="Z215" s="175"/>
    </row>
    <row r="216" ht="15.75" customHeight="1">
      <c r="A216" s="175"/>
      <c r="B216" s="175"/>
      <c r="C216" s="175"/>
      <c r="D216" s="175"/>
      <c r="E216" s="175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  <c r="Z216" s="175"/>
    </row>
    <row r="217" ht="15.75" customHeight="1">
      <c r="A217" s="175"/>
      <c r="B217" s="175"/>
      <c r="C217" s="175"/>
      <c r="D217" s="175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  <c r="Z217" s="175"/>
    </row>
    <row r="218" ht="15.75" customHeight="1">
      <c r="A218" s="175"/>
      <c r="B218" s="175"/>
      <c r="C218" s="175"/>
      <c r="D218" s="175"/>
      <c r="E218" s="175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  <c r="Z218" s="175"/>
    </row>
    <row r="219" ht="15.75" customHeight="1">
      <c r="A219" s="175"/>
      <c r="B219" s="175"/>
      <c r="C219" s="175"/>
      <c r="D219" s="175"/>
      <c r="E219" s="175"/>
      <c r="F219" s="175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  <c r="Z219" s="175"/>
    </row>
    <row r="220" ht="15.75" customHeight="1">
      <c r="A220" s="175"/>
      <c r="B220" s="175"/>
      <c r="C220" s="175"/>
      <c r="D220" s="175"/>
      <c r="E220" s="175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  <c r="Z220" s="175"/>
    </row>
    <row r="221" ht="15.75" customHeight="1">
      <c r="A221" s="175"/>
      <c r="B221" s="175"/>
      <c r="C221" s="175"/>
      <c r="D221" s="175"/>
      <c r="E221" s="175"/>
      <c r="F221" s="175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  <c r="Y221" s="175"/>
      <c r="Z221" s="175"/>
    </row>
    <row r="222" ht="15.75" customHeight="1">
      <c r="A222" s="175"/>
      <c r="B222" s="175"/>
      <c r="C222" s="175"/>
      <c r="D222" s="175"/>
      <c r="E222" s="175"/>
      <c r="F222" s="175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  <c r="Z222" s="175"/>
    </row>
    <row r="223" ht="15.75" customHeight="1">
      <c r="A223" s="175"/>
      <c r="B223" s="175"/>
      <c r="C223" s="175"/>
      <c r="D223" s="175"/>
      <c r="E223" s="175"/>
      <c r="F223" s="175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  <c r="Z223" s="175"/>
    </row>
    <row r="224" ht="15.75" customHeight="1">
      <c r="A224" s="175"/>
      <c r="B224" s="175"/>
      <c r="C224" s="175"/>
      <c r="D224" s="175"/>
      <c r="E224" s="175"/>
      <c r="F224" s="175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  <c r="Z224" s="175"/>
    </row>
    <row r="225" ht="15.75" customHeight="1">
      <c r="A225" s="175"/>
      <c r="B225" s="175"/>
      <c r="C225" s="175"/>
      <c r="D225" s="175"/>
      <c r="E225" s="175"/>
      <c r="F225" s="175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  <c r="Z225" s="175"/>
    </row>
    <row r="226" ht="15.75" customHeight="1">
      <c r="A226" s="175"/>
      <c r="B226" s="175"/>
      <c r="C226" s="175"/>
      <c r="D226" s="175"/>
      <c r="E226" s="175"/>
      <c r="F226" s="175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  <c r="Y226" s="175"/>
      <c r="Z226" s="175"/>
    </row>
    <row r="227" ht="15.75" customHeight="1">
      <c r="A227" s="175"/>
      <c r="B227" s="175"/>
      <c r="C227" s="175"/>
      <c r="D227" s="175"/>
      <c r="E227" s="175"/>
      <c r="F227" s="175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  <c r="Z227" s="175"/>
    </row>
    <row r="228" ht="15.75" customHeight="1">
      <c r="A228" s="175"/>
      <c r="B228" s="175"/>
      <c r="C228" s="175"/>
      <c r="D228" s="175"/>
      <c r="E228" s="175"/>
      <c r="F228" s="175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  <c r="Y228" s="175"/>
      <c r="Z228" s="175"/>
    </row>
    <row r="229" ht="15.75" customHeight="1">
      <c r="A229" s="175"/>
      <c r="B229" s="175"/>
      <c r="C229" s="175"/>
      <c r="D229" s="175"/>
      <c r="E229" s="175"/>
      <c r="F229" s="175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  <c r="Y229" s="175"/>
      <c r="Z229" s="175"/>
    </row>
    <row r="230" ht="15.75" customHeight="1">
      <c r="A230" s="175"/>
      <c r="B230" s="175"/>
      <c r="C230" s="175"/>
      <c r="D230" s="175"/>
      <c r="E230" s="175"/>
      <c r="F230" s="175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5"/>
      <c r="V230" s="175"/>
      <c r="W230" s="175"/>
      <c r="X230" s="175"/>
      <c r="Y230" s="175"/>
      <c r="Z230" s="175"/>
    </row>
    <row r="231" ht="15.75" customHeight="1">
      <c r="A231" s="175"/>
      <c r="B231" s="175"/>
      <c r="C231" s="175"/>
      <c r="D231" s="175"/>
      <c r="E231" s="175"/>
      <c r="F231" s="175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5"/>
      <c r="V231" s="175"/>
      <c r="W231" s="175"/>
      <c r="X231" s="175"/>
      <c r="Y231" s="175"/>
      <c r="Z231" s="175"/>
    </row>
    <row r="232" ht="15.75" customHeight="1">
      <c r="A232" s="175"/>
      <c r="B232" s="175"/>
      <c r="C232" s="175"/>
      <c r="D232" s="175"/>
      <c r="E232" s="175"/>
      <c r="F232" s="175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5"/>
      <c r="V232" s="175"/>
      <c r="W232" s="175"/>
      <c r="X232" s="175"/>
      <c r="Y232" s="175"/>
      <c r="Z232" s="175"/>
    </row>
    <row r="233" ht="15.75" customHeight="1">
      <c r="A233" s="175"/>
      <c r="B233" s="175"/>
      <c r="C233" s="175"/>
      <c r="D233" s="175"/>
      <c r="E233" s="175"/>
      <c r="F233" s="175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5"/>
      <c r="V233" s="175"/>
      <c r="W233" s="175"/>
      <c r="X233" s="175"/>
      <c r="Y233" s="175"/>
      <c r="Z233" s="175"/>
    </row>
    <row r="234" ht="15.75" customHeight="1">
      <c r="A234" s="175"/>
      <c r="B234" s="175"/>
      <c r="C234" s="175"/>
      <c r="D234" s="175"/>
      <c r="E234" s="175"/>
      <c r="F234" s="175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5"/>
      <c r="V234" s="175"/>
      <c r="W234" s="175"/>
      <c r="X234" s="175"/>
      <c r="Y234" s="175"/>
      <c r="Z234" s="175"/>
    </row>
    <row r="235" ht="15.75" customHeight="1">
      <c r="A235" s="175"/>
      <c r="B235" s="175"/>
      <c r="C235" s="175"/>
      <c r="D235" s="175"/>
      <c r="E235" s="175"/>
      <c r="F235" s="175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5"/>
      <c r="V235" s="175"/>
      <c r="W235" s="175"/>
      <c r="X235" s="175"/>
      <c r="Y235" s="175"/>
      <c r="Z235" s="175"/>
    </row>
    <row r="236" ht="15.75" customHeight="1">
      <c r="A236" s="175"/>
      <c r="B236" s="175"/>
      <c r="C236" s="175"/>
      <c r="D236" s="175"/>
      <c r="E236" s="175"/>
      <c r="F236" s="175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5"/>
      <c r="V236" s="175"/>
      <c r="W236" s="175"/>
      <c r="X236" s="175"/>
      <c r="Y236" s="175"/>
      <c r="Z236" s="175"/>
    </row>
    <row r="237" ht="15.75" customHeight="1">
      <c r="A237" s="175"/>
      <c r="B237" s="175"/>
      <c r="C237" s="175"/>
      <c r="D237" s="175"/>
      <c r="E237" s="175"/>
      <c r="F237" s="175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5"/>
      <c r="V237" s="175"/>
      <c r="W237" s="175"/>
      <c r="X237" s="175"/>
      <c r="Y237" s="175"/>
      <c r="Z237" s="175"/>
    </row>
    <row r="238" ht="15.75" customHeight="1">
      <c r="A238" s="175"/>
      <c r="B238" s="175"/>
      <c r="C238" s="175"/>
      <c r="D238" s="175"/>
      <c r="E238" s="175"/>
      <c r="F238" s="175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5"/>
      <c r="V238" s="175"/>
      <c r="W238" s="175"/>
      <c r="X238" s="175"/>
      <c r="Y238" s="175"/>
      <c r="Z238" s="175"/>
    </row>
    <row r="239" ht="15.75" customHeight="1">
      <c r="A239" s="175"/>
      <c r="B239" s="175"/>
      <c r="C239" s="175"/>
      <c r="D239" s="175"/>
      <c r="E239" s="175"/>
      <c r="F239" s="175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5"/>
      <c r="V239" s="175"/>
      <c r="W239" s="175"/>
      <c r="X239" s="175"/>
      <c r="Y239" s="175"/>
      <c r="Z239" s="175"/>
    </row>
    <row r="240" ht="15.75" customHeight="1">
      <c r="A240" s="175"/>
      <c r="B240" s="175"/>
      <c r="C240" s="175"/>
      <c r="D240" s="175"/>
      <c r="E240" s="175"/>
      <c r="F240" s="175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5"/>
      <c r="V240" s="175"/>
      <c r="W240" s="175"/>
      <c r="X240" s="175"/>
      <c r="Y240" s="175"/>
      <c r="Z240" s="175"/>
    </row>
    <row r="241" ht="15.75" customHeight="1">
      <c r="A241" s="175"/>
      <c r="B241" s="175"/>
      <c r="C241" s="175"/>
      <c r="D241" s="175"/>
      <c r="E241" s="175"/>
      <c r="F241" s="175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  <c r="Y241" s="175"/>
      <c r="Z241" s="175"/>
    </row>
    <row r="242" ht="15.75" customHeight="1">
      <c r="A242" s="175"/>
      <c r="B242" s="175"/>
      <c r="C242" s="175"/>
      <c r="D242" s="175"/>
      <c r="E242" s="175"/>
      <c r="F242" s="175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/>
      <c r="Y242" s="175"/>
      <c r="Z242" s="175"/>
    </row>
    <row r="243" ht="15.75" customHeight="1">
      <c r="A243" s="175"/>
      <c r="B243" s="175"/>
      <c r="C243" s="175"/>
      <c r="D243" s="175"/>
      <c r="E243" s="175"/>
      <c r="F243" s="175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/>
      <c r="Y243" s="175"/>
      <c r="Z243" s="175"/>
    </row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27.0"/>
    <col customWidth="1" min="4" max="4" width="12.0"/>
    <col customWidth="1" min="5" max="5" width="46.0"/>
    <col customWidth="1" min="6" max="6" width="9.14"/>
    <col customWidth="1" min="7" max="7" width="10.0"/>
    <col customWidth="1" min="8" max="8" width="30.0"/>
    <col customWidth="1" min="9" max="26" width="9.14"/>
  </cols>
  <sheetData>
    <row r="1" ht="19.5" customHeight="1">
      <c r="A1" s="190" t="s">
        <v>476</v>
      </c>
      <c r="B1" s="95"/>
      <c r="C1" s="95"/>
      <c r="D1" s="95"/>
      <c r="E1" s="98"/>
      <c r="G1" s="192" t="s">
        <v>477</v>
      </c>
      <c r="H1" s="192" t="s">
        <v>480</v>
      </c>
    </row>
    <row r="2" ht="19.5" customHeight="1">
      <c r="A2" s="193" t="s">
        <v>481</v>
      </c>
      <c r="B2" s="95"/>
      <c r="C2" s="95"/>
      <c r="D2" s="95"/>
      <c r="E2" s="98"/>
      <c r="G2" s="71" t="s">
        <v>84</v>
      </c>
      <c r="H2" s="71" t="s">
        <v>484</v>
      </c>
    </row>
    <row r="3" ht="19.5" customHeight="1">
      <c r="A3" s="194"/>
      <c r="G3" s="71" t="s">
        <v>130</v>
      </c>
      <c r="H3" s="71" t="s">
        <v>485</v>
      </c>
    </row>
    <row r="4" ht="19.5" customHeight="1">
      <c r="A4" s="195" t="s">
        <v>486</v>
      </c>
      <c r="B4" s="195" t="s">
        <v>487</v>
      </c>
      <c r="C4" s="195" t="s">
        <v>488</v>
      </c>
      <c r="D4" s="195" t="s">
        <v>489</v>
      </c>
      <c r="E4" s="195" t="s">
        <v>490</v>
      </c>
      <c r="G4" s="71" t="s">
        <v>164</v>
      </c>
      <c r="H4" s="71" t="s">
        <v>491</v>
      </c>
    </row>
    <row r="5" ht="19.5" customHeight="1">
      <c r="A5" s="196" t="s">
        <v>492</v>
      </c>
      <c r="B5" s="72" t="s">
        <v>40</v>
      </c>
      <c r="C5" s="72" t="s">
        <v>95</v>
      </c>
      <c r="D5" s="197" t="str">
        <f>'3. Cuantificación Frecuencias'!$S$7</f>
        <v>A</v>
      </c>
      <c r="E5" s="198" t="s">
        <v>494</v>
      </c>
      <c r="G5" s="71" t="s">
        <v>206</v>
      </c>
      <c r="H5" s="71" t="s">
        <v>495</v>
      </c>
    </row>
    <row r="6" ht="19.5" customHeight="1">
      <c r="A6" s="196" t="s">
        <v>497</v>
      </c>
      <c r="B6" s="72" t="s">
        <v>40</v>
      </c>
      <c r="C6" s="72" t="s">
        <v>110</v>
      </c>
      <c r="D6" s="199" t="str">
        <f t="shared" ref="D6:D20" si="1">"U"</f>
        <v>U</v>
      </c>
      <c r="E6" s="198" t="s">
        <v>499</v>
      </c>
      <c r="G6" s="71" t="s">
        <v>500</v>
      </c>
      <c r="H6" s="71" t="s">
        <v>501</v>
      </c>
    </row>
    <row r="7" ht="19.5" customHeight="1">
      <c r="A7" s="196" t="s">
        <v>502</v>
      </c>
      <c r="B7" s="72" t="s">
        <v>40</v>
      </c>
      <c r="C7" s="72" t="s">
        <v>134</v>
      </c>
      <c r="D7" s="199" t="str">
        <f t="shared" si="1"/>
        <v>U</v>
      </c>
      <c r="E7" s="198" t="s">
        <v>499</v>
      </c>
      <c r="G7" s="71" t="s">
        <v>503</v>
      </c>
      <c r="H7" s="71" t="s">
        <v>504</v>
      </c>
    </row>
    <row r="8" ht="19.5" customHeight="1">
      <c r="A8" s="196" t="s">
        <v>505</v>
      </c>
      <c r="B8" s="72" t="s">
        <v>40</v>
      </c>
      <c r="C8" s="72" t="s">
        <v>142</v>
      </c>
      <c r="D8" s="199" t="str">
        <f t="shared" si="1"/>
        <v>U</v>
      </c>
      <c r="E8" s="198" t="s">
        <v>499</v>
      </c>
    </row>
    <row r="9" ht="19.5" customHeight="1">
      <c r="A9" s="196" t="s">
        <v>506</v>
      </c>
      <c r="B9" s="72" t="s">
        <v>40</v>
      </c>
      <c r="C9" s="72" t="s">
        <v>148</v>
      </c>
      <c r="D9" s="199" t="str">
        <f t="shared" si="1"/>
        <v>U</v>
      </c>
      <c r="E9" s="198" t="s">
        <v>499</v>
      </c>
    </row>
    <row r="10" ht="19.5" customHeight="1">
      <c r="A10" s="196" t="s">
        <v>507</v>
      </c>
      <c r="B10" s="72" t="s">
        <v>40</v>
      </c>
      <c r="C10" s="72" t="s">
        <v>154</v>
      </c>
      <c r="D10" s="199" t="str">
        <f t="shared" si="1"/>
        <v>U</v>
      </c>
      <c r="E10" s="198" t="s">
        <v>499</v>
      </c>
    </row>
    <row r="11" ht="19.5" customHeight="1">
      <c r="A11" s="196" t="s">
        <v>508</v>
      </c>
      <c r="B11" s="72" t="s">
        <v>40</v>
      </c>
      <c r="C11" s="72" t="s">
        <v>380</v>
      </c>
      <c r="D11" s="199" t="str">
        <f t="shared" si="1"/>
        <v>U</v>
      </c>
      <c r="E11" s="198" t="s">
        <v>499</v>
      </c>
    </row>
    <row r="12" ht="19.5" customHeight="1">
      <c r="A12" s="196" t="s">
        <v>509</v>
      </c>
      <c r="B12" s="72" t="s">
        <v>40</v>
      </c>
      <c r="C12" s="72" t="s">
        <v>381</v>
      </c>
      <c r="D12" s="199" t="str">
        <f t="shared" si="1"/>
        <v>U</v>
      </c>
      <c r="E12" s="198" t="s">
        <v>499</v>
      </c>
    </row>
    <row r="13" ht="19.5" customHeight="1">
      <c r="A13" s="196" t="s">
        <v>510</v>
      </c>
      <c r="B13" s="72" t="s">
        <v>40</v>
      </c>
      <c r="C13" s="72" t="s">
        <v>382</v>
      </c>
      <c r="D13" s="199" t="str">
        <f t="shared" si="1"/>
        <v>U</v>
      </c>
      <c r="E13" s="198" t="s">
        <v>499</v>
      </c>
    </row>
    <row r="14" ht="19.5" customHeight="1">
      <c r="A14" s="196" t="s">
        <v>511</v>
      </c>
      <c r="B14" s="72" t="s">
        <v>40</v>
      </c>
      <c r="C14" s="72" t="s">
        <v>383</v>
      </c>
      <c r="D14" s="199" t="str">
        <f t="shared" si="1"/>
        <v>U</v>
      </c>
      <c r="E14" s="198" t="s">
        <v>499</v>
      </c>
    </row>
    <row r="15" ht="19.5" customHeight="1">
      <c r="A15" s="196" t="s">
        <v>513</v>
      </c>
      <c r="B15" s="72" t="s">
        <v>40</v>
      </c>
      <c r="C15" s="72" t="s">
        <v>384</v>
      </c>
      <c r="D15" s="199" t="str">
        <f t="shared" si="1"/>
        <v>U</v>
      </c>
      <c r="E15" s="198" t="s">
        <v>499</v>
      </c>
    </row>
    <row r="16" ht="19.5" customHeight="1">
      <c r="A16" s="196" t="s">
        <v>515</v>
      </c>
      <c r="B16" s="72" t="s">
        <v>40</v>
      </c>
      <c r="C16" s="72" t="s">
        <v>397</v>
      </c>
      <c r="D16" s="199" t="str">
        <f t="shared" si="1"/>
        <v>U</v>
      </c>
      <c r="E16" s="198" t="s">
        <v>499</v>
      </c>
    </row>
    <row r="17" ht="19.5" customHeight="1">
      <c r="A17" s="196" t="s">
        <v>516</v>
      </c>
      <c r="B17" s="72" t="s">
        <v>40</v>
      </c>
      <c r="C17" s="72" t="s">
        <v>398</v>
      </c>
      <c r="D17" s="199" t="str">
        <f t="shared" si="1"/>
        <v>U</v>
      </c>
      <c r="E17" s="198" t="s">
        <v>499</v>
      </c>
    </row>
    <row r="18" ht="19.5" customHeight="1">
      <c r="A18" s="196" t="s">
        <v>517</v>
      </c>
      <c r="B18" s="72" t="s">
        <v>40</v>
      </c>
      <c r="C18" s="72" t="s">
        <v>399</v>
      </c>
      <c r="D18" s="199" t="str">
        <f t="shared" si="1"/>
        <v>U</v>
      </c>
      <c r="E18" s="198" t="s">
        <v>499</v>
      </c>
    </row>
    <row r="19" ht="19.5" customHeight="1">
      <c r="A19" s="196" t="s">
        <v>518</v>
      </c>
      <c r="B19" s="72" t="s">
        <v>40</v>
      </c>
      <c r="C19" s="72" t="s">
        <v>519</v>
      </c>
      <c r="D19" s="199" t="str">
        <f t="shared" si="1"/>
        <v>U</v>
      </c>
      <c r="E19" s="198" t="s">
        <v>499</v>
      </c>
    </row>
    <row r="20" ht="19.5" customHeight="1">
      <c r="A20" s="196" t="s">
        <v>520</v>
      </c>
      <c r="B20" s="72" t="s">
        <v>40</v>
      </c>
      <c r="C20" s="72" t="s">
        <v>521</v>
      </c>
      <c r="D20" s="199" t="str">
        <f t="shared" si="1"/>
        <v>U</v>
      </c>
      <c r="E20" s="198" t="s">
        <v>499</v>
      </c>
    </row>
    <row r="21" ht="19.5" customHeight="1">
      <c r="A21" s="196" t="s">
        <v>522</v>
      </c>
      <c r="B21" s="72" t="s">
        <v>95</v>
      </c>
      <c r="C21" s="72" t="s">
        <v>110</v>
      </c>
      <c r="D21" s="200" t="str">
        <f>'3. Cuantificación Frecuencias'!$S$9</f>
        <v>E</v>
      </c>
      <c r="E21" s="198" t="s">
        <v>523</v>
      </c>
    </row>
    <row r="22" ht="19.5" customHeight="1">
      <c r="A22" s="196" t="s">
        <v>526</v>
      </c>
      <c r="B22" s="72" t="s">
        <v>95</v>
      </c>
      <c r="C22" s="72" t="s">
        <v>134</v>
      </c>
      <c r="D22" s="199" t="str">
        <f t="shared" ref="D22:D25" si="2">"U"</f>
        <v>U</v>
      </c>
      <c r="E22" s="198" t="s">
        <v>499</v>
      </c>
    </row>
    <row r="23" ht="19.5" customHeight="1">
      <c r="A23" s="196" t="s">
        <v>527</v>
      </c>
      <c r="B23" s="72" t="s">
        <v>95</v>
      </c>
      <c r="C23" s="72" t="s">
        <v>142</v>
      </c>
      <c r="D23" s="199" t="str">
        <f t="shared" si="2"/>
        <v>U</v>
      </c>
      <c r="E23" s="198" t="s">
        <v>499</v>
      </c>
    </row>
    <row r="24" ht="19.5" customHeight="1">
      <c r="A24" s="196" t="s">
        <v>528</v>
      </c>
      <c r="B24" s="72" t="s">
        <v>95</v>
      </c>
      <c r="C24" s="72" t="s">
        <v>148</v>
      </c>
      <c r="D24" s="199" t="str">
        <f t="shared" si="2"/>
        <v>U</v>
      </c>
      <c r="E24" s="198" t="s">
        <v>499</v>
      </c>
    </row>
    <row r="25" ht="19.5" customHeight="1">
      <c r="A25" s="196" t="s">
        <v>529</v>
      </c>
      <c r="B25" s="72" t="s">
        <v>95</v>
      </c>
      <c r="C25" s="72" t="s">
        <v>154</v>
      </c>
      <c r="D25" s="199" t="str">
        <f t="shared" si="2"/>
        <v>U</v>
      </c>
      <c r="E25" s="198" t="s">
        <v>499</v>
      </c>
    </row>
    <row r="26" ht="19.5" customHeight="1">
      <c r="A26" s="196" t="s">
        <v>530</v>
      </c>
      <c r="B26" s="72" t="s">
        <v>95</v>
      </c>
      <c r="C26" s="72" t="s">
        <v>380</v>
      </c>
      <c r="D26" s="200" t="str">
        <f>'3. Cuantificación Frecuencias'!$S$15</f>
        <v>E</v>
      </c>
      <c r="E26" s="198" t="s">
        <v>531</v>
      </c>
    </row>
    <row r="27" ht="19.5" customHeight="1">
      <c r="A27" s="196" t="s">
        <v>532</v>
      </c>
      <c r="B27" s="72" t="s">
        <v>95</v>
      </c>
      <c r="C27" s="72" t="s">
        <v>381</v>
      </c>
      <c r="D27" s="199" t="str">
        <f t="shared" ref="D27:D35" si="3">"U"</f>
        <v>U</v>
      </c>
      <c r="E27" s="198" t="s">
        <v>499</v>
      </c>
    </row>
    <row r="28" ht="19.5" customHeight="1">
      <c r="A28" s="196" t="s">
        <v>533</v>
      </c>
      <c r="B28" s="72" t="s">
        <v>95</v>
      </c>
      <c r="C28" s="72" t="s">
        <v>382</v>
      </c>
      <c r="D28" s="199" t="str">
        <f t="shared" si="3"/>
        <v>U</v>
      </c>
      <c r="E28" s="198" t="s">
        <v>499</v>
      </c>
    </row>
    <row r="29" ht="19.5" customHeight="1">
      <c r="A29" s="196" t="s">
        <v>536</v>
      </c>
      <c r="B29" s="72" t="s">
        <v>95</v>
      </c>
      <c r="C29" s="72" t="s">
        <v>383</v>
      </c>
      <c r="D29" s="199" t="str">
        <f t="shared" si="3"/>
        <v>U</v>
      </c>
      <c r="E29" s="198" t="s">
        <v>499</v>
      </c>
    </row>
    <row r="30" ht="19.5" customHeight="1">
      <c r="A30" s="196" t="s">
        <v>537</v>
      </c>
      <c r="B30" s="72" t="s">
        <v>95</v>
      </c>
      <c r="C30" s="72" t="s">
        <v>384</v>
      </c>
      <c r="D30" s="199" t="str">
        <f t="shared" si="3"/>
        <v>U</v>
      </c>
      <c r="E30" s="198" t="s">
        <v>499</v>
      </c>
    </row>
    <row r="31" ht="19.5" customHeight="1">
      <c r="A31" s="196" t="s">
        <v>538</v>
      </c>
      <c r="B31" s="72" t="s">
        <v>95</v>
      </c>
      <c r="C31" s="72" t="s">
        <v>397</v>
      </c>
      <c r="D31" s="199" t="str">
        <f t="shared" si="3"/>
        <v>U</v>
      </c>
      <c r="E31" s="198" t="s">
        <v>499</v>
      </c>
    </row>
    <row r="32" ht="19.5" customHeight="1">
      <c r="A32" s="196" t="s">
        <v>539</v>
      </c>
      <c r="B32" s="72" t="s">
        <v>95</v>
      </c>
      <c r="C32" s="72" t="s">
        <v>398</v>
      </c>
      <c r="D32" s="199" t="str">
        <f t="shared" si="3"/>
        <v>U</v>
      </c>
      <c r="E32" s="198" t="s">
        <v>499</v>
      </c>
    </row>
    <row r="33" ht="19.5" customHeight="1">
      <c r="A33" s="196" t="s">
        <v>540</v>
      </c>
      <c r="B33" s="72" t="s">
        <v>95</v>
      </c>
      <c r="C33" s="72" t="s">
        <v>399</v>
      </c>
      <c r="D33" s="199" t="str">
        <f t="shared" si="3"/>
        <v>U</v>
      </c>
      <c r="E33" s="198" t="s">
        <v>499</v>
      </c>
    </row>
    <row r="34" ht="19.5" customHeight="1">
      <c r="A34" s="196" t="s">
        <v>541</v>
      </c>
      <c r="B34" s="72" t="s">
        <v>95</v>
      </c>
      <c r="C34" s="72" t="s">
        <v>519</v>
      </c>
      <c r="D34" s="199" t="str">
        <f t="shared" si="3"/>
        <v>U</v>
      </c>
      <c r="E34" s="198" t="s">
        <v>499</v>
      </c>
    </row>
    <row r="35" ht="19.5" customHeight="1">
      <c r="A35" s="196" t="s">
        <v>542</v>
      </c>
      <c r="B35" s="72" t="s">
        <v>95</v>
      </c>
      <c r="C35" s="72" t="s">
        <v>521</v>
      </c>
      <c r="D35" s="199" t="str">
        <f t="shared" si="3"/>
        <v>U</v>
      </c>
      <c r="E35" s="198" t="s">
        <v>499</v>
      </c>
    </row>
    <row r="36" ht="19.5" customHeight="1">
      <c r="A36" s="196" t="s">
        <v>543</v>
      </c>
      <c r="B36" s="72" t="s">
        <v>110</v>
      </c>
      <c r="C36" s="72" t="s">
        <v>134</v>
      </c>
      <c r="D36" s="197" t="str">
        <f>'3. Cuantificación Frecuencias'!$S$10</f>
        <v>A</v>
      </c>
      <c r="E36" s="198" t="s">
        <v>545</v>
      </c>
    </row>
    <row r="37" ht="19.5" customHeight="1">
      <c r="A37" s="196" t="s">
        <v>546</v>
      </c>
      <c r="B37" s="72" t="s">
        <v>110</v>
      </c>
      <c r="C37" s="72" t="s">
        <v>142</v>
      </c>
      <c r="D37" s="199" t="str">
        <f>"U"</f>
        <v>U</v>
      </c>
      <c r="E37" s="198" t="s">
        <v>499</v>
      </c>
    </row>
    <row r="38" ht="19.5" customHeight="1">
      <c r="A38" s="196" t="s">
        <v>549</v>
      </c>
      <c r="B38" s="72" t="s">
        <v>110</v>
      </c>
      <c r="C38" s="72" t="s">
        <v>148</v>
      </c>
      <c r="D38" s="201" t="str">
        <f>'3. Cuantificación Frecuencias'!$S$24</f>
        <v>O</v>
      </c>
      <c r="E38" s="198" t="s">
        <v>550</v>
      </c>
    </row>
    <row r="39" ht="19.5" customHeight="1">
      <c r="A39" s="196" t="s">
        <v>551</v>
      </c>
      <c r="B39" s="72" t="s">
        <v>110</v>
      </c>
      <c r="C39" s="72" t="s">
        <v>154</v>
      </c>
      <c r="D39" s="199" t="str">
        <f t="shared" ref="D39:D47" si="4">"U"</f>
        <v>U</v>
      </c>
      <c r="E39" s="198" t="s">
        <v>499</v>
      </c>
    </row>
    <row r="40" ht="19.5" customHeight="1">
      <c r="A40" s="196" t="s">
        <v>552</v>
      </c>
      <c r="B40" s="72" t="s">
        <v>110</v>
      </c>
      <c r="C40" s="72" t="s">
        <v>380</v>
      </c>
      <c r="D40" s="199" t="str">
        <f t="shared" si="4"/>
        <v>U</v>
      </c>
      <c r="E40" s="198" t="s">
        <v>499</v>
      </c>
    </row>
    <row r="41" ht="19.5" customHeight="1">
      <c r="A41" s="196" t="s">
        <v>554</v>
      </c>
      <c r="B41" s="72" t="s">
        <v>110</v>
      </c>
      <c r="C41" s="72" t="s">
        <v>381</v>
      </c>
      <c r="D41" s="199" t="str">
        <f t="shared" si="4"/>
        <v>U</v>
      </c>
      <c r="E41" s="198" t="s">
        <v>499</v>
      </c>
    </row>
    <row r="42" ht="19.5" customHeight="1">
      <c r="A42" s="196" t="s">
        <v>555</v>
      </c>
      <c r="B42" s="72" t="s">
        <v>110</v>
      </c>
      <c r="C42" s="72" t="s">
        <v>382</v>
      </c>
      <c r="D42" s="199" t="str">
        <f t="shared" si="4"/>
        <v>U</v>
      </c>
      <c r="E42" s="198" t="s">
        <v>499</v>
      </c>
    </row>
    <row r="43" ht="19.5" customHeight="1">
      <c r="A43" s="196" t="s">
        <v>557</v>
      </c>
      <c r="B43" s="72" t="s">
        <v>110</v>
      </c>
      <c r="C43" s="72" t="s">
        <v>383</v>
      </c>
      <c r="D43" s="199" t="str">
        <f t="shared" si="4"/>
        <v>U</v>
      </c>
      <c r="E43" s="198" t="s">
        <v>499</v>
      </c>
    </row>
    <row r="44" ht="19.5" customHeight="1">
      <c r="A44" s="196" t="s">
        <v>558</v>
      </c>
      <c r="B44" s="72" t="s">
        <v>110</v>
      </c>
      <c r="C44" s="72" t="s">
        <v>384</v>
      </c>
      <c r="D44" s="199" t="str">
        <f t="shared" si="4"/>
        <v>U</v>
      </c>
      <c r="E44" s="198" t="s">
        <v>499</v>
      </c>
    </row>
    <row r="45" ht="19.5" customHeight="1">
      <c r="A45" s="196" t="s">
        <v>559</v>
      </c>
      <c r="B45" s="72" t="s">
        <v>110</v>
      </c>
      <c r="C45" s="72" t="s">
        <v>397</v>
      </c>
      <c r="D45" s="199" t="str">
        <f t="shared" si="4"/>
        <v>U</v>
      </c>
      <c r="E45" s="198" t="s">
        <v>499</v>
      </c>
    </row>
    <row r="46" ht="19.5" customHeight="1">
      <c r="A46" s="196" t="s">
        <v>560</v>
      </c>
      <c r="B46" s="72" t="s">
        <v>110</v>
      </c>
      <c r="C46" s="72" t="s">
        <v>398</v>
      </c>
      <c r="D46" s="199" t="str">
        <f t="shared" si="4"/>
        <v>U</v>
      </c>
      <c r="E46" s="198" t="s">
        <v>499</v>
      </c>
    </row>
    <row r="47" ht="19.5" customHeight="1">
      <c r="A47" s="196" t="s">
        <v>561</v>
      </c>
      <c r="B47" s="72" t="s">
        <v>110</v>
      </c>
      <c r="C47" s="72" t="s">
        <v>399</v>
      </c>
      <c r="D47" s="199" t="str">
        <f t="shared" si="4"/>
        <v>U</v>
      </c>
      <c r="E47" s="198" t="s">
        <v>499</v>
      </c>
    </row>
    <row r="48" ht="19.5" customHeight="1">
      <c r="A48" s="196" t="s">
        <v>562</v>
      </c>
      <c r="B48" s="72" t="s">
        <v>110</v>
      </c>
      <c r="C48" s="72" t="s">
        <v>519</v>
      </c>
      <c r="D48" s="201" t="str">
        <f>"O"</f>
        <v>O</v>
      </c>
      <c r="E48" s="198" t="s">
        <v>563</v>
      </c>
    </row>
    <row r="49" ht="19.5" customHeight="1">
      <c r="A49" s="196" t="s">
        <v>564</v>
      </c>
      <c r="B49" s="72" t="s">
        <v>110</v>
      </c>
      <c r="C49" s="72" t="s">
        <v>521</v>
      </c>
      <c r="D49" s="199" t="str">
        <f>"U"</f>
        <v>U</v>
      </c>
      <c r="E49" s="198" t="s">
        <v>499</v>
      </c>
    </row>
    <row r="50" ht="19.5" customHeight="1">
      <c r="A50" s="196" t="s">
        <v>565</v>
      </c>
      <c r="B50" s="72" t="s">
        <v>134</v>
      </c>
      <c r="C50" s="72" t="s">
        <v>142</v>
      </c>
      <c r="D50" s="197" t="str">
        <f>'3. Cuantificación Frecuencias'!$S$11</f>
        <v>A</v>
      </c>
      <c r="E50" s="198" t="s">
        <v>567</v>
      </c>
    </row>
    <row r="51" ht="19.5" customHeight="1">
      <c r="A51" s="196" t="s">
        <v>568</v>
      </c>
      <c r="B51" s="72" t="s">
        <v>134</v>
      </c>
      <c r="C51" s="72" t="s">
        <v>148</v>
      </c>
      <c r="D51" s="199" t="str">
        <f t="shared" ref="D51:D59" si="5">"U"</f>
        <v>U</v>
      </c>
      <c r="E51" s="198" t="s">
        <v>499</v>
      </c>
    </row>
    <row r="52" ht="19.5" customHeight="1">
      <c r="A52" s="196" t="s">
        <v>570</v>
      </c>
      <c r="B52" s="72" t="s">
        <v>134</v>
      </c>
      <c r="C52" s="72" t="s">
        <v>154</v>
      </c>
      <c r="D52" s="199" t="str">
        <f t="shared" si="5"/>
        <v>U</v>
      </c>
      <c r="E52" s="198" t="s">
        <v>499</v>
      </c>
    </row>
    <row r="53" ht="19.5" customHeight="1">
      <c r="A53" s="196" t="s">
        <v>571</v>
      </c>
      <c r="B53" s="72" t="s">
        <v>134</v>
      </c>
      <c r="C53" s="72" t="s">
        <v>380</v>
      </c>
      <c r="D53" s="199" t="str">
        <f t="shared" si="5"/>
        <v>U</v>
      </c>
      <c r="E53" s="198" t="s">
        <v>499</v>
      </c>
    </row>
    <row r="54" ht="19.5" customHeight="1">
      <c r="A54" s="196" t="s">
        <v>572</v>
      </c>
      <c r="B54" s="72" t="s">
        <v>134</v>
      </c>
      <c r="C54" s="72" t="s">
        <v>381</v>
      </c>
      <c r="D54" s="199" t="str">
        <f t="shared" si="5"/>
        <v>U</v>
      </c>
      <c r="E54" s="198" t="s">
        <v>499</v>
      </c>
    </row>
    <row r="55" ht="19.5" customHeight="1">
      <c r="A55" s="196" t="s">
        <v>573</v>
      </c>
      <c r="B55" s="72" t="s">
        <v>134</v>
      </c>
      <c r="C55" s="72" t="s">
        <v>382</v>
      </c>
      <c r="D55" s="199" t="str">
        <f t="shared" si="5"/>
        <v>U</v>
      </c>
      <c r="E55" s="198" t="s">
        <v>499</v>
      </c>
    </row>
    <row r="56" ht="19.5" customHeight="1">
      <c r="A56" s="196" t="s">
        <v>574</v>
      </c>
      <c r="B56" s="72" t="s">
        <v>134</v>
      </c>
      <c r="C56" s="72" t="s">
        <v>383</v>
      </c>
      <c r="D56" s="199" t="str">
        <f t="shared" si="5"/>
        <v>U</v>
      </c>
      <c r="E56" s="198" t="s">
        <v>499</v>
      </c>
    </row>
    <row r="57" ht="19.5" customHeight="1">
      <c r="A57" s="196" t="s">
        <v>576</v>
      </c>
      <c r="B57" s="72" t="s">
        <v>134</v>
      </c>
      <c r="C57" s="72" t="s">
        <v>384</v>
      </c>
      <c r="D57" s="199" t="str">
        <f t="shared" si="5"/>
        <v>U</v>
      </c>
      <c r="E57" s="198" t="s">
        <v>499</v>
      </c>
    </row>
    <row r="58" ht="19.5" customHeight="1">
      <c r="A58" s="196" t="s">
        <v>577</v>
      </c>
      <c r="B58" s="72" t="s">
        <v>134</v>
      </c>
      <c r="C58" s="72" t="s">
        <v>397</v>
      </c>
      <c r="D58" s="199" t="str">
        <f t="shared" si="5"/>
        <v>U</v>
      </c>
      <c r="E58" s="198" t="s">
        <v>499</v>
      </c>
    </row>
    <row r="59" ht="19.5" customHeight="1">
      <c r="A59" s="196" t="s">
        <v>580</v>
      </c>
      <c r="B59" s="72" t="s">
        <v>134</v>
      </c>
      <c r="C59" s="72" t="s">
        <v>398</v>
      </c>
      <c r="D59" s="199" t="str">
        <f t="shared" si="5"/>
        <v>U</v>
      </c>
      <c r="E59" s="198" t="s">
        <v>499</v>
      </c>
    </row>
    <row r="60" ht="19.5" customHeight="1">
      <c r="A60" s="196" t="s">
        <v>581</v>
      </c>
      <c r="B60" s="72" t="s">
        <v>134</v>
      </c>
      <c r="C60" s="72" t="s">
        <v>399</v>
      </c>
      <c r="D60" s="201" t="str">
        <f>'3. Cuantificación Frecuencias'!$S$25</f>
        <v>O</v>
      </c>
      <c r="E60" s="198" t="s">
        <v>582</v>
      </c>
    </row>
    <row r="61" ht="19.5" customHeight="1">
      <c r="A61" s="196" t="s">
        <v>583</v>
      </c>
      <c r="B61" s="72" t="s">
        <v>134</v>
      </c>
      <c r="C61" s="72" t="s">
        <v>519</v>
      </c>
      <c r="D61" s="199" t="str">
        <f t="shared" ref="D61:D62" si="6">"U"</f>
        <v>U</v>
      </c>
      <c r="E61" s="198" t="s">
        <v>499</v>
      </c>
    </row>
    <row r="62" ht="19.5" customHeight="1">
      <c r="A62" s="196" t="s">
        <v>584</v>
      </c>
      <c r="B62" s="72" t="s">
        <v>134</v>
      </c>
      <c r="C62" s="72" t="s">
        <v>521</v>
      </c>
      <c r="D62" s="199" t="str">
        <f t="shared" si="6"/>
        <v>U</v>
      </c>
      <c r="E62" s="198" t="s">
        <v>499</v>
      </c>
    </row>
    <row r="63" ht="19.5" customHeight="1">
      <c r="A63" s="196" t="s">
        <v>585</v>
      </c>
      <c r="B63" s="72" t="s">
        <v>142</v>
      </c>
      <c r="C63" s="72" t="s">
        <v>148</v>
      </c>
      <c r="D63" s="197" t="str">
        <f>'3. Cuantificación Frecuencias'!$S$12</f>
        <v>A</v>
      </c>
      <c r="E63" s="198" t="s">
        <v>586</v>
      </c>
    </row>
    <row r="64" ht="19.5" customHeight="1">
      <c r="A64" s="196" t="s">
        <v>587</v>
      </c>
      <c r="B64" s="72" t="s">
        <v>142</v>
      </c>
      <c r="C64" s="72" t="s">
        <v>154</v>
      </c>
      <c r="D64" s="199" t="str">
        <f t="shared" ref="D64:D68" si="7">"U"</f>
        <v>U</v>
      </c>
      <c r="E64" s="198" t="s">
        <v>499</v>
      </c>
    </row>
    <row r="65" ht="19.5" customHeight="1">
      <c r="A65" s="196" t="s">
        <v>588</v>
      </c>
      <c r="B65" s="72" t="s">
        <v>142</v>
      </c>
      <c r="C65" s="72" t="s">
        <v>380</v>
      </c>
      <c r="D65" s="199" t="str">
        <f t="shared" si="7"/>
        <v>U</v>
      </c>
      <c r="E65" s="198" t="s">
        <v>499</v>
      </c>
    </row>
    <row r="66" ht="19.5" customHeight="1">
      <c r="A66" s="196" t="s">
        <v>589</v>
      </c>
      <c r="B66" s="72" t="s">
        <v>142</v>
      </c>
      <c r="C66" s="72" t="s">
        <v>381</v>
      </c>
      <c r="D66" s="199" t="str">
        <f t="shared" si="7"/>
        <v>U</v>
      </c>
      <c r="E66" s="198" t="s">
        <v>499</v>
      </c>
    </row>
    <row r="67" ht="19.5" customHeight="1">
      <c r="A67" s="196" t="s">
        <v>591</v>
      </c>
      <c r="B67" s="72" t="s">
        <v>142</v>
      </c>
      <c r="C67" s="72" t="s">
        <v>382</v>
      </c>
      <c r="D67" s="199" t="str">
        <f t="shared" si="7"/>
        <v>U</v>
      </c>
      <c r="E67" s="198" t="s">
        <v>499</v>
      </c>
    </row>
    <row r="68" ht="19.5" customHeight="1">
      <c r="A68" s="196" t="s">
        <v>592</v>
      </c>
      <c r="B68" s="72" t="s">
        <v>142</v>
      </c>
      <c r="C68" s="72" t="s">
        <v>383</v>
      </c>
      <c r="D68" s="199" t="str">
        <f t="shared" si="7"/>
        <v>U</v>
      </c>
      <c r="E68" s="198" t="s">
        <v>499</v>
      </c>
    </row>
    <row r="69" ht="19.5" customHeight="1">
      <c r="A69" s="196" t="s">
        <v>593</v>
      </c>
      <c r="B69" s="72" t="s">
        <v>142</v>
      </c>
      <c r="C69" s="72" t="s">
        <v>384</v>
      </c>
      <c r="D69" s="204" t="str">
        <f>"X"</f>
        <v>X</v>
      </c>
      <c r="E69" s="198" t="s">
        <v>595</v>
      </c>
    </row>
    <row r="70" ht="19.5" customHeight="1">
      <c r="A70" s="196" t="s">
        <v>596</v>
      </c>
      <c r="B70" s="72" t="s">
        <v>142</v>
      </c>
      <c r="C70" s="72" t="s">
        <v>397</v>
      </c>
      <c r="D70" s="199" t="str">
        <f t="shared" ref="D70:D74" si="8">"U"</f>
        <v>U</v>
      </c>
      <c r="E70" s="198" t="s">
        <v>499</v>
      </c>
    </row>
    <row r="71" ht="19.5" customHeight="1">
      <c r="A71" s="196" t="s">
        <v>597</v>
      </c>
      <c r="B71" s="72" t="s">
        <v>142</v>
      </c>
      <c r="C71" s="72" t="s">
        <v>398</v>
      </c>
      <c r="D71" s="199" t="str">
        <f t="shared" si="8"/>
        <v>U</v>
      </c>
      <c r="E71" s="198" t="s">
        <v>499</v>
      </c>
    </row>
    <row r="72" ht="19.5" customHeight="1">
      <c r="A72" s="196" t="s">
        <v>598</v>
      </c>
      <c r="B72" s="72" t="s">
        <v>142</v>
      </c>
      <c r="C72" s="72" t="s">
        <v>399</v>
      </c>
      <c r="D72" s="199" t="str">
        <f t="shared" si="8"/>
        <v>U</v>
      </c>
      <c r="E72" s="198" t="s">
        <v>499</v>
      </c>
    </row>
    <row r="73" ht="19.5" customHeight="1">
      <c r="A73" s="196" t="s">
        <v>599</v>
      </c>
      <c r="B73" s="72" t="s">
        <v>142</v>
      </c>
      <c r="C73" s="72" t="s">
        <v>519</v>
      </c>
      <c r="D73" s="199" t="str">
        <f t="shared" si="8"/>
        <v>U</v>
      </c>
      <c r="E73" s="198" t="s">
        <v>499</v>
      </c>
    </row>
    <row r="74" ht="19.5" customHeight="1">
      <c r="A74" s="196" t="s">
        <v>601</v>
      </c>
      <c r="B74" s="72" t="s">
        <v>142</v>
      </c>
      <c r="C74" s="72" t="s">
        <v>521</v>
      </c>
      <c r="D74" s="199" t="str">
        <f t="shared" si="8"/>
        <v>U</v>
      </c>
      <c r="E74" s="198" t="s">
        <v>499</v>
      </c>
    </row>
    <row r="75" ht="19.5" customHeight="1">
      <c r="A75" s="196" t="s">
        <v>602</v>
      </c>
      <c r="B75" s="72" t="s">
        <v>148</v>
      </c>
      <c r="C75" s="72" t="s">
        <v>154</v>
      </c>
      <c r="D75" s="197" t="str">
        <f>'3. Cuantificación Frecuencias'!$S$13</f>
        <v>A</v>
      </c>
      <c r="E75" s="198" t="s">
        <v>604</v>
      </c>
    </row>
    <row r="76" ht="19.5" customHeight="1">
      <c r="A76" s="196" t="s">
        <v>605</v>
      </c>
      <c r="B76" s="72" t="s">
        <v>148</v>
      </c>
      <c r="C76" s="72" t="s">
        <v>380</v>
      </c>
      <c r="D76" s="199" t="str">
        <f t="shared" ref="D76:D82" si="9">"U"</f>
        <v>U</v>
      </c>
      <c r="E76" s="198" t="s">
        <v>499</v>
      </c>
    </row>
    <row r="77" ht="19.5" customHeight="1">
      <c r="A77" s="196" t="s">
        <v>606</v>
      </c>
      <c r="B77" s="72" t="s">
        <v>148</v>
      </c>
      <c r="C77" s="72" t="s">
        <v>381</v>
      </c>
      <c r="D77" s="199" t="str">
        <f t="shared" si="9"/>
        <v>U</v>
      </c>
      <c r="E77" s="198" t="s">
        <v>499</v>
      </c>
    </row>
    <row r="78" ht="19.5" customHeight="1">
      <c r="A78" s="196" t="s">
        <v>607</v>
      </c>
      <c r="B78" s="72" t="s">
        <v>148</v>
      </c>
      <c r="C78" s="72" t="s">
        <v>382</v>
      </c>
      <c r="D78" s="199" t="str">
        <f t="shared" si="9"/>
        <v>U</v>
      </c>
      <c r="E78" s="198" t="s">
        <v>499</v>
      </c>
    </row>
    <row r="79" ht="19.5" customHeight="1">
      <c r="A79" s="196" t="s">
        <v>608</v>
      </c>
      <c r="B79" s="72" t="s">
        <v>148</v>
      </c>
      <c r="C79" s="72" t="s">
        <v>383</v>
      </c>
      <c r="D79" s="199" t="str">
        <f t="shared" si="9"/>
        <v>U</v>
      </c>
      <c r="E79" s="198" t="s">
        <v>499</v>
      </c>
    </row>
    <row r="80" ht="19.5" customHeight="1">
      <c r="A80" s="196" t="s">
        <v>609</v>
      </c>
      <c r="B80" s="72" t="s">
        <v>148</v>
      </c>
      <c r="C80" s="72" t="s">
        <v>384</v>
      </c>
      <c r="D80" s="199" t="str">
        <f t="shared" si="9"/>
        <v>U</v>
      </c>
      <c r="E80" s="198" t="s">
        <v>499</v>
      </c>
    </row>
    <row r="81" ht="19.5" customHeight="1">
      <c r="A81" s="196" t="s">
        <v>611</v>
      </c>
      <c r="B81" s="72" t="s">
        <v>148</v>
      </c>
      <c r="C81" s="72" t="s">
        <v>397</v>
      </c>
      <c r="D81" s="199" t="str">
        <f t="shared" si="9"/>
        <v>U</v>
      </c>
      <c r="E81" s="198" t="s">
        <v>499</v>
      </c>
    </row>
    <row r="82" ht="19.5" customHeight="1">
      <c r="A82" s="196" t="s">
        <v>614</v>
      </c>
      <c r="B82" s="72" t="s">
        <v>148</v>
      </c>
      <c r="C82" s="72" t="s">
        <v>398</v>
      </c>
      <c r="D82" s="199" t="str">
        <f t="shared" si="9"/>
        <v>U</v>
      </c>
      <c r="E82" s="198" t="s">
        <v>499</v>
      </c>
    </row>
    <row r="83" ht="19.5" customHeight="1">
      <c r="A83" s="196" t="s">
        <v>616</v>
      </c>
      <c r="B83" s="72" t="s">
        <v>148</v>
      </c>
      <c r="C83" s="72" t="s">
        <v>399</v>
      </c>
      <c r="D83" s="201" t="str">
        <f>'3. Cuantificación Frecuencias'!$S$26</f>
        <v>O</v>
      </c>
      <c r="E83" s="198" t="s">
        <v>623</v>
      </c>
    </row>
    <row r="84" ht="19.5" customHeight="1">
      <c r="A84" s="196" t="s">
        <v>625</v>
      </c>
      <c r="B84" s="72" t="s">
        <v>148</v>
      </c>
      <c r="C84" s="72" t="s">
        <v>519</v>
      </c>
      <c r="D84" s="199" t="str">
        <f>"U"</f>
        <v>U</v>
      </c>
      <c r="E84" s="198" t="s">
        <v>499</v>
      </c>
    </row>
    <row r="85" ht="19.5" customHeight="1">
      <c r="A85" s="196" t="s">
        <v>630</v>
      </c>
      <c r="B85" s="72" t="s">
        <v>148</v>
      </c>
      <c r="C85" s="72" t="s">
        <v>521</v>
      </c>
      <c r="D85" s="211" t="str">
        <f>'3. Cuantificación Frecuencias'!$S$30</f>
        <v>I</v>
      </c>
      <c r="E85" s="198" t="s">
        <v>633</v>
      </c>
    </row>
    <row r="86" ht="19.5" customHeight="1">
      <c r="A86" s="196" t="s">
        <v>635</v>
      </c>
      <c r="B86" s="72" t="s">
        <v>154</v>
      </c>
      <c r="C86" s="72" t="s">
        <v>380</v>
      </c>
      <c r="D86" s="199" t="str">
        <f t="shared" ref="D86:D91" si="10">"U"</f>
        <v>U</v>
      </c>
      <c r="E86" s="198" t="s">
        <v>499</v>
      </c>
    </row>
    <row r="87" ht="19.5" customHeight="1">
      <c r="A87" s="196" t="s">
        <v>636</v>
      </c>
      <c r="B87" s="72" t="s">
        <v>154</v>
      </c>
      <c r="C87" s="72" t="s">
        <v>381</v>
      </c>
      <c r="D87" s="199" t="str">
        <f t="shared" si="10"/>
        <v>U</v>
      </c>
      <c r="E87" s="198" t="s">
        <v>499</v>
      </c>
    </row>
    <row r="88" ht="19.5" customHeight="1">
      <c r="A88" s="196" t="s">
        <v>637</v>
      </c>
      <c r="B88" s="72" t="s">
        <v>154</v>
      </c>
      <c r="C88" s="72" t="s">
        <v>382</v>
      </c>
      <c r="D88" s="199" t="str">
        <f t="shared" si="10"/>
        <v>U</v>
      </c>
      <c r="E88" s="198" t="s">
        <v>499</v>
      </c>
    </row>
    <row r="89" ht="19.5" customHeight="1">
      <c r="A89" s="196" t="s">
        <v>638</v>
      </c>
      <c r="B89" s="72" t="s">
        <v>154</v>
      </c>
      <c r="C89" s="72" t="s">
        <v>383</v>
      </c>
      <c r="D89" s="199" t="str">
        <f t="shared" si="10"/>
        <v>U</v>
      </c>
      <c r="E89" s="198" t="s">
        <v>499</v>
      </c>
    </row>
    <row r="90" ht="19.5" customHeight="1">
      <c r="A90" s="196" t="s">
        <v>639</v>
      </c>
      <c r="B90" s="72" t="s">
        <v>154</v>
      </c>
      <c r="C90" s="72" t="s">
        <v>384</v>
      </c>
      <c r="D90" s="199" t="str">
        <f t="shared" si="10"/>
        <v>U</v>
      </c>
      <c r="E90" s="198" t="s">
        <v>499</v>
      </c>
    </row>
    <row r="91" ht="19.5" customHeight="1">
      <c r="A91" s="196" t="s">
        <v>640</v>
      </c>
      <c r="B91" s="72" t="s">
        <v>154</v>
      </c>
      <c r="C91" s="72" t="s">
        <v>397</v>
      </c>
      <c r="D91" s="199" t="str">
        <f t="shared" si="10"/>
        <v>U</v>
      </c>
      <c r="E91" s="198" t="s">
        <v>499</v>
      </c>
    </row>
    <row r="92" ht="19.5" customHeight="1">
      <c r="A92" s="196" t="s">
        <v>641</v>
      </c>
      <c r="B92" s="72" t="s">
        <v>154</v>
      </c>
      <c r="C92" s="72" t="s">
        <v>398</v>
      </c>
      <c r="D92" s="211" t="str">
        <f>'3. Cuantificación Frecuencias'!$S$14</f>
        <v>I</v>
      </c>
      <c r="E92" s="198" t="s">
        <v>642</v>
      </c>
    </row>
    <row r="93" ht="19.5" customHeight="1">
      <c r="A93" s="196" t="s">
        <v>643</v>
      </c>
      <c r="B93" s="72" t="s">
        <v>154</v>
      </c>
      <c r="C93" s="72" t="s">
        <v>399</v>
      </c>
      <c r="D93" s="199" t="str">
        <f t="shared" ref="D93:D94" si="11">"U"</f>
        <v>U</v>
      </c>
      <c r="E93" s="198" t="s">
        <v>499</v>
      </c>
    </row>
    <row r="94" ht="19.5" customHeight="1">
      <c r="A94" s="196" t="s">
        <v>644</v>
      </c>
      <c r="B94" s="72" t="s">
        <v>154</v>
      </c>
      <c r="C94" s="72" t="s">
        <v>519</v>
      </c>
      <c r="D94" s="199" t="str">
        <f t="shared" si="11"/>
        <v>U</v>
      </c>
      <c r="E94" s="198" t="s">
        <v>499</v>
      </c>
    </row>
    <row r="95" ht="19.5" customHeight="1">
      <c r="A95" s="196" t="s">
        <v>645</v>
      </c>
      <c r="B95" s="72" t="s">
        <v>154</v>
      </c>
      <c r="C95" s="72" t="s">
        <v>521</v>
      </c>
      <c r="D95" s="211" t="str">
        <f>'3. Cuantificación Frecuencias'!$S$31</f>
        <v>I</v>
      </c>
      <c r="E95" s="198" t="s">
        <v>646</v>
      </c>
    </row>
    <row r="96" ht="19.5" customHeight="1">
      <c r="A96" s="196" t="s">
        <v>647</v>
      </c>
      <c r="B96" s="72" t="s">
        <v>380</v>
      </c>
      <c r="C96" s="72" t="s">
        <v>381</v>
      </c>
      <c r="D96" s="197" t="str">
        <f>'3. Cuantificación Frecuencias'!$S$16</f>
        <v>A</v>
      </c>
      <c r="E96" s="198" t="s">
        <v>648</v>
      </c>
    </row>
    <row r="97" ht="19.5" customHeight="1">
      <c r="A97" s="196" t="s">
        <v>649</v>
      </c>
      <c r="B97" s="72" t="s">
        <v>380</v>
      </c>
      <c r="C97" s="72" t="s">
        <v>382</v>
      </c>
      <c r="D97" s="199" t="str">
        <f t="shared" ref="D97:D102" si="12">"U"</f>
        <v>U</v>
      </c>
      <c r="E97" s="198" t="s">
        <v>499</v>
      </c>
    </row>
    <row r="98" ht="19.5" customHeight="1">
      <c r="A98" s="196" t="s">
        <v>650</v>
      </c>
      <c r="B98" s="72" t="s">
        <v>380</v>
      </c>
      <c r="C98" s="72" t="s">
        <v>383</v>
      </c>
      <c r="D98" s="199" t="str">
        <f t="shared" si="12"/>
        <v>U</v>
      </c>
      <c r="E98" s="198" t="s">
        <v>499</v>
      </c>
    </row>
    <row r="99" ht="19.5" customHeight="1">
      <c r="A99" s="196" t="s">
        <v>651</v>
      </c>
      <c r="B99" s="72" t="s">
        <v>380</v>
      </c>
      <c r="C99" s="72" t="s">
        <v>384</v>
      </c>
      <c r="D99" s="199" t="str">
        <f t="shared" si="12"/>
        <v>U</v>
      </c>
      <c r="E99" s="198" t="s">
        <v>499</v>
      </c>
    </row>
    <row r="100" ht="19.5" customHeight="1">
      <c r="A100" s="196" t="s">
        <v>652</v>
      </c>
      <c r="B100" s="72" t="s">
        <v>380</v>
      </c>
      <c r="C100" s="72" t="s">
        <v>397</v>
      </c>
      <c r="D100" s="199" t="str">
        <f t="shared" si="12"/>
        <v>U</v>
      </c>
      <c r="E100" s="198" t="s">
        <v>499</v>
      </c>
    </row>
    <row r="101" ht="19.5" customHeight="1">
      <c r="A101" s="196" t="s">
        <v>653</v>
      </c>
      <c r="B101" s="72" t="s">
        <v>380</v>
      </c>
      <c r="C101" s="72" t="s">
        <v>398</v>
      </c>
      <c r="D101" s="199" t="str">
        <f t="shared" si="12"/>
        <v>U</v>
      </c>
      <c r="E101" s="198" t="s">
        <v>499</v>
      </c>
    </row>
    <row r="102" ht="19.5" customHeight="1">
      <c r="A102" s="196" t="s">
        <v>654</v>
      </c>
      <c r="B102" s="72" t="s">
        <v>380</v>
      </c>
      <c r="C102" s="72" t="s">
        <v>399</v>
      </c>
      <c r="D102" s="199" t="str">
        <f t="shared" si="12"/>
        <v>U</v>
      </c>
      <c r="E102" s="198" t="s">
        <v>499</v>
      </c>
    </row>
    <row r="103" ht="19.5" customHeight="1">
      <c r="A103" s="196" t="s">
        <v>655</v>
      </c>
      <c r="B103" s="72" t="s">
        <v>380</v>
      </c>
      <c r="C103" s="72" t="s">
        <v>519</v>
      </c>
      <c r="D103" s="201" t="str">
        <f>"O"</f>
        <v>O</v>
      </c>
      <c r="E103" s="198" t="s">
        <v>656</v>
      </c>
    </row>
    <row r="104" ht="19.5" customHeight="1">
      <c r="A104" s="196" t="s">
        <v>657</v>
      </c>
      <c r="B104" s="72" t="s">
        <v>380</v>
      </c>
      <c r="C104" s="72" t="s">
        <v>521</v>
      </c>
      <c r="D104" s="199" t="str">
        <f>"U"</f>
        <v>U</v>
      </c>
      <c r="E104" s="198" t="s">
        <v>499</v>
      </c>
    </row>
    <row r="105" ht="19.5" customHeight="1">
      <c r="A105" s="196" t="s">
        <v>658</v>
      </c>
      <c r="B105" s="72" t="s">
        <v>381</v>
      </c>
      <c r="C105" s="72" t="s">
        <v>382</v>
      </c>
      <c r="D105" s="200" t="str">
        <f>'3. Cuantificación Frecuencias'!$S$17</f>
        <v>E</v>
      </c>
      <c r="E105" s="198" t="s">
        <v>659</v>
      </c>
    </row>
    <row r="106" ht="19.5" customHeight="1">
      <c r="A106" s="196" t="s">
        <v>660</v>
      </c>
      <c r="B106" s="72" t="s">
        <v>381</v>
      </c>
      <c r="C106" s="72" t="s">
        <v>383</v>
      </c>
      <c r="D106" s="197" t="str">
        <f>'3. Cuantificación Frecuencias'!$S$18</f>
        <v>A</v>
      </c>
      <c r="E106" s="198" t="s">
        <v>661</v>
      </c>
    </row>
    <row r="107" ht="19.5" customHeight="1">
      <c r="A107" s="196" t="s">
        <v>662</v>
      </c>
      <c r="B107" s="72" t="s">
        <v>381</v>
      </c>
      <c r="C107" s="72" t="s">
        <v>384</v>
      </c>
      <c r="D107" s="199" t="str">
        <f t="shared" ref="D107:D112" si="13">"U"</f>
        <v>U</v>
      </c>
      <c r="E107" s="198" t="s">
        <v>499</v>
      </c>
    </row>
    <row r="108" ht="19.5" customHeight="1">
      <c r="A108" s="196" t="s">
        <v>663</v>
      </c>
      <c r="B108" s="72" t="s">
        <v>381</v>
      </c>
      <c r="C108" s="72" t="s">
        <v>397</v>
      </c>
      <c r="D108" s="199" t="str">
        <f t="shared" si="13"/>
        <v>U</v>
      </c>
      <c r="E108" s="198" t="s">
        <v>499</v>
      </c>
    </row>
    <row r="109" ht="19.5" customHeight="1">
      <c r="A109" s="196" t="s">
        <v>664</v>
      </c>
      <c r="B109" s="72" t="s">
        <v>381</v>
      </c>
      <c r="C109" s="72" t="s">
        <v>398</v>
      </c>
      <c r="D109" s="199" t="str">
        <f t="shared" si="13"/>
        <v>U</v>
      </c>
      <c r="E109" s="198" t="s">
        <v>499</v>
      </c>
    </row>
    <row r="110" ht="19.5" customHeight="1">
      <c r="A110" s="196" t="s">
        <v>666</v>
      </c>
      <c r="B110" s="72" t="s">
        <v>381</v>
      </c>
      <c r="C110" s="72" t="s">
        <v>399</v>
      </c>
      <c r="D110" s="199" t="str">
        <f t="shared" si="13"/>
        <v>U</v>
      </c>
      <c r="E110" s="198" t="s">
        <v>499</v>
      </c>
    </row>
    <row r="111" ht="19.5" customHeight="1">
      <c r="A111" s="196" t="s">
        <v>667</v>
      </c>
      <c r="B111" s="72" t="s">
        <v>381</v>
      </c>
      <c r="C111" s="72" t="s">
        <v>519</v>
      </c>
      <c r="D111" s="199" t="str">
        <f t="shared" si="13"/>
        <v>U</v>
      </c>
      <c r="E111" s="198" t="s">
        <v>499</v>
      </c>
    </row>
    <row r="112" ht="19.5" customHeight="1">
      <c r="A112" s="196" t="s">
        <v>668</v>
      </c>
      <c r="B112" s="72" t="s">
        <v>381</v>
      </c>
      <c r="C112" s="72" t="s">
        <v>521</v>
      </c>
      <c r="D112" s="199" t="str">
        <f t="shared" si="13"/>
        <v>U</v>
      </c>
      <c r="E112" s="198" t="s">
        <v>499</v>
      </c>
    </row>
    <row r="113" ht="19.5" customHeight="1">
      <c r="A113" s="196" t="s">
        <v>669</v>
      </c>
      <c r="B113" s="72" t="s">
        <v>382</v>
      </c>
      <c r="C113" s="72" t="s">
        <v>383</v>
      </c>
      <c r="D113" s="200" t="str">
        <f>'3. Cuantificación Frecuencias'!$S$19</f>
        <v>E</v>
      </c>
      <c r="E113" s="198" t="s">
        <v>670</v>
      </c>
    </row>
    <row r="114" ht="19.5" customHeight="1">
      <c r="A114" s="196" t="s">
        <v>671</v>
      </c>
      <c r="B114" s="72" t="s">
        <v>382</v>
      </c>
      <c r="C114" s="72" t="s">
        <v>384</v>
      </c>
      <c r="D114" s="199" t="str">
        <f t="shared" ref="D114:D119" si="14">"U"</f>
        <v>U</v>
      </c>
      <c r="E114" s="198" t="s">
        <v>499</v>
      </c>
    </row>
    <row r="115" ht="19.5" customHeight="1">
      <c r="A115" s="196" t="s">
        <v>672</v>
      </c>
      <c r="B115" s="72" t="s">
        <v>382</v>
      </c>
      <c r="C115" s="72" t="s">
        <v>397</v>
      </c>
      <c r="D115" s="199" t="str">
        <f t="shared" si="14"/>
        <v>U</v>
      </c>
      <c r="E115" s="198" t="s">
        <v>499</v>
      </c>
    </row>
    <row r="116" ht="19.5" customHeight="1">
      <c r="A116" s="196" t="s">
        <v>673</v>
      </c>
      <c r="B116" s="72" t="s">
        <v>382</v>
      </c>
      <c r="C116" s="72" t="s">
        <v>398</v>
      </c>
      <c r="D116" s="199" t="str">
        <f t="shared" si="14"/>
        <v>U</v>
      </c>
      <c r="E116" s="198" t="s">
        <v>499</v>
      </c>
    </row>
    <row r="117" ht="19.5" customHeight="1">
      <c r="A117" s="196" t="s">
        <v>674</v>
      </c>
      <c r="B117" s="72" t="s">
        <v>382</v>
      </c>
      <c r="C117" s="72" t="s">
        <v>399</v>
      </c>
      <c r="D117" s="199" t="str">
        <f t="shared" si="14"/>
        <v>U</v>
      </c>
      <c r="E117" s="198" t="s">
        <v>499</v>
      </c>
    </row>
    <row r="118" ht="19.5" customHeight="1">
      <c r="A118" s="196" t="s">
        <v>675</v>
      </c>
      <c r="B118" s="72" t="s">
        <v>382</v>
      </c>
      <c r="C118" s="72" t="s">
        <v>519</v>
      </c>
      <c r="D118" s="199" t="str">
        <f t="shared" si="14"/>
        <v>U</v>
      </c>
      <c r="E118" s="198" t="s">
        <v>499</v>
      </c>
    </row>
    <row r="119" ht="19.5" customHeight="1">
      <c r="A119" s="196" t="s">
        <v>676</v>
      </c>
      <c r="B119" s="72" t="s">
        <v>382</v>
      </c>
      <c r="C119" s="72" t="s">
        <v>521</v>
      </c>
      <c r="D119" s="199" t="str">
        <f t="shared" si="14"/>
        <v>U</v>
      </c>
      <c r="E119" s="198" t="s">
        <v>499</v>
      </c>
    </row>
    <row r="120" ht="19.5" customHeight="1">
      <c r="A120" s="196" t="s">
        <v>677</v>
      </c>
      <c r="B120" s="72" t="s">
        <v>383</v>
      </c>
      <c r="C120" s="72" t="s">
        <v>384</v>
      </c>
      <c r="D120" s="197" t="str">
        <f>'3. Cuantificación Frecuencias'!$S$20</f>
        <v>A</v>
      </c>
      <c r="E120" s="198" t="s">
        <v>678</v>
      </c>
    </row>
    <row r="121" ht="19.5" customHeight="1">
      <c r="A121" s="196" t="s">
        <v>679</v>
      </c>
      <c r="B121" s="72" t="s">
        <v>383</v>
      </c>
      <c r="C121" s="72" t="s">
        <v>397</v>
      </c>
      <c r="D121" s="199" t="str">
        <f t="shared" ref="D121:D125" si="15">"U"</f>
        <v>U</v>
      </c>
      <c r="E121" s="198" t="s">
        <v>499</v>
      </c>
    </row>
    <row r="122" ht="19.5" customHeight="1">
      <c r="A122" s="196" t="s">
        <v>680</v>
      </c>
      <c r="B122" s="72" t="s">
        <v>383</v>
      </c>
      <c r="C122" s="72" t="s">
        <v>398</v>
      </c>
      <c r="D122" s="199" t="str">
        <f t="shared" si="15"/>
        <v>U</v>
      </c>
      <c r="E122" s="198" t="s">
        <v>499</v>
      </c>
    </row>
    <row r="123" ht="19.5" customHeight="1">
      <c r="A123" s="196" t="s">
        <v>681</v>
      </c>
      <c r="B123" s="72" t="s">
        <v>383</v>
      </c>
      <c r="C123" s="72" t="s">
        <v>399</v>
      </c>
      <c r="D123" s="199" t="str">
        <f t="shared" si="15"/>
        <v>U</v>
      </c>
      <c r="E123" s="198" t="s">
        <v>499</v>
      </c>
    </row>
    <row r="124" ht="19.5" customHeight="1">
      <c r="A124" s="196" t="s">
        <v>682</v>
      </c>
      <c r="B124" s="72" t="s">
        <v>383</v>
      </c>
      <c r="C124" s="72" t="s">
        <v>519</v>
      </c>
      <c r="D124" s="199" t="str">
        <f t="shared" si="15"/>
        <v>U</v>
      </c>
      <c r="E124" s="198" t="s">
        <v>499</v>
      </c>
    </row>
    <row r="125" ht="19.5" customHeight="1">
      <c r="A125" s="196" t="s">
        <v>683</v>
      </c>
      <c r="B125" s="72" t="s">
        <v>383</v>
      </c>
      <c r="C125" s="72" t="s">
        <v>521</v>
      </c>
      <c r="D125" s="199" t="str">
        <f t="shared" si="15"/>
        <v>U</v>
      </c>
      <c r="E125" s="198" t="s">
        <v>499</v>
      </c>
    </row>
    <row r="126" ht="19.5" customHeight="1">
      <c r="A126" s="196" t="s">
        <v>684</v>
      </c>
      <c r="B126" s="72" t="s">
        <v>384</v>
      </c>
      <c r="C126" s="72" t="s">
        <v>397</v>
      </c>
      <c r="D126" s="197" t="str">
        <f>'3. Cuantificación Frecuencias'!$S$21</f>
        <v>A</v>
      </c>
      <c r="E126" s="198" t="s">
        <v>685</v>
      </c>
    </row>
    <row r="127" ht="19.5" customHeight="1">
      <c r="A127" s="196" t="s">
        <v>686</v>
      </c>
      <c r="B127" s="72" t="s">
        <v>384</v>
      </c>
      <c r="C127" s="72" t="s">
        <v>398</v>
      </c>
      <c r="D127" s="199" t="str">
        <f>"U"</f>
        <v>U</v>
      </c>
      <c r="E127" s="198" t="s">
        <v>499</v>
      </c>
    </row>
    <row r="128" ht="19.5" customHeight="1">
      <c r="A128" s="196" t="s">
        <v>687</v>
      </c>
      <c r="B128" s="72" t="s">
        <v>384</v>
      </c>
      <c r="C128" s="72" t="s">
        <v>399</v>
      </c>
      <c r="D128" s="201" t="str">
        <f>'3. Cuantificación Frecuencias'!$S$27</f>
        <v>O</v>
      </c>
      <c r="E128" s="198" t="s">
        <v>688</v>
      </c>
    </row>
    <row r="129" ht="19.5" customHeight="1">
      <c r="A129" s="196" t="s">
        <v>689</v>
      </c>
      <c r="B129" s="72" t="s">
        <v>384</v>
      </c>
      <c r="C129" s="72" t="s">
        <v>519</v>
      </c>
      <c r="D129" s="199" t="str">
        <f t="shared" ref="D129:D130" si="16">"U"</f>
        <v>U</v>
      </c>
      <c r="E129" s="198" t="s">
        <v>499</v>
      </c>
    </row>
    <row r="130" ht="19.5" customHeight="1">
      <c r="A130" s="196" t="s">
        <v>690</v>
      </c>
      <c r="B130" s="72" t="s">
        <v>384</v>
      </c>
      <c r="C130" s="72" t="s">
        <v>521</v>
      </c>
      <c r="D130" s="199" t="str">
        <f t="shared" si="16"/>
        <v>U</v>
      </c>
      <c r="E130" s="198" t="s">
        <v>499</v>
      </c>
    </row>
    <row r="131" ht="19.5" customHeight="1">
      <c r="A131" s="196" t="s">
        <v>691</v>
      </c>
      <c r="B131" s="72" t="s">
        <v>397</v>
      </c>
      <c r="C131" s="72" t="s">
        <v>398</v>
      </c>
      <c r="D131" s="211" t="str">
        <f>'3. Cuantificación Frecuencias'!$S$22</f>
        <v>I</v>
      </c>
      <c r="E131" s="198" t="s">
        <v>692</v>
      </c>
    </row>
    <row r="132" ht="19.5" customHeight="1">
      <c r="A132" s="196" t="s">
        <v>693</v>
      </c>
      <c r="B132" s="72" t="s">
        <v>397</v>
      </c>
      <c r="C132" s="72" t="s">
        <v>399</v>
      </c>
      <c r="D132" s="199" t="str">
        <f t="shared" ref="D132:D140" si="17">"U"</f>
        <v>U</v>
      </c>
      <c r="E132" s="198" t="s">
        <v>499</v>
      </c>
    </row>
    <row r="133" ht="19.5" customHeight="1">
      <c r="A133" s="196" t="s">
        <v>694</v>
      </c>
      <c r="B133" s="72" t="s">
        <v>397</v>
      </c>
      <c r="C133" s="72" t="s">
        <v>519</v>
      </c>
      <c r="D133" s="199" t="str">
        <f t="shared" si="17"/>
        <v>U</v>
      </c>
      <c r="E133" s="198" t="s">
        <v>499</v>
      </c>
    </row>
    <row r="134" ht="19.5" customHeight="1">
      <c r="A134" s="196" t="s">
        <v>696</v>
      </c>
      <c r="B134" s="72" t="s">
        <v>397</v>
      </c>
      <c r="C134" s="72" t="s">
        <v>521</v>
      </c>
      <c r="D134" s="199" t="str">
        <f t="shared" si="17"/>
        <v>U</v>
      </c>
      <c r="E134" s="198" t="s">
        <v>499</v>
      </c>
    </row>
    <row r="135" ht="19.5" customHeight="1">
      <c r="A135" s="196" t="s">
        <v>697</v>
      </c>
      <c r="B135" s="72" t="s">
        <v>398</v>
      </c>
      <c r="C135" s="72" t="s">
        <v>399</v>
      </c>
      <c r="D135" s="199" t="str">
        <f t="shared" si="17"/>
        <v>U</v>
      </c>
      <c r="E135" s="198" t="s">
        <v>499</v>
      </c>
    </row>
    <row r="136" ht="19.5" customHeight="1">
      <c r="A136" s="196" t="s">
        <v>698</v>
      </c>
      <c r="B136" s="72" t="s">
        <v>398</v>
      </c>
      <c r="C136" s="72" t="s">
        <v>519</v>
      </c>
      <c r="D136" s="199" t="str">
        <f t="shared" si="17"/>
        <v>U</v>
      </c>
      <c r="E136" s="198" t="s">
        <v>499</v>
      </c>
    </row>
    <row r="137" ht="19.5" customHeight="1">
      <c r="A137" s="196" t="s">
        <v>699</v>
      </c>
      <c r="B137" s="72" t="s">
        <v>398</v>
      </c>
      <c r="C137" s="72" t="s">
        <v>521</v>
      </c>
      <c r="D137" s="199" t="str">
        <f t="shared" si="17"/>
        <v>U</v>
      </c>
      <c r="E137" s="198" t="s">
        <v>499</v>
      </c>
    </row>
    <row r="138" ht="19.5" customHeight="1">
      <c r="A138" s="196" t="s">
        <v>700</v>
      </c>
      <c r="B138" s="72" t="s">
        <v>399</v>
      </c>
      <c r="C138" s="72" t="s">
        <v>519</v>
      </c>
      <c r="D138" s="199" t="str">
        <f t="shared" si="17"/>
        <v>U</v>
      </c>
      <c r="E138" s="198" t="s">
        <v>499</v>
      </c>
    </row>
    <row r="139" ht="19.5" customHeight="1">
      <c r="A139" s="196" t="s">
        <v>701</v>
      </c>
      <c r="B139" s="72" t="s">
        <v>399</v>
      </c>
      <c r="C139" s="72" t="s">
        <v>521</v>
      </c>
      <c r="D139" s="199" t="str">
        <f t="shared" si="17"/>
        <v>U</v>
      </c>
      <c r="E139" s="198" t="s">
        <v>499</v>
      </c>
    </row>
    <row r="140" ht="19.5" customHeight="1">
      <c r="A140" s="218" t="s">
        <v>702</v>
      </c>
      <c r="B140" s="219" t="s">
        <v>519</v>
      </c>
      <c r="C140" s="219" t="s">
        <v>521</v>
      </c>
      <c r="D140" s="220" t="str">
        <f t="shared" si="17"/>
        <v>U</v>
      </c>
      <c r="E140" s="221" t="s">
        <v>499</v>
      </c>
    </row>
    <row r="141" ht="19.5" customHeight="1">
      <c r="A141" s="222"/>
      <c r="B141" s="223"/>
      <c r="C141" s="223"/>
      <c r="D141" s="224"/>
      <c r="E141" s="223"/>
    </row>
    <row r="142" ht="19.5" customHeight="1">
      <c r="A142" s="222"/>
      <c r="B142" s="223"/>
      <c r="C142" s="223"/>
      <c r="D142" s="224"/>
      <c r="E142" s="223"/>
    </row>
    <row r="143" ht="19.5" customHeight="1">
      <c r="A143" s="222"/>
      <c r="B143" s="223"/>
      <c r="C143" s="223"/>
      <c r="D143" s="224"/>
      <c r="E143" s="223"/>
    </row>
    <row r="144" ht="19.5" customHeight="1">
      <c r="A144" s="222"/>
      <c r="B144" s="223"/>
      <c r="C144" s="223"/>
      <c r="D144" s="224"/>
      <c r="E144" s="223"/>
    </row>
    <row r="145" ht="19.5" customHeight="1">
      <c r="A145" s="222"/>
      <c r="B145" s="223"/>
      <c r="C145" s="223"/>
      <c r="D145" s="224"/>
      <c r="E145" s="223"/>
    </row>
    <row r="146" ht="19.5" customHeight="1">
      <c r="A146" s="222"/>
      <c r="B146" s="223"/>
      <c r="C146" s="223"/>
      <c r="D146" s="224"/>
      <c r="E146" s="223"/>
    </row>
    <row r="147" ht="19.5" customHeight="1">
      <c r="A147" s="222"/>
      <c r="B147" s="223"/>
      <c r="C147" s="223"/>
      <c r="D147" s="224"/>
      <c r="E147" s="223"/>
    </row>
    <row r="148" ht="19.5" customHeight="1">
      <c r="A148" s="222"/>
      <c r="B148" s="223"/>
      <c r="C148" s="223"/>
      <c r="D148" s="224"/>
      <c r="E148" s="223"/>
    </row>
    <row r="149" ht="19.5" customHeight="1">
      <c r="A149" s="222"/>
      <c r="B149" s="223"/>
      <c r="C149" s="223"/>
      <c r="D149" s="224"/>
      <c r="E149" s="223"/>
    </row>
    <row r="150" ht="19.5" customHeight="1">
      <c r="A150" s="222"/>
      <c r="B150" s="223"/>
      <c r="C150" s="223"/>
      <c r="D150" s="224"/>
      <c r="E150" s="223"/>
    </row>
    <row r="151" ht="19.5" customHeight="1">
      <c r="A151" s="222"/>
      <c r="B151" s="223"/>
      <c r="C151" s="223"/>
      <c r="D151" s="224"/>
      <c r="E151" s="223"/>
    </row>
    <row r="152" ht="19.5" customHeight="1">
      <c r="A152" s="222"/>
      <c r="B152" s="223"/>
      <c r="C152" s="223"/>
      <c r="D152" s="224"/>
      <c r="E152" s="223"/>
    </row>
    <row r="153" ht="19.5" customHeight="1">
      <c r="A153" s="222"/>
      <c r="B153" s="223"/>
      <c r="C153" s="223"/>
      <c r="D153" s="224"/>
      <c r="E153" s="223"/>
    </row>
    <row r="154" ht="19.5" customHeight="1">
      <c r="A154" s="222"/>
      <c r="B154" s="223"/>
      <c r="C154" s="223"/>
      <c r="D154" s="224"/>
      <c r="E154" s="223"/>
    </row>
    <row r="155" ht="19.5" customHeight="1">
      <c r="A155" s="222"/>
      <c r="B155" s="223"/>
      <c r="C155" s="223"/>
      <c r="D155" s="224"/>
      <c r="E155" s="223"/>
    </row>
    <row r="156" ht="19.5" customHeight="1">
      <c r="A156" s="222"/>
      <c r="B156" s="223"/>
      <c r="C156" s="223"/>
      <c r="D156" s="224"/>
      <c r="E156" s="223"/>
    </row>
    <row r="157" ht="19.5" customHeight="1">
      <c r="A157" s="222"/>
      <c r="B157" s="223"/>
      <c r="C157" s="223"/>
      <c r="D157" s="224"/>
      <c r="E157" s="223"/>
    </row>
    <row r="158" ht="19.5" customHeight="1">
      <c r="A158" s="222"/>
      <c r="B158" s="223"/>
      <c r="C158" s="223"/>
      <c r="D158" s="224"/>
      <c r="E158" s="223"/>
    </row>
    <row r="159" ht="19.5" customHeight="1">
      <c r="A159" s="222"/>
      <c r="B159" s="223"/>
      <c r="C159" s="223"/>
      <c r="D159" s="224"/>
      <c r="E159" s="223"/>
    </row>
    <row r="160" ht="19.5" customHeight="1">
      <c r="A160" s="222"/>
      <c r="B160" s="223"/>
      <c r="C160" s="223"/>
      <c r="D160" s="224"/>
      <c r="E160" s="223"/>
    </row>
    <row r="161" ht="19.5" customHeight="1">
      <c r="A161" s="222"/>
      <c r="B161" s="223"/>
      <c r="C161" s="223"/>
      <c r="D161" s="224"/>
      <c r="E161" s="223"/>
    </row>
    <row r="162" ht="19.5" customHeight="1">
      <c r="A162" s="222"/>
      <c r="B162" s="223"/>
      <c r="C162" s="223"/>
      <c r="D162" s="224"/>
      <c r="E162" s="223"/>
    </row>
    <row r="163" ht="19.5" customHeight="1">
      <c r="A163" s="222"/>
      <c r="B163" s="223"/>
      <c r="C163" s="223"/>
      <c r="D163" s="224"/>
      <c r="E163" s="223"/>
    </row>
    <row r="164" ht="19.5" customHeight="1">
      <c r="A164" s="222"/>
      <c r="B164" s="223"/>
      <c r="C164" s="223"/>
      <c r="D164" s="224"/>
      <c r="E164" s="223"/>
    </row>
    <row r="165" ht="19.5" customHeight="1">
      <c r="A165" s="222"/>
      <c r="B165" s="223"/>
      <c r="C165" s="223"/>
      <c r="D165" s="224"/>
      <c r="E165" s="223"/>
    </row>
    <row r="166" ht="19.5" customHeight="1">
      <c r="A166" s="222"/>
      <c r="B166" s="223"/>
      <c r="C166" s="223"/>
      <c r="D166" s="224"/>
      <c r="E166" s="223"/>
    </row>
    <row r="167" ht="19.5" customHeight="1">
      <c r="A167" s="222"/>
      <c r="B167" s="223"/>
      <c r="C167" s="223"/>
      <c r="D167" s="224"/>
      <c r="E167" s="223"/>
    </row>
    <row r="168" ht="19.5" customHeight="1">
      <c r="A168" s="222"/>
      <c r="B168" s="223"/>
      <c r="C168" s="223"/>
      <c r="D168" s="224"/>
      <c r="E168" s="223"/>
    </row>
    <row r="169" ht="19.5" customHeight="1">
      <c r="A169" s="222"/>
      <c r="B169" s="223"/>
      <c r="C169" s="223"/>
      <c r="D169" s="224"/>
      <c r="E169" s="223"/>
    </row>
    <row r="170" ht="19.5" customHeight="1">
      <c r="A170" s="222"/>
      <c r="B170" s="223"/>
      <c r="C170" s="223"/>
      <c r="D170" s="224"/>
      <c r="E170" s="223"/>
    </row>
    <row r="171" ht="19.5" customHeight="1">
      <c r="A171" s="222"/>
      <c r="B171" s="223"/>
      <c r="C171" s="223"/>
      <c r="D171" s="224"/>
      <c r="E171" s="223"/>
    </row>
    <row r="172" ht="19.5" customHeight="1">
      <c r="A172" s="222"/>
      <c r="B172" s="223"/>
      <c r="C172" s="223"/>
      <c r="D172" s="224"/>
      <c r="E172" s="223"/>
    </row>
    <row r="173" ht="19.5" customHeight="1">
      <c r="A173" s="222"/>
      <c r="B173" s="223"/>
      <c r="C173" s="223"/>
      <c r="D173" s="224"/>
      <c r="E173" s="223"/>
    </row>
    <row r="174" ht="19.5" customHeight="1">
      <c r="A174" s="222"/>
      <c r="B174" s="223"/>
      <c r="C174" s="223"/>
      <c r="D174" s="224"/>
      <c r="E174" s="223"/>
    </row>
    <row r="175" ht="19.5" customHeight="1">
      <c r="A175" s="222"/>
      <c r="B175" s="223"/>
      <c r="C175" s="223"/>
      <c r="D175" s="224"/>
      <c r="E175" s="223"/>
    </row>
    <row r="176" ht="19.5" customHeight="1"/>
    <row r="177" ht="19.5" customHeight="1"/>
    <row r="178" ht="19.5" customHeight="1"/>
    <row r="179" ht="19.5" customHeight="1"/>
    <row r="180" ht="19.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E1"/>
    <mergeCell ref="A2:E2"/>
    <mergeCell ref="A3:E3"/>
  </mergeCells>
  <conditionalFormatting sqref="D5:D175">
    <cfRule type="expression" dxfId="0" priority="1">
      <formula>D5="A"</formula>
    </cfRule>
  </conditionalFormatting>
  <conditionalFormatting sqref="D5:D175">
    <cfRule type="expression" dxfId="1" priority="2">
      <formula>D5="E"</formula>
    </cfRule>
  </conditionalFormatting>
  <conditionalFormatting sqref="D5:D175">
    <cfRule type="expression" dxfId="2" priority="3">
      <formula>D5="I"</formula>
    </cfRule>
  </conditionalFormatting>
  <conditionalFormatting sqref="D5:D175">
    <cfRule type="expression" dxfId="3" priority="4">
      <formula>D5="O"</formula>
    </cfRule>
  </conditionalFormatting>
  <conditionalFormatting sqref="D5:D175">
    <cfRule type="expression" dxfId="4" priority="5">
      <formula>D5="U"</formula>
    </cfRule>
  </conditionalFormatting>
  <conditionalFormatting sqref="D5:D175">
    <cfRule type="expression" dxfId="5" priority="6">
      <formula>D5="X"</formula>
    </cfRule>
  </conditionalFormatting>
  <dataValidations>
    <dataValidation type="list" allowBlank="1" sqref="D5:D175">
      <formula1>"A,E,I,O,U,X"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" width="7.43"/>
    <col customWidth="1" min="20" max="20" width="3.0"/>
    <col customWidth="1" min="21" max="21" width="8.71"/>
    <col customWidth="1" min="22" max="22" width="23.71"/>
    <col customWidth="1" min="23" max="23" width="10.0"/>
    <col customWidth="1" min="24" max="24" width="27.0"/>
    <col customWidth="1" min="25" max="26" width="9.14"/>
  </cols>
  <sheetData>
    <row r="1" ht="21.0" customHeight="1">
      <c r="A1" s="190" t="s">
        <v>594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8"/>
    </row>
    <row r="2" ht="21.0" customHeight="1">
      <c r="A2" s="208" t="s">
        <v>603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8"/>
    </row>
    <row r="3" ht="21.0" customHeight="1"/>
    <row r="4" ht="21.0" customHeight="1">
      <c r="B4" s="209" t="s">
        <v>610</v>
      </c>
      <c r="C4" s="209" t="s">
        <v>612</v>
      </c>
      <c r="D4" s="209" t="s">
        <v>613</v>
      </c>
      <c r="E4" s="209" t="s">
        <v>84</v>
      </c>
      <c r="F4" s="209" t="s">
        <v>615</v>
      </c>
      <c r="G4" s="209" t="s">
        <v>617</v>
      </c>
      <c r="H4" s="209" t="s">
        <v>618</v>
      </c>
      <c r="I4" s="209" t="s">
        <v>619</v>
      </c>
      <c r="J4" s="209" t="s">
        <v>620</v>
      </c>
      <c r="K4" s="209" t="s">
        <v>621</v>
      </c>
      <c r="L4" s="209" t="s">
        <v>622</v>
      </c>
      <c r="M4" s="209" t="s">
        <v>624</v>
      </c>
      <c r="N4" s="209" t="s">
        <v>626</v>
      </c>
      <c r="O4" s="209" t="s">
        <v>627</v>
      </c>
      <c r="P4" s="209" t="s">
        <v>628</v>
      </c>
      <c r="Q4" s="209" t="s">
        <v>629</v>
      </c>
      <c r="R4" s="209" t="s">
        <v>631</v>
      </c>
      <c r="S4" s="209" t="s">
        <v>632</v>
      </c>
      <c r="T4" s="210"/>
      <c r="U4" s="209" t="s">
        <v>477</v>
      </c>
      <c r="V4" s="192" t="s">
        <v>634</v>
      </c>
      <c r="W4" s="212" t="s">
        <v>477</v>
      </c>
      <c r="X4" s="212" t="s">
        <v>480</v>
      </c>
    </row>
    <row r="5" ht="21.0" customHeight="1">
      <c r="B5" s="213" t="s">
        <v>612</v>
      </c>
      <c r="C5" s="214" t="s">
        <v>66</v>
      </c>
      <c r="D5" s="197" t="str">
        <f>'8. Carga REL'!$D$5</f>
        <v>A</v>
      </c>
      <c r="E5" s="199" t="str">
        <f>'8. Carga REL'!$D$6</f>
        <v>U</v>
      </c>
      <c r="F5" s="199" t="str">
        <f>'8. Carga REL'!$D$7</f>
        <v>U</v>
      </c>
      <c r="G5" s="199" t="str">
        <f>'8. Carga REL'!$D$8</f>
        <v>U</v>
      </c>
      <c r="H5" s="199" t="str">
        <f>'8. Carga REL'!$D$9</f>
        <v>U</v>
      </c>
      <c r="I5" s="199" t="str">
        <f>'8. Carga REL'!$D$10</f>
        <v>U</v>
      </c>
      <c r="J5" s="199" t="str">
        <f>'8. Carga REL'!$D$11</f>
        <v>U</v>
      </c>
      <c r="K5" s="199" t="str">
        <f>'8. Carga REL'!$D$12</f>
        <v>U</v>
      </c>
      <c r="L5" s="199" t="str">
        <f>'8. Carga REL'!$D$13</f>
        <v>U</v>
      </c>
      <c r="M5" s="199" t="str">
        <f>'8. Carga REL'!$D$14</f>
        <v>U</v>
      </c>
      <c r="N5" s="199" t="str">
        <f>'8. Carga REL'!$D$15</f>
        <v>U</v>
      </c>
      <c r="O5" s="199" t="str">
        <f>'8. Carga REL'!$D$16</f>
        <v>U</v>
      </c>
      <c r="P5" s="199" t="str">
        <f>'8. Carga REL'!$D$17</f>
        <v>U</v>
      </c>
      <c r="Q5" s="199" t="str">
        <f>'8. Carga REL'!$D$18</f>
        <v>U</v>
      </c>
      <c r="R5" s="199" t="str">
        <f>'8. Carga REL'!$D$19</f>
        <v>U</v>
      </c>
      <c r="S5" s="199" t="str">
        <f>'8. Carga REL'!$D$20</f>
        <v>U</v>
      </c>
      <c r="T5" s="196"/>
      <c r="U5" s="197" t="s">
        <v>84</v>
      </c>
      <c r="V5" s="215" t="s">
        <v>665</v>
      </c>
      <c r="W5" s="216" t="s">
        <v>84</v>
      </c>
      <c r="X5" s="71" t="s">
        <v>484</v>
      </c>
    </row>
    <row r="6" ht="21.0" customHeight="1">
      <c r="B6" s="213" t="s">
        <v>613</v>
      </c>
      <c r="C6" s="197" t="str">
        <f>'8. Carga REL'!$D$5</f>
        <v>A</v>
      </c>
      <c r="D6" s="214" t="s">
        <v>66</v>
      </c>
      <c r="E6" s="200" t="str">
        <f>'8. Carga REL'!$D$21</f>
        <v>E</v>
      </c>
      <c r="F6" s="199" t="str">
        <f>'8. Carga REL'!$D$22</f>
        <v>U</v>
      </c>
      <c r="G6" s="199" t="str">
        <f>'8. Carga REL'!$D$23</f>
        <v>U</v>
      </c>
      <c r="H6" s="199" t="str">
        <f>'8. Carga REL'!$D$24</f>
        <v>U</v>
      </c>
      <c r="I6" s="199" t="str">
        <f>'8. Carga REL'!$D$25</f>
        <v>U</v>
      </c>
      <c r="J6" s="200" t="str">
        <f>'8. Carga REL'!$D$26</f>
        <v>E</v>
      </c>
      <c r="K6" s="199" t="str">
        <f>'8. Carga REL'!$D$27</f>
        <v>U</v>
      </c>
      <c r="L6" s="199" t="str">
        <f>'8. Carga REL'!$D$28</f>
        <v>U</v>
      </c>
      <c r="M6" s="199" t="str">
        <f>'8. Carga REL'!$D$29</f>
        <v>U</v>
      </c>
      <c r="N6" s="199" t="str">
        <f>'8. Carga REL'!$D$30</f>
        <v>U</v>
      </c>
      <c r="O6" s="199" t="str">
        <f>'8. Carga REL'!$D$31</f>
        <v>U</v>
      </c>
      <c r="P6" s="199" t="str">
        <f>'8. Carga REL'!$D$32</f>
        <v>U</v>
      </c>
      <c r="Q6" s="199" t="str">
        <f>'8. Carga REL'!$D$33</f>
        <v>U</v>
      </c>
      <c r="R6" s="199" t="str">
        <f>'8. Carga REL'!$D$34</f>
        <v>U</v>
      </c>
      <c r="S6" s="199" t="str">
        <f>'8. Carga REL'!$D$35</f>
        <v>U</v>
      </c>
      <c r="T6" s="196"/>
      <c r="U6" s="200" t="s">
        <v>130</v>
      </c>
      <c r="V6" s="215" t="s">
        <v>695</v>
      </c>
      <c r="W6" s="217" t="s">
        <v>130</v>
      </c>
      <c r="X6" s="71" t="s">
        <v>485</v>
      </c>
    </row>
    <row r="7" ht="21.0" customHeight="1">
      <c r="B7" s="213" t="s">
        <v>84</v>
      </c>
      <c r="C7" s="199" t="str">
        <f>'8. Carga REL'!$D$6</f>
        <v>U</v>
      </c>
      <c r="D7" s="200" t="str">
        <f>'8. Carga REL'!$D$21</f>
        <v>E</v>
      </c>
      <c r="E7" s="214" t="s">
        <v>66</v>
      </c>
      <c r="F7" s="197" t="str">
        <f>'8. Carga REL'!$D$36</f>
        <v>A</v>
      </c>
      <c r="G7" s="199" t="str">
        <f>'8. Carga REL'!$D$37</f>
        <v>U</v>
      </c>
      <c r="H7" s="201" t="str">
        <f>'8. Carga REL'!$D$38</f>
        <v>O</v>
      </c>
      <c r="I7" s="199" t="str">
        <f>'8. Carga REL'!$D$39</f>
        <v>U</v>
      </c>
      <c r="J7" s="199" t="str">
        <f>'8. Carga REL'!$D$40</f>
        <v>U</v>
      </c>
      <c r="K7" s="199" t="str">
        <f>'8. Carga REL'!$D$41</f>
        <v>U</v>
      </c>
      <c r="L7" s="199" t="str">
        <f>'8. Carga REL'!$D$42</f>
        <v>U</v>
      </c>
      <c r="M7" s="199" t="str">
        <f>'8. Carga REL'!$D$43</f>
        <v>U</v>
      </c>
      <c r="N7" s="199" t="str">
        <f>'8. Carga REL'!$D$44</f>
        <v>U</v>
      </c>
      <c r="O7" s="199" t="str">
        <f>'8. Carga REL'!$D$45</f>
        <v>U</v>
      </c>
      <c r="P7" s="199" t="str">
        <f>'8. Carga REL'!$D$46</f>
        <v>U</v>
      </c>
      <c r="Q7" s="199" t="str">
        <f>'8. Carga REL'!$D$47</f>
        <v>U</v>
      </c>
      <c r="R7" s="201" t="str">
        <f>'8. Carga REL'!$D$48</f>
        <v>O</v>
      </c>
      <c r="S7" s="199" t="str">
        <f>'8. Carga REL'!$D$49</f>
        <v>U</v>
      </c>
      <c r="T7" s="196"/>
      <c r="U7" s="211" t="s">
        <v>164</v>
      </c>
      <c r="V7" s="215" t="s">
        <v>703</v>
      </c>
      <c r="W7" s="225" t="s">
        <v>164</v>
      </c>
      <c r="X7" s="71" t="s">
        <v>491</v>
      </c>
    </row>
    <row r="8" ht="21.0" customHeight="1">
      <c r="B8" s="213" t="s">
        <v>615</v>
      </c>
      <c r="C8" s="199" t="str">
        <f>'8. Carga REL'!$D$7</f>
        <v>U</v>
      </c>
      <c r="D8" s="199" t="str">
        <f>'8. Carga REL'!$D$22</f>
        <v>U</v>
      </c>
      <c r="E8" s="197" t="str">
        <f>'8. Carga REL'!$D$36</f>
        <v>A</v>
      </c>
      <c r="F8" s="214" t="s">
        <v>66</v>
      </c>
      <c r="G8" s="197" t="str">
        <f>'8. Carga REL'!$D$50</f>
        <v>A</v>
      </c>
      <c r="H8" s="199" t="str">
        <f>'8. Carga REL'!$D$51</f>
        <v>U</v>
      </c>
      <c r="I8" s="199" t="str">
        <f>'8. Carga REL'!$D$52</f>
        <v>U</v>
      </c>
      <c r="J8" s="199" t="str">
        <f>'8. Carga REL'!$D$53</f>
        <v>U</v>
      </c>
      <c r="K8" s="199" t="str">
        <f>'8. Carga REL'!$D$54</f>
        <v>U</v>
      </c>
      <c r="L8" s="199" t="str">
        <f>'8. Carga REL'!$D$55</f>
        <v>U</v>
      </c>
      <c r="M8" s="199" t="str">
        <f>'8. Carga REL'!$D$56</f>
        <v>U</v>
      </c>
      <c r="N8" s="199" t="str">
        <f>'8. Carga REL'!$D$57</f>
        <v>U</v>
      </c>
      <c r="O8" s="199" t="str">
        <f>'8. Carga REL'!$D$58</f>
        <v>U</v>
      </c>
      <c r="P8" s="199" t="str">
        <f>'8. Carga REL'!$D$59</f>
        <v>U</v>
      </c>
      <c r="Q8" s="201" t="str">
        <f>'8. Carga REL'!$D$60</f>
        <v>O</v>
      </c>
      <c r="R8" s="199" t="str">
        <f>'8. Carga REL'!$D$61</f>
        <v>U</v>
      </c>
      <c r="S8" s="199" t="str">
        <f>'8. Carga REL'!$D$62</f>
        <v>U</v>
      </c>
      <c r="T8" s="196"/>
      <c r="U8" s="201" t="s">
        <v>206</v>
      </c>
      <c r="V8" s="215" t="s">
        <v>704</v>
      </c>
      <c r="W8" s="226" t="s">
        <v>206</v>
      </c>
      <c r="X8" s="71" t="s">
        <v>495</v>
      </c>
    </row>
    <row r="9" ht="21.0" customHeight="1">
      <c r="B9" s="213" t="s">
        <v>617</v>
      </c>
      <c r="C9" s="199" t="str">
        <f>'8. Carga REL'!$D$8</f>
        <v>U</v>
      </c>
      <c r="D9" s="199" t="str">
        <f>'8. Carga REL'!$D$23</f>
        <v>U</v>
      </c>
      <c r="E9" s="199" t="str">
        <f>'8. Carga REL'!$D$37</f>
        <v>U</v>
      </c>
      <c r="F9" s="197" t="str">
        <f>'8. Carga REL'!$D$50</f>
        <v>A</v>
      </c>
      <c r="G9" s="214" t="s">
        <v>66</v>
      </c>
      <c r="H9" s="197" t="str">
        <f>'8. Carga REL'!$D$63</f>
        <v>A</v>
      </c>
      <c r="I9" s="199" t="str">
        <f>'8. Carga REL'!$D$64</f>
        <v>U</v>
      </c>
      <c r="J9" s="199" t="str">
        <f>'8. Carga REL'!$D$65</f>
        <v>U</v>
      </c>
      <c r="K9" s="199" t="str">
        <f>'8. Carga REL'!$D$66</f>
        <v>U</v>
      </c>
      <c r="L9" s="199" t="str">
        <f>'8. Carga REL'!$D$67</f>
        <v>U</v>
      </c>
      <c r="M9" s="199" t="str">
        <f>'8. Carga REL'!$D$68</f>
        <v>U</v>
      </c>
      <c r="N9" s="204" t="str">
        <f>'8. Carga REL'!$D$69</f>
        <v>X</v>
      </c>
      <c r="O9" s="199" t="str">
        <f>'8. Carga REL'!$D$70</f>
        <v>U</v>
      </c>
      <c r="P9" s="199" t="str">
        <f>'8. Carga REL'!$D$71</f>
        <v>U</v>
      </c>
      <c r="Q9" s="199" t="str">
        <f>'8. Carga REL'!$D$72</f>
        <v>U</v>
      </c>
      <c r="R9" s="199" t="str">
        <f>'8. Carga REL'!$D$73</f>
        <v>U</v>
      </c>
      <c r="S9" s="199" t="str">
        <f>'8. Carga REL'!$D$74</f>
        <v>U</v>
      </c>
      <c r="T9" s="196"/>
      <c r="U9" s="199" t="s">
        <v>500</v>
      </c>
      <c r="V9" s="215" t="s">
        <v>705</v>
      </c>
      <c r="W9" s="227" t="s">
        <v>500</v>
      </c>
      <c r="X9" s="71" t="s">
        <v>501</v>
      </c>
    </row>
    <row r="10" ht="21.0" customHeight="1">
      <c r="B10" s="213" t="s">
        <v>618</v>
      </c>
      <c r="C10" s="199" t="str">
        <f>'8. Carga REL'!$D$9</f>
        <v>U</v>
      </c>
      <c r="D10" s="199" t="str">
        <f>'8. Carga REL'!$D$24</f>
        <v>U</v>
      </c>
      <c r="E10" s="201" t="str">
        <f>'8. Carga REL'!$D$38</f>
        <v>O</v>
      </c>
      <c r="F10" s="199" t="str">
        <f>'8. Carga REL'!$D$51</f>
        <v>U</v>
      </c>
      <c r="G10" s="197" t="str">
        <f>'8. Carga REL'!$D$63</f>
        <v>A</v>
      </c>
      <c r="H10" s="214" t="s">
        <v>66</v>
      </c>
      <c r="I10" s="197" t="str">
        <f>'8. Carga REL'!$D$75</f>
        <v>A</v>
      </c>
      <c r="J10" s="199" t="str">
        <f>'8. Carga REL'!$D$76</f>
        <v>U</v>
      </c>
      <c r="K10" s="199" t="str">
        <f>'8. Carga REL'!$D$77</f>
        <v>U</v>
      </c>
      <c r="L10" s="199" t="str">
        <f>'8. Carga REL'!$D$78</f>
        <v>U</v>
      </c>
      <c r="M10" s="199" t="str">
        <f>'8. Carga REL'!$D$79</f>
        <v>U</v>
      </c>
      <c r="N10" s="199" t="str">
        <f>'8. Carga REL'!$D$80</f>
        <v>U</v>
      </c>
      <c r="O10" s="199" t="str">
        <f>'8. Carga REL'!$D$81</f>
        <v>U</v>
      </c>
      <c r="P10" s="199" t="str">
        <f>'8. Carga REL'!$D$82</f>
        <v>U</v>
      </c>
      <c r="Q10" s="201" t="str">
        <f>'8. Carga REL'!$D$83</f>
        <v>O</v>
      </c>
      <c r="R10" s="199" t="str">
        <f>'8. Carga REL'!$D$84</f>
        <v>U</v>
      </c>
      <c r="S10" s="211" t="str">
        <f>'8. Carga REL'!$D$85</f>
        <v>I</v>
      </c>
      <c r="T10" s="196"/>
      <c r="U10" s="228" t="s">
        <v>503</v>
      </c>
      <c r="V10" s="229" t="s">
        <v>706</v>
      </c>
      <c r="W10" s="230" t="s">
        <v>503</v>
      </c>
      <c r="X10" s="71" t="s">
        <v>504</v>
      </c>
    </row>
    <row r="11" ht="21.0" customHeight="1">
      <c r="B11" s="213" t="s">
        <v>619</v>
      </c>
      <c r="C11" s="199" t="str">
        <f>'8. Carga REL'!$D$10</f>
        <v>U</v>
      </c>
      <c r="D11" s="199" t="str">
        <f>'8. Carga REL'!$D$25</f>
        <v>U</v>
      </c>
      <c r="E11" s="199" t="str">
        <f>'8. Carga REL'!$D$39</f>
        <v>U</v>
      </c>
      <c r="F11" s="199" t="str">
        <f>'8. Carga REL'!$D$52</f>
        <v>U</v>
      </c>
      <c r="G11" s="199" t="str">
        <f>'8. Carga REL'!$D$64</f>
        <v>U</v>
      </c>
      <c r="H11" s="197" t="str">
        <f>'8. Carga REL'!$D$75</f>
        <v>A</v>
      </c>
      <c r="I11" s="214" t="s">
        <v>66</v>
      </c>
      <c r="J11" s="199" t="str">
        <f>'8. Carga REL'!$D$86</f>
        <v>U</v>
      </c>
      <c r="K11" s="199" t="str">
        <f>'8. Carga REL'!$D$87</f>
        <v>U</v>
      </c>
      <c r="L11" s="199" t="str">
        <f>'8. Carga REL'!$D$88</f>
        <v>U</v>
      </c>
      <c r="M11" s="199" t="str">
        <f>'8. Carga REL'!$D$89</f>
        <v>U</v>
      </c>
      <c r="N11" s="199" t="str">
        <f>'8. Carga REL'!$D$90</f>
        <v>U</v>
      </c>
      <c r="O11" s="199" t="str">
        <f>'8. Carga REL'!$D$91</f>
        <v>U</v>
      </c>
      <c r="P11" s="211" t="str">
        <f>'8. Carga REL'!$D$92</f>
        <v>I</v>
      </c>
      <c r="Q11" s="199" t="str">
        <f>'8. Carga REL'!$D$93</f>
        <v>U</v>
      </c>
      <c r="R11" s="199" t="str">
        <f>'8. Carga REL'!$D$94</f>
        <v>U</v>
      </c>
      <c r="S11" s="211" t="str">
        <f>'8. Carga REL'!$D$95</f>
        <v>I</v>
      </c>
      <c r="T11" s="196"/>
      <c r="U11" s="196"/>
    </row>
    <row r="12" ht="21.0" customHeight="1">
      <c r="B12" s="213" t="s">
        <v>620</v>
      </c>
      <c r="C12" s="199" t="str">
        <f>'8. Carga REL'!$D$11</f>
        <v>U</v>
      </c>
      <c r="D12" s="200" t="str">
        <f>'8. Carga REL'!$D$26</f>
        <v>E</v>
      </c>
      <c r="E12" s="199" t="str">
        <f>'8. Carga REL'!$D$40</f>
        <v>U</v>
      </c>
      <c r="F12" s="199" t="str">
        <f>'8. Carga REL'!$D$53</f>
        <v>U</v>
      </c>
      <c r="G12" s="199" t="str">
        <f>'8. Carga REL'!$D$65</f>
        <v>U</v>
      </c>
      <c r="H12" s="199" t="str">
        <f>'8. Carga REL'!$D$76</f>
        <v>U</v>
      </c>
      <c r="I12" s="199" t="str">
        <f>'8. Carga REL'!$D$86</f>
        <v>U</v>
      </c>
      <c r="J12" s="214" t="s">
        <v>66</v>
      </c>
      <c r="K12" s="197" t="str">
        <f>'8. Carga REL'!$D$96</f>
        <v>A</v>
      </c>
      <c r="L12" s="199" t="str">
        <f>'8. Carga REL'!$D$97</f>
        <v>U</v>
      </c>
      <c r="M12" s="199" t="str">
        <f>'8. Carga REL'!$D$98</f>
        <v>U</v>
      </c>
      <c r="N12" s="199" t="str">
        <f>'8. Carga REL'!$D$99</f>
        <v>U</v>
      </c>
      <c r="O12" s="199" t="str">
        <f>'8. Carga REL'!$D$100</f>
        <v>U</v>
      </c>
      <c r="P12" s="199" t="str">
        <f>'8. Carga REL'!$D$101</f>
        <v>U</v>
      </c>
      <c r="Q12" s="199" t="str">
        <f>'8. Carga REL'!$D$102</f>
        <v>U</v>
      </c>
      <c r="R12" s="201" t="str">
        <f>'8. Carga REL'!$D$103</f>
        <v>O</v>
      </c>
      <c r="S12" s="199" t="str">
        <f>'8. Carga REL'!$D$104</f>
        <v>U</v>
      </c>
      <c r="T12" s="196"/>
      <c r="U12" s="196"/>
    </row>
    <row r="13" ht="21.0" customHeight="1">
      <c r="B13" s="213" t="s">
        <v>621</v>
      </c>
      <c r="C13" s="199" t="str">
        <f>'8. Carga REL'!$D$12</f>
        <v>U</v>
      </c>
      <c r="D13" s="199" t="str">
        <f>'8. Carga REL'!$D$27</f>
        <v>U</v>
      </c>
      <c r="E13" s="199" t="str">
        <f>'8. Carga REL'!$D$41</f>
        <v>U</v>
      </c>
      <c r="F13" s="199" t="str">
        <f>'8. Carga REL'!$D$54</f>
        <v>U</v>
      </c>
      <c r="G13" s="199" t="str">
        <f>'8. Carga REL'!$D$66</f>
        <v>U</v>
      </c>
      <c r="H13" s="199" t="str">
        <f>'8. Carga REL'!$D$77</f>
        <v>U</v>
      </c>
      <c r="I13" s="199" t="str">
        <f>'8. Carga REL'!$D$87</f>
        <v>U</v>
      </c>
      <c r="J13" s="197" t="str">
        <f>'8. Carga REL'!$D$96</f>
        <v>A</v>
      </c>
      <c r="K13" s="214" t="s">
        <v>66</v>
      </c>
      <c r="L13" s="200" t="str">
        <f>'8. Carga REL'!$D$105</f>
        <v>E</v>
      </c>
      <c r="M13" s="197" t="str">
        <f>'8. Carga REL'!$D$106</f>
        <v>A</v>
      </c>
      <c r="N13" s="199" t="str">
        <f>'8. Carga REL'!$D$107</f>
        <v>U</v>
      </c>
      <c r="O13" s="199" t="str">
        <f>'8. Carga REL'!$D$108</f>
        <v>U</v>
      </c>
      <c r="P13" s="199" t="str">
        <f>'8. Carga REL'!$D$109</f>
        <v>U</v>
      </c>
      <c r="Q13" s="199" t="str">
        <f>'8. Carga REL'!$D$110</f>
        <v>U</v>
      </c>
      <c r="R13" s="199" t="str">
        <f>'8. Carga REL'!$D$111</f>
        <v>U</v>
      </c>
      <c r="S13" s="199" t="str">
        <f>'8. Carga REL'!$D$112</f>
        <v>U</v>
      </c>
      <c r="T13" s="196"/>
      <c r="U13" s="196"/>
    </row>
    <row r="14" ht="21.0" customHeight="1">
      <c r="B14" s="213" t="s">
        <v>622</v>
      </c>
      <c r="C14" s="199" t="str">
        <f>'8. Carga REL'!$D$13</f>
        <v>U</v>
      </c>
      <c r="D14" s="199" t="str">
        <f>'8. Carga REL'!$D$28</f>
        <v>U</v>
      </c>
      <c r="E14" s="199" t="str">
        <f>'8. Carga REL'!$D$42</f>
        <v>U</v>
      </c>
      <c r="F14" s="199" t="str">
        <f>'8. Carga REL'!$D$55</f>
        <v>U</v>
      </c>
      <c r="G14" s="199" t="str">
        <f>'8. Carga REL'!$D$67</f>
        <v>U</v>
      </c>
      <c r="H14" s="199" t="str">
        <f>'8. Carga REL'!$D$78</f>
        <v>U</v>
      </c>
      <c r="I14" s="199" t="str">
        <f>'8. Carga REL'!$D$88</f>
        <v>U</v>
      </c>
      <c r="J14" s="199" t="str">
        <f>'8. Carga REL'!$D$97</f>
        <v>U</v>
      </c>
      <c r="K14" s="200" t="str">
        <f>'8. Carga REL'!$D$105</f>
        <v>E</v>
      </c>
      <c r="L14" s="214" t="s">
        <v>66</v>
      </c>
      <c r="M14" s="200" t="str">
        <f>'8. Carga REL'!$D$113</f>
        <v>E</v>
      </c>
      <c r="N14" s="199" t="str">
        <f>'8. Carga REL'!$D$114</f>
        <v>U</v>
      </c>
      <c r="O14" s="199" t="str">
        <f>'8. Carga REL'!$D$115</f>
        <v>U</v>
      </c>
      <c r="P14" s="199" t="str">
        <f>'8. Carga REL'!$D$116</f>
        <v>U</v>
      </c>
      <c r="Q14" s="199" t="str">
        <f>'8. Carga REL'!$D$117</f>
        <v>U</v>
      </c>
      <c r="R14" s="199" t="str">
        <f>'8. Carga REL'!$D$118</f>
        <v>U</v>
      </c>
      <c r="S14" s="199" t="str">
        <f>'8. Carga REL'!$D$119</f>
        <v>U</v>
      </c>
      <c r="T14" s="196"/>
      <c r="U14" s="196"/>
    </row>
    <row r="15" ht="21.0" customHeight="1">
      <c r="B15" s="213" t="s">
        <v>624</v>
      </c>
      <c r="C15" s="199" t="str">
        <f>'8. Carga REL'!$D$14</f>
        <v>U</v>
      </c>
      <c r="D15" s="199" t="str">
        <f>'8. Carga REL'!$D$29</f>
        <v>U</v>
      </c>
      <c r="E15" s="199" t="str">
        <f>'8. Carga REL'!$D$43</f>
        <v>U</v>
      </c>
      <c r="F15" s="199" t="str">
        <f>'8. Carga REL'!$D$56</f>
        <v>U</v>
      </c>
      <c r="G15" s="199" t="str">
        <f>'8. Carga REL'!$D$68</f>
        <v>U</v>
      </c>
      <c r="H15" s="199" t="str">
        <f>'8. Carga REL'!$D$79</f>
        <v>U</v>
      </c>
      <c r="I15" s="199" t="str">
        <f>'8. Carga REL'!$D$89</f>
        <v>U</v>
      </c>
      <c r="J15" s="199" t="str">
        <f>'8. Carga REL'!$D$98</f>
        <v>U</v>
      </c>
      <c r="K15" s="197" t="str">
        <f>'8. Carga REL'!$D$106</f>
        <v>A</v>
      </c>
      <c r="L15" s="200" t="str">
        <f>'8. Carga REL'!$D$113</f>
        <v>E</v>
      </c>
      <c r="M15" s="214" t="s">
        <v>66</v>
      </c>
      <c r="N15" s="197" t="str">
        <f>'8. Carga REL'!$D$120</f>
        <v>A</v>
      </c>
      <c r="O15" s="199" t="str">
        <f>'8. Carga REL'!$D$121</f>
        <v>U</v>
      </c>
      <c r="P15" s="199" t="str">
        <f>'8. Carga REL'!$D$122</f>
        <v>U</v>
      </c>
      <c r="Q15" s="199" t="str">
        <f>'8. Carga REL'!$D$123</f>
        <v>U</v>
      </c>
      <c r="R15" s="199" t="str">
        <f>'8. Carga REL'!$D$124</f>
        <v>U</v>
      </c>
      <c r="S15" s="199" t="str">
        <f>'8. Carga REL'!$D$125</f>
        <v>U</v>
      </c>
      <c r="T15" s="196"/>
      <c r="U15" s="196"/>
    </row>
    <row r="16" ht="21.0" customHeight="1">
      <c r="B16" s="213" t="s">
        <v>626</v>
      </c>
      <c r="C16" s="199" t="str">
        <f>'8. Carga REL'!$D$15</f>
        <v>U</v>
      </c>
      <c r="D16" s="199" t="str">
        <f>'8. Carga REL'!$D$30</f>
        <v>U</v>
      </c>
      <c r="E16" s="199" t="str">
        <f>'8. Carga REL'!$D$44</f>
        <v>U</v>
      </c>
      <c r="F16" s="199" t="str">
        <f>'8. Carga REL'!$D$57</f>
        <v>U</v>
      </c>
      <c r="G16" s="204" t="str">
        <f>'8. Carga REL'!$D$69</f>
        <v>X</v>
      </c>
      <c r="H16" s="199" t="str">
        <f>'8. Carga REL'!$D$80</f>
        <v>U</v>
      </c>
      <c r="I16" s="199" t="str">
        <f>'8. Carga REL'!$D$90</f>
        <v>U</v>
      </c>
      <c r="J16" s="199" t="str">
        <f>'8. Carga REL'!$D$99</f>
        <v>U</v>
      </c>
      <c r="K16" s="199" t="str">
        <f>'8. Carga REL'!$D$107</f>
        <v>U</v>
      </c>
      <c r="L16" s="199" t="str">
        <f>'8. Carga REL'!$D$114</f>
        <v>U</v>
      </c>
      <c r="M16" s="197" t="str">
        <f>'8. Carga REL'!$D$120</f>
        <v>A</v>
      </c>
      <c r="N16" s="214" t="s">
        <v>66</v>
      </c>
      <c r="O16" s="197" t="str">
        <f>'8. Carga REL'!$D$126</f>
        <v>A</v>
      </c>
      <c r="P16" s="199" t="str">
        <f>'8. Carga REL'!$D$127</f>
        <v>U</v>
      </c>
      <c r="Q16" s="201" t="str">
        <f>'8. Carga REL'!$D$128</f>
        <v>O</v>
      </c>
      <c r="R16" s="199" t="str">
        <f>'8. Carga REL'!$D$129</f>
        <v>U</v>
      </c>
      <c r="S16" s="199" t="str">
        <f>'8. Carga REL'!$D$130</f>
        <v>U</v>
      </c>
      <c r="T16" s="196"/>
      <c r="U16" s="196"/>
    </row>
    <row r="17" ht="21.0" customHeight="1">
      <c r="B17" s="213" t="s">
        <v>627</v>
      </c>
      <c r="C17" s="199" t="str">
        <f>'8. Carga REL'!$D$16</f>
        <v>U</v>
      </c>
      <c r="D17" s="199" t="str">
        <f>'8. Carga REL'!$D$31</f>
        <v>U</v>
      </c>
      <c r="E17" s="199" t="str">
        <f>'8. Carga REL'!$D$45</f>
        <v>U</v>
      </c>
      <c r="F17" s="199" t="str">
        <f>'8. Carga REL'!$D$58</f>
        <v>U</v>
      </c>
      <c r="G17" s="199" t="str">
        <f>'8. Carga REL'!$D$70</f>
        <v>U</v>
      </c>
      <c r="H17" s="199" t="str">
        <f>'8. Carga REL'!$D$81</f>
        <v>U</v>
      </c>
      <c r="I17" s="199" t="str">
        <f>'8. Carga REL'!$D$91</f>
        <v>U</v>
      </c>
      <c r="J17" s="199" t="str">
        <f>'8. Carga REL'!$D$100</f>
        <v>U</v>
      </c>
      <c r="K17" s="199" t="str">
        <f>'8. Carga REL'!$D$108</f>
        <v>U</v>
      </c>
      <c r="L17" s="199" t="str">
        <f>'8. Carga REL'!$D$115</f>
        <v>U</v>
      </c>
      <c r="M17" s="199" t="str">
        <f>'8. Carga REL'!$D$121</f>
        <v>U</v>
      </c>
      <c r="N17" s="197" t="str">
        <f>'8. Carga REL'!$D$126</f>
        <v>A</v>
      </c>
      <c r="O17" s="214" t="s">
        <v>66</v>
      </c>
      <c r="P17" s="211" t="str">
        <f>'8. Carga REL'!$D$131</f>
        <v>I</v>
      </c>
      <c r="Q17" s="199" t="str">
        <f>'8. Carga REL'!$D$132</f>
        <v>U</v>
      </c>
      <c r="R17" s="199" t="str">
        <f>'8. Carga REL'!$D$133</f>
        <v>U</v>
      </c>
      <c r="S17" s="199" t="str">
        <f>'8. Carga REL'!$D$134</f>
        <v>U</v>
      </c>
      <c r="T17" s="196"/>
      <c r="U17" s="196"/>
    </row>
    <row r="18" ht="21.0" customHeight="1">
      <c r="B18" s="213" t="s">
        <v>628</v>
      </c>
      <c r="C18" s="199" t="str">
        <f>'8. Carga REL'!$D$17</f>
        <v>U</v>
      </c>
      <c r="D18" s="199" t="str">
        <f>'8. Carga REL'!$D$32</f>
        <v>U</v>
      </c>
      <c r="E18" s="199" t="str">
        <f>'8. Carga REL'!$D$46</f>
        <v>U</v>
      </c>
      <c r="F18" s="199" t="str">
        <f>'8. Carga REL'!$D$59</f>
        <v>U</v>
      </c>
      <c r="G18" s="199" t="str">
        <f>'8. Carga REL'!$D$71</f>
        <v>U</v>
      </c>
      <c r="H18" s="199" t="str">
        <f>'8. Carga REL'!$D$82</f>
        <v>U</v>
      </c>
      <c r="I18" s="211" t="str">
        <f>'8. Carga REL'!$D$92</f>
        <v>I</v>
      </c>
      <c r="J18" s="199" t="str">
        <f>'8. Carga REL'!$D$101</f>
        <v>U</v>
      </c>
      <c r="K18" s="199" t="str">
        <f>'8. Carga REL'!$D$109</f>
        <v>U</v>
      </c>
      <c r="L18" s="199" t="str">
        <f>'8. Carga REL'!$D$116</f>
        <v>U</v>
      </c>
      <c r="M18" s="199" t="str">
        <f>'8. Carga REL'!$D$122</f>
        <v>U</v>
      </c>
      <c r="N18" s="199" t="str">
        <f>'8. Carga REL'!$D$127</f>
        <v>U</v>
      </c>
      <c r="O18" s="211" t="str">
        <f>'8. Carga REL'!$D$131</f>
        <v>I</v>
      </c>
      <c r="P18" s="214" t="s">
        <v>66</v>
      </c>
      <c r="Q18" s="199" t="str">
        <f>'8. Carga REL'!$D$135</f>
        <v>U</v>
      </c>
      <c r="R18" s="199" t="str">
        <f>'8. Carga REL'!$D$136</f>
        <v>U</v>
      </c>
      <c r="S18" s="199" t="str">
        <f>'8. Carga REL'!$D$137</f>
        <v>U</v>
      </c>
      <c r="T18" s="196"/>
      <c r="U18" s="196"/>
    </row>
    <row r="19" ht="21.0" customHeight="1">
      <c r="B19" s="213" t="s">
        <v>629</v>
      </c>
      <c r="C19" s="199" t="str">
        <f>'8. Carga REL'!$D$18</f>
        <v>U</v>
      </c>
      <c r="D19" s="199" t="str">
        <f>'8. Carga REL'!$D$33</f>
        <v>U</v>
      </c>
      <c r="E19" s="199" t="str">
        <f>'8. Carga REL'!$D$47</f>
        <v>U</v>
      </c>
      <c r="F19" s="201" t="str">
        <f>'8. Carga REL'!$D$60</f>
        <v>O</v>
      </c>
      <c r="G19" s="199" t="str">
        <f>'8. Carga REL'!$D$72</f>
        <v>U</v>
      </c>
      <c r="H19" s="201" t="str">
        <f>'8. Carga REL'!$D$83</f>
        <v>O</v>
      </c>
      <c r="I19" s="199" t="str">
        <f>'8. Carga REL'!$D$93</f>
        <v>U</v>
      </c>
      <c r="J19" s="199" t="str">
        <f>'8. Carga REL'!$D$102</f>
        <v>U</v>
      </c>
      <c r="K19" s="199" t="str">
        <f>'8. Carga REL'!$D$110</f>
        <v>U</v>
      </c>
      <c r="L19" s="199" t="str">
        <f>'8. Carga REL'!$D$117</f>
        <v>U</v>
      </c>
      <c r="M19" s="199" t="str">
        <f>'8. Carga REL'!$D$123</f>
        <v>U</v>
      </c>
      <c r="N19" s="201" t="str">
        <f>'8. Carga REL'!$D$128</f>
        <v>O</v>
      </c>
      <c r="O19" s="199" t="str">
        <f>'8. Carga REL'!$D$132</f>
        <v>U</v>
      </c>
      <c r="P19" s="199" t="str">
        <f>'8. Carga REL'!$D$135</f>
        <v>U</v>
      </c>
      <c r="Q19" s="214" t="s">
        <v>66</v>
      </c>
      <c r="R19" s="199" t="str">
        <f>'8. Carga REL'!$D$138</f>
        <v>U</v>
      </c>
      <c r="S19" s="199" t="str">
        <f>'8. Carga REL'!$D$139</f>
        <v>U</v>
      </c>
      <c r="T19" s="196"/>
      <c r="U19" s="196"/>
    </row>
    <row r="20" ht="21.0" customHeight="1">
      <c r="B20" s="213" t="s">
        <v>631</v>
      </c>
      <c r="C20" s="199" t="str">
        <f>'8. Carga REL'!$D$19</f>
        <v>U</v>
      </c>
      <c r="D20" s="199" t="str">
        <f>'8. Carga REL'!$D$34</f>
        <v>U</v>
      </c>
      <c r="E20" s="201" t="str">
        <f>'8. Carga REL'!$D$48</f>
        <v>O</v>
      </c>
      <c r="F20" s="199" t="str">
        <f>'8. Carga REL'!$D$61</f>
        <v>U</v>
      </c>
      <c r="G20" s="199" t="str">
        <f>'8. Carga REL'!$D$73</f>
        <v>U</v>
      </c>
      <c r="H20" s="199" t="str">
        <f>'8. Carga REL'!$D$84</f>
        <v>U</v>
      </c>
      <c r="I20" s="199" t="str">
        <f>'8. Carga REL'!$D$94</f>
        <v>U</v>
      </c>
      <c r="J20" s="201" t="str">
        <f>'8. Carga REL'!$D$103</f>
        <v>O</v>
      </c>
      <c r="K20" s="199" t="str">
        <f>'8. Carga REL'!$D$111</f>
        <v>U</v>
      </c>
      <c r="L20" s="199" t="str">
        <f>'8. Carga REL'!$D$118</f>
        <v>U</v>
      </c>
      <c r="M20" s="199" t="str">
        <f>'8. Carga REL'!$D$124</f>
        <v>U</v>
      </c>
      <c r="N20" s="199" t="str">
        <f>'8. Carga REL'!$D$129</f>
        <v>U</v>
      </c>
      <c r="O20" s="199" t="str">
        <f>'8. Carga REL'!$D$133</f>
        <v>U</v>
      </c>
      <c r="P20" s="199" t="str">
        <f>'8. Carga REL'!$D$136</f>
        <v>U</v>
      </c>
      <c r="Q20" s="199" t="str">
        <f>'8. Carga REL'!$D$138</f>
        <v>U</v>
      </c>
      <c r="R20" s="214" t="s">
        <v>66</v>
      </c>
      <c r="S20" s="199" t="str">
        <f>'8. Carga REL'!$D$140</f>
        <v>U</v>
      </c>
      <c r="T20" s="196"/>
      <c r="U20" s="196"/>
    </row>
    <row r="21" ht="21.0" customHeight="1">
      <c r="B21" s="213" t="s">
        <v>632</v>
      </c>
      <c r="C21" s="199" t="str">
        <f>'8. Carga REL'!$D$20</f>
        <v>U</v>
      </c>
      <c r="D21" s="199" t="str">
        <f>'8. Carga REL'!$D$35</f>
        <v>U</v>
      </c>
      <c r="E21" s="199" t="str">
        <f>'8. Carga REL'!$D$49</f>
        <v>U</v>
      </c>
      <c r="F21" s="199" t="str">
        <f>'8. Carga REL'!$D$62</f>
        <v>U</v>
      </c>
      <c r="G21" s="199" t="str">
        <f>'8. Carga REL'!$D$74</f>
        <v>U</v>
      </c>
      <c r="H21" s="211" t="str">
        <f>'8. Carga REL'!$D$85</f>
        <v>I</v>
      </c>
      <c r="I21" s="211" t="str">
        <f>'8. Carga REL'!$D$95</f>
        <v>I</v>
      </c>
      <c r="J21" s="199" t="str">
        <f>'8. Carga REL'!$D$104</f>
        <v>U</v>
      </c>
      <c r="K21" s="199" t="str">
        <f>'8. Carga REL'!$D$112</f>
        <v>U</v>
      </c>
      <c r="L21" s="199" t="str">
        <f>'8. Carga REL'!$D$119</f>
        <v>U</v>
      </c>
      <c r="M21" s="199" t="str">
        <f>'8. Carga REL'!$D$125</f>
        <v>U</v>
      </c>
      <c r="N21" s="199" t="str">
        <f>'8. Carga REL'!$D$130</f>
        <v>U</v>
      </c>
      <c r="O21" s="199" t="str">
        <f>'8. Carga REL'!$D$134</f>
        <v>U</v>
      </c>
      <c r="P21" s="199" t="str">
        <f>'8. Carga REL'!$D$137</f>
        <v>U</v>
      </c>
      <c r="Q21" s="199" t="str">
        <f>'8. Carga REL'!$D$139</f>
        <v>U</v>
      </c>
      <c r="R21" s="199" t="str">
        <f>'8. Carga REL'!$D$140</f>
        <v>U</v>
      </c>
      <c r="S21" s="214" t="s">
        <v>66</v>
      </c>
      <c r="T21" s="196"/>
      <c r="U21" s="196"/>
    </row>
    <row r="22" ht="21.0" customHeight="1">
      <c r="B22" s="250"/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</row>
    <row r="23" ht="21.0" customHeight="1">
      <c r="A23" s="251"/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8"/>
      <c r="T23" s="196"/>
      <c r="U23" s="196"/>
    </row>
    <row r="24" ht="21.0" customHeight="1">
      <c r="A24" s="252"/>
      <c r="B24" s="253"/>
      <c r="C24" s="253"/>
      <c r="D24" s="253"/>
      <c r="E24" s="253"/>
      <c r="F24" s="253"/>
      <c r="G24" s="253"/>
      <c r="H24" s="253"/>
      <c r="I24" s="253"/>
      <c r="J24" s="253"/>
      <c r="K24" s="253"/>
      <c r="L24" s="253"/>
      <c r="M24" s="253"/>
      <c r="N24" s="253"/>
      <c r="O24" s="253"/>
      <c r="P24" s="253"/>
      <c r="Q24" s="253"/>
      <c r="R24" s="253"/>
      <c r="S24" s="254"/>
    </row>
    <row r="25" ht="21.0" customHeight="1">
      <c r="A25" s="255"/>
      <c r="S25" s="256"/>
    </row>
    <row r="26" ht="21.0" customHeight="1">
      <c r="A26" s="255"/>
      <c r="S26" s="256"/>
    </row>
    <row r="27" ht="21.0" customHeight="1">
      <c r="A27" s="255"/>
      <c r="S27" s="256"/>
    </row>
    <row r="28" ht="21.0" customHeight="1">
      <c r="A28" s="255"/>
      <c r="S28" s="256"/>
    </row>
    <row r="29" ht="21.0" customHeight="1">
      <c r="A29" s="255"/>
      <c r="S29" s="256"/>
    </row>
    <row r="30" ht="21.0" customHeight="1">
      <c r="A30" s="255"/>
      <c r="S30" s="256"/>
    </row>
    <row r="31" ht="21.0" customHeight="1">
      <c r="A31" s="255"/>
      <c r="S31" s="256"/>
    </row>
    <row r="32" ht="21.0" customHeight="1">
      <c r="A32" s="255"/>
      <c r="S32" s="256"/>
    </row>
    <row r="33" ht="21.0" customHeight="1">
      <c r="A33" s="255"/>
      <c r="S33" s="256"/>
    </row>
    <row r="34" ht="21.0" customHeight="1">
      <c r="A34" s="255"/>
      <c r="S34" s="256"/>
    </row>
    <row r="35" ht="21.0" customHeight="1">
      <c r="A35" s="255"/>
      <c r="S35" s="256"/>
    </row>
    <row r="36" ht="21.0" customHeight="1">
      <c r="A36" s="255"/>
      <c r="S36" s="256"/>
    </row>
    <row r="37" ht="21.0" customHeight="1">
      <c r="A37" s="255"/>
      <c r="S37" s="256"/>
    </row>
    <row r="38" ht="21.0" customHeight="1">
      <c r="A38" s="255"/>
      <c r="S38" s="256"/>
    </row>
    <row r="39" ht="21.0" customHeight="1">
      <c r="A39" s="255"/>
      <c r="S39" s="256"/>
    </row>
    <row r="40" ht="21.0" customHeight="1">
      <c r="A40" s="255"/>
      <c r="S40" s="256"/>
    </row>
    <row r="41" ht="21.0" customHeight="1">
      <c r="A41" s="255"/>
      <c r="S41" s="256"/>
    </row>
    <row r="42" ht="21.0" customHeight="1">
      <c r="A42" s="255"/>
      <c r="S42" s="256"/>
    </row>
    <row r="43" ht="21.0" customHeight="1">
      <c r="A43" s="255"/>
      <c r="S43" s="256"/>
    </row>
    <row r="44" ht="21.0" customHeight="1">
      <c r="A44" s="255"/>
      <c r="S44" s="256"/>
    </row>
    <row r="45" ht="21.0" customHeight="1">
      <c r="A45" s="257"/>
      <c r="B45" s="258"/>
      <c r="C45" s="258"/>
      <c r="D45" s="258"/>
      <c r="E45" s="258"/>
      <c r="F45" s="258"/>
      <c r="G45" s="258"/>
      <c r="H45" s="258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9"/>
    </row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U1"/>
    <mergeCell ref="A2:U2"/>
    <mergeCell ref="A23:S23"/>
  </mergeCells>
  <conditionalFormatting sqref="C5:U23">
    <cfRule type="expression" dxfId="0" priority="1">
      <formula>C5="A"</formula>
    </cfRule>
  </conditionalFormatting>
  <conditionalFormatting sqref="C5:U23">
    <cfRule type="expression" dxfId="1" priority="2">
      <formula>C5="E"</formula>
    </cfRule>
  </conditionalFormatting>
  <conditionalFormatting sqref="C5:U23">
    <cfRule type="expression" dxfId="2" priority="3">
      <formula>C5="I"</formula>
    </cfRule>
  </conditionalFormatting>
  <conditionalFormatting sqref="C5:U23">
    <cfRule type="expression" dxfId="3" priority="4">
      <formula>C5="O"</formula>
    </cfRule>
  </conditionalFormatting>
  <conditionalFormatting sqref="C5:U23">
    <cfRule type="expression" dxfId="6" priority="5">
      <formula>C5="U"</formula>
    </cfRule>
  </conditionalFormatting>
  <conditionalFormatting sqref="C5:U23">
    <cfRule type="expression" dxfId="5" priority="6">
      <formula>C5="X"</formula>
    </cfRule>
  </conditionalFormatting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9.0"/>
    <col customWidth="1" min="3" max="3" width="11.57"/>
    <col customWidth="1" min="4" max="4" width="15.86"/>
    <col customWidth="1" min="5" max="5" width="10.86"/>
    <col customWidth="1" min="6" max="6" width="9.86"/>
    <col customWidth="1" min="7" max="7" width="16.86"/>
    <col customWidth="1" min="8" max="8" width="14.71"/>
    <col customWidth="1" min="9" max="26" width="10.71"/>
  </cols>
  <sheetData>
    <row r="1" ht="14.25" customHeight="1">
      <c r="A1" s="231" t="s">
        <v>707</v>
      </c>
      <c r="B1" s="231" t="s">
        <v>708</v>
      </c>
      <c r="C1" s="231" t="s">
        <v>709</v>
      </c>
      <c r="D1" s="231" t="s">
        <v>710</v>
      </c>
      <c r="E1" s="231" t="s">
        <v>711</v>
      </c>
      <c r="F1" s="231" t="s">
        <v>712</v>
      </c>
      <c r="G1" s="231" t="s">
        <v>713</v>
      </c>
      <c r="H1" s="231" t="s">
        <v>714</v>
      </c>
    </row>
    <row r="2" ht="14.25" customHeight="1">
      <c r="A2" s="232"/>
      <c r="B2" s="233" t="s">
        <v>715</v>
      </c>
      <c r="C2" s="234"/>
      <c r="D2" s="235"/>
      <c r="E2" s="236">
        <v>12.0</v>
      </c>
      <c r="F2" s="236">
        <v>15.6</v>
      </c>
      <c r="G2" s="237">
        <f t="shared" ref="G2:G3" si="1">+F2*E2</f>
        <v>187.2</v>
      </c>
      <c r="H2" s="238"/>
    </row>
    <row r="3" ht="14.25" customHeight="1">
      <c r="A3" s="232"/>
      <c r="B3" s="233" t="s">
        <v>716</v>
      </c>
      <c r="C3" s="234"/>
      <c r="D3" s="235"/>
      <c r="E3" s="236">
        <v>8.3</v>
      </c>
      <c r="F3" s="236">
        <v>6.3</v>
      </c>
      <c r="G3" s="237">
        <f t="shared" si="1"/>
        <v>52.29</v>
      </c>
      <c r="H3" s="238"/>
    </row>
    <row r="4" ht="14.25" customHeight="1">
      <c r="A4" s="232"/>
      <c r="B4" s="233" t="s">
        <v>717</v>
      </c>
      <c r="C4" s="234" t="s">
        <v>718</v>
      </c>
      <c r="D4" s="235" t="s">
        <v>719</v>
      </c>
      <c r="E4" s="236"/>
      <c r="F4" s="236"/>
      <c r="G4" s="237">
        <v>14.5</v>
      </c>
      <c r="H4" s="238"/>
    </row>
    <row r="5" ht="14.25" customHeight="1">
      <c r="A5" s="232"/>
      <c r="B5" s="233" t="s">
        <v>720</v>
      </c>
      <c r="C5" s="234"/>
      <c r="D5" s="235"/>
      <c r="E5" s="236">
        <v>2.1</v>
      </c>
      <c r="F5" s="236">
        <v>1.5</v>
      </c>
      <c r="G5" s="237">
        <f>+F5*E5</f>
        <v>3.15</v>
      </c>
      <c r="H5" s="238"/>
    </row>
    <row r="6" ht="14.25" customHeight="1">
      <c r="A6" s="232"/>
      <c r="B6" s="233" t="s">
        <v>721</v>
      </c>
      <c r="C6" s="234" t="s">
        <v>722</v>
      </c>
      <c r="D6" s="239" t="s">
        <v>723</v>
      </c>
      <c r="E6" s="240">
        <v>2.0</v>
      </c>
      <c r="F6" s="240">
        <v>3.0</v>
      </c>
      <c r="G6" s="237">
        <v>7.6</v>
      </c>
      <c r="H6" s="241"/>
    </row>
    <row r="7" ht="14.25" customHeight="1">
      <c r="A7" s="232"/>
      <c r="B7" s="233" t="s">
        <v>724</v>
      </c>
      <c r="C7" s="234" t="s">
        <v>725</v>
      </c>
      <c r="D7" s="239" t="s">
        <v>723</v>
      </c>
      <c r="E7" s="240">
        <v>2.4</v>
      </c>
      <c r="F7" s="240">
        <v>2.17</v>
      </c>
      <c r="G7" s="237">
        <v>5.22</v>
      </c>
      <c r="H7" s="241"/>
    </row>
    <row r="8" ht="14.25" customHeight="1">
      <c r="A8" s="232"/>
      <c r="B8" s="233" t="s">
        <v>726</v>
      </c>
      <c r="C8" s="234" t="s">
        <v>725</v>
      </c>
      <c r="D8" s="239" t="s">
        <v>723</v>
      </c>
      <c r="E8" s="240">
        <v>2.2</v>
      </c>
      <c r="F8" s="240">
        <v>1.85</v>
      </c>
      <c r="G8" s="237">
        <v>4.08</v>
      </c>
      <c r="H8" s="241"/>
    </row>
    <row r="9" ht="14.25" customHeight="1">
      <c r="A9" s="232"/>
      <c r="B9" s="233" t="s">
        <v>727</v>
      </c>
      <c r="C9" s="234" t="s">
        <v>725</v>
      </c>
      <c r="D9" s="239" t="s">
        <v>723</v>
      </c>
      <c r="E9" s="240">
        <v>2.5</v>
      </c>
      <c r="F9" s="240">
        <v>2.32</v>
      </c>
      <c r="G9" s="237">
        <v>3.4</v>
      </c>
      <c r="H9" s="241"/>
    </row>
    <row r="10" ht="14.25" customHeight="1">
      <c r="A10" s="232"/>
      <c r="B10" s="233" t="s">
        <v>728</v>
      </c>
      <c r="C10" s="234" t="s">
        <v>729</v>
      </c>
      <c r="D10" s="239" t="s">
        <v>723</v>
      </c>
      <c r="E10" s="240">
        <v>8.6</v>
      </c>
      <c r="F10" s="240">
        <v>2.3</v>
      </c>
      <c r="G10" s="237">
        <v>19.78</v>
      </c>
      <c r="H10" s="241"/>
    </row>
    <row r="11" ht="14.25" customHeight="1">
      <c r="A11" s="232"/>
      <c r="B11" s="233" t="s">
        <v>730</v>
      </c>
      <c r="C11" s="234" t="s">
        <v>731</v>
      </c>
      <c r="D11" s="239" t="s">
        <v>723</v>
      </c>
      <c r="E11" s="240">
        <v>7.0</v>
      </c>
      <c r="F11" s="240">
        <v>1.19</v>
      </c>
      <c r="G11" s="237">
        <v>8.34</v>
      </c>
      <c r="H11" s="241"/>
    </row>
    <row r="12" ht="14.25" customHeight="1">
      <c r="A12" s="232"/>
      <c r="B12" s="233" t="s">
        <v>732</v>
      </c>
      <c r="C12" s="234" t="s">
        <v>279</v>
      </c>
      <c r="D12" s="239" t="s">
        <v>723</v>
      </c>
      <c r="E12" s="240">
        <v>4.0</v>
      </c>
      <c r="F12" s="240">
        <v>4.3</v>
      </c>
      <c r="G12" s="237">
        <f>+F12*E12</f>
        <v>17.2</v>
      </c>
      <c r="H12" s="241"/>
      <c r="I12" s="80">
        <f>+G12/8</f>
        <v>2.15</v>
      </c>
    </row>
    <row r="13" ht="14.25" customHeight="1">
      <c r="A13" s="232"/>
      <c r="B13" s="233" t="s">
        <v>733</v>
      </c>
      <c r="C13" s="234" t="s">
        <v>725</v>
      </c>
      <c r="D13" s="239" t="s">
        <v>723</v>
      </c>
      <c r="E13" s="240">
        <v>2.0</v>
      </c>
      <c r="F13" s="240">
        <v>1.5</v>
      </c>
      <c r="G13" s="237">
        <v>3.0</v>
      </c>
    </row>
    <row r="14" ht="14.25" customHeight="1">
      <c r="A14" s="232"/>
      <c r="B14" s="233" t="s">
        <v>734</v>
      </c>
      <c r="C14" s="234" t="s">
        <v>725</v>
      </c>
      <c r="D14" s="239" t="s">
        <v>723</v>
      </c>
      <c r="E14" s="240">
        <v>1.5</v>
      </c>
      <c r="F14" s="240">
        <v>1.23</v>
      </c>
      <c r="G14" s="237">
        <v>1.85</v>
      </c>
      <c r="H14" s="241"/>
    </row>
    <row r="15" ht="14.25" customHeight="1">
      <c r="A15" s="232"/>
      <c r="B15" s="233" t="s">
        <v>735</v>
      </c>
      <c r="C15" s="234" t="s">
        <v>729</v>
      </c>
      <c r="D15" s="239" t="s">
        <v>723</v>
      </c>
      <c r="E15" s="240">
        <v>5.2</v>
      </c>
      <c r="F15" s="240">
        <v>3.74</v>
      </c>
      <c r="G15" s="237">
        <v>19.46</v>
      </c>
      <c r="H15" s="241"/>
    </row>
    <row r="16" ht="14.25" customHeight="1">
      <c r="A16" s="232"/>
      <c r="B16" s="233" t="s">
        <v>736</v>
      </c>
      <c r="C16" s="234" t="s">
        <v>731</v>
      </c>
      <c r="D16" s="239" t="s">
        <v>723</v>
      </c>
      <c r="E16" s="240">
        <v>2.65</v>
      </c>
      <c r="F16" s="240">
        <v>2.0</v>
      </c>
      <c r="G16" s="237">
        <v>5.3</v>
      </c>
      <c r="H16" s="241"/>
    </row>
    <row r="17" ht="14.25" customHeight="1">
      <c r="A17" s="232"/>
      <c r="B17" s="233" t="s">
        <v>737</v>
      </c>
      <c r="C17" s="234" t="s">
        <v>279</v>
      </c>
      <c r="D17" s="239" t="s">
        <v>723</v>
      </c>
      <c r="E17" s="240">
        <v>4.84</v>
      </c>
      <c r="F17" s="240">
        <v>4.8</v>
      </c>
      <c r="G17" s="237">
        <f>+F17*E17</f>
        <v>23.232</v>
      </c>
      <c r="H17" s="241"/>
      <c r="I17" s="80">
        <f>+G17/6</f>
        <v>3.872</v>
      </c>
    </row>
    <row r="18" ht="14.25" customHeight="1">
      <c r="A18" s="232"/>
      <c r="B18" s="242" t="s">
        <v>629</v>
      </c>
      <c r="C18" s="242"/>
      <c r="D18" s="242"/>
      <c r="E18" s="242">
        <v>2.9</v>
      </c>
      <c r="F18" s="242">
        <v>2.0</v>
      </c>
      <c r="G18" s="242">
        <f>+E18*F18</f>
        <v>5.8</v>
      </c>
    </row>
    <row r="19" ht="14.25" customHeight="1">
      <c r="A19" s="232"/>
      <c r="B19" s="242" t="s">
        <v>738</v>
      </c>
      <c r="C19" s="242"/>
      <c r="D19" s="242"/>
      <c r="E19" s="242">
        <v>2.9</v>
      </c>
      <c r="F19" s="242">
        <v>5.0</v>
      </c>
      <c r="G19" s="242">
        <f>+F19*E19</f>
        <v>14.5</v>
      </c>
    </row>
    <row r="20" ht="14.25" customHeight="1">
      <c r="B20" s="243" t="s">
        <v>739</v>
      </c>
      <c r="G20" s="244">
        <f>+SUM(G1:G19)</f>
        <v>395.902</v>
      </c>
      <c r="H20" s="245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3" width="18.0"/>
    <col customWidth="1" min="4" max="26" width="10.71"/>
  </cols>
  <sheetData>
    <row r="1" ht="14.25" customHeight="1">
      <c r="A1" s="16"/>
      <c r="B1" s="16"/>
      <c r="C1" s="16"/>
      <c r="D1" s="16"/>
      <c r="E1" s="16"/>
      <c r="F1" s="16"/>
      <c r="G1" s="16"/>
      <c r="H1" s="16"/>
      <c r="I1" s="246" t="s">
        <v>740</v>
      </c>
      <c r="L1" s="246" t="s">
        <v>741</v>
      </c>
      <c r="O1" s="246" t="s">
        <v>742</v>
      </c>
    </row>
    <row r="2" ht="14.25" customHeight="1">
      <c r="A2" s="16" t="s">
        <v>20</v>
      </c>
      <c r="B2" s="16" t="s">
        <v>22</v>
      </c>
      <c r="C2" s="16" t="s">
        <v>23</v>
      </c>
      <c r="D2" s="16" t="s">
        <v>24</v>
      </c>
      <c r="E2" s="16" t="s">
        <v>25</v>
      </c>
      <c r="F2" s="16" t="s">
        <v>26</v>
      </c>
      <c r="G2" s="16" t="s">
        <v>27</v>
      </c>
      <c r="H2" s="16" t="s">
        <v>28</v>
      </c>
      <c r="I2" s="247" t="s">
        <v>743</v>
      </c>
      <c r="J2" s="16" t="s">
        <v>744</v>
      </c>
      <c r="K2" s="16" t="s">
        <v>744</v>
      </c>
      <c r="L2" s="247" t="s">
        <v>743</v>
      </c>
      <c r="M2" s="16" t="s">
        <v>744</v>
      </c>
      <c r="N2" s="16" t="s">
        <v>745</v>
      </c>
      <c r="O2" s="247" t="s">
        <v>743</v>
      </c>
      <c r="P2" s="16" t="s">
        <v>744</v>
      </c>
      <c r="Q2" s="16" t="s">
        <v>744</v>
      </c>
    </row>
    <row r="3" ht="14.25" customHeight="1">
      <c r="A3" s="20" t="s">
        <v>38</v>
      </c>
      <c r="B3" s="21" t="s">
        <v>40</v>
      </c>
      <c r="C3" s="21" t="s">
        <v>43</v>
      </c>
      <c r="D3" s="23" t="s">
        <v>44</v>
      </c>
      <c r="E3" s="25" t="s">
        <v>46</v>
      </c>
      <c r="F3" s="34">
        <v>300.0</v>
      </c>
      <c r="G3" s="42">
        <v>4.0</v>
      </c>
      <c r="H3" s="46">
        <v>1099.7999649899307</v>
      </c>
      <c r="I3" s="145">
        <v>6.54</v>
      </c>
      <c r="J3" s="248">
        <f t="shared" ref="J3:J6" si="1">+I3*G3</f>
        <v>26.16</v>
      </c>
      <c r="K3" s="248">
        <f t="shared" ref="K3:K6" si="2">+H3*I3</f>
        <v>7192.691771</v>
      </c>
      <c r="L3" s="80">
        <v>6.32</v>
      </c>
      <c r="M3" s="80">
        <f t="shared" ref="M3:M6" si="3">+L3*G3</f>
        <v>25.28</v>
      </c>
      <c r="N3" s="248">
        <f t="shared" ref="N3:N6" si="4">+H3*L3</f>
        <v>6950.735779</v>
      </c>
      <c r="O3" s="80">
        <v>6.32</v>
      </c>
      <c r="P3" s="80">
        <f t="shared" ref="P3:P6" si="5">+G3*O3</f>
        <v>25.28</v>
      </c>
      <c r="Q3" s="248">
        <f t="shared" ref="Q3:Q6" si="6">+O3*H3</f>
        <v>6950.735779</v>
      </c>
    </row>
    <row r="4" ht="14.25" customHeight="1">
      <c r="A4" s="20" t="s">
        <v>88</v>
      </c>
      <c r="B4" s="21" t="s">
        <v>43</v>
      </c>
      <c r="C4" s="58" t="s">
        <v>95</v>
      </c>
      <c r="D4" s="23"/>
      <c r="E4" s="25"/>
      <c r="F4" s="34">
        <v>150.0</v>
      </c>
      <c r="G4" s="42">
        <v>4.0</v>
      </c>
      <c r="H4" s="46">
        <v>1099.8</v>
      </c>
      <c r="I4" s="145">
        <v>4.078</v>
      </c>
      <c r="J4" s="248">
        <f t="shared" si="1"/>
        <v>16.312</v>
      </c>
      <c r="K4" s="248">
        <f t="shared" si="2"/>
        <v>4484.9844</v>
      </c>
      <c r="L4" s="80">
        <v>3.06</v>
      </c>
      <c r="M4" s="80">
        <f t="shared" si="3"/>
        <v>12.24</v>
      </c>
      <c r="N4" s="248">
        <f t="shared" si="4"/>
        <v>3365.388</v>
      </c>
      <c r="O4" s="80">
        <v>3.06</v>
      </c>
      <c r="P4" s="80">
        <f t="shared" si="5"/>
        <v>12.24</v>
      </c>
      <c r="Q4" s="248">
        <f t="shared" si="6"/>
        <v>3365.388</v>
      </c>
    </row>
    <row r="5" ht="14.25" customHeight="1">
      <c r="A5" s="20" t="s">
        <v>109</v>
      </c>
      <c r="B5" s="58" t="s">
        <v>95</v>
      </c>
      <c r="C5" s="58" t="s">
        <v>110</v>
      </c>
      <c r="D5" s="59" t="s">
        <v>112</v>
      </c>
      <c r="E5" s="60" t="s">
        <v>117</v>
      </c>
      <c r="F5" s="34">
        <v>150.0</v>
      </c>
      <c r="G5" s="42">
        <v>4.0</v>
      </c>
      <c r="H5" s="62">
        <v>600.0</v>
      </c>
      <c r="I5" s="145">
        <v>2.7880000000000003</v>
      </c>
      <c r="J5" s="248">
        <f t="shared" si="1"/>
        <v>11.152</v>
      </c>
      <c r="K5" s="248">
        <f t="shared" si="2"/>
        <v>1672.8</v>
      </c>
      <c r="L5" s="80">
        <v>2.82</v>
      </c>
      <c r="M5" s="80">
        <f t="shared" si="3"/>
        <v>11.28</v>
      </c>
      <c r="N5" s="248">
        <f t="shared" si="4"/>
        <v>1692</v>
      </c>
      <c r="O5" s="80">
        <v>2.82</v>
      </c>
      <c r="P5" s="80">
        <f t="shared" si="5"/>
        <v>11.28</v>
      </c>
      <c r="Q5" s="248">
        <f t="shared" si="6"/>
        <v>1692</v>
      </c>
    </row>
    <row r="6" ht="14.25" customHeight="1">
      <c r="A6" s="20" t="s">
        <v>133</v>
      </c>
      <c r="B6" s="21" t="s">
        <v>110</v>
      </c>
      <c r="C6" s="21" t="s">
        <v>134</v>
      </c>
      <c r="D6" s="23" t="s">
        <v>136</v>
      </c>
      <c r="E6" s="25" t="s">
        <v>137</v>
      </c>
      <c r="F6" s="34">
        <v>100.0</v>
      </c>
      <c r="G6" s="42">
        <v>6.0</v>
      </c>
      <c r="H6" s="62">
        <v>600.0</v>
      </c>
      <c r="I6" s="145">
        <v>2.52</v>
      </c>
      <c r="J6" s="248">
        <f t="shared" si="1"/>
        <v>15.12</v>
      </c>
      <c r="K6" s="248">
        <f t="shared" si="2"/>
        <v>1512</v>
      </c>
      <c r="L6" s="80">
        <v>2.71</v>
      </c>
      <c r="M6" s="80">
        <f t="shared" si="3"/>
        <v>16.26</v>
      </c>
      <c r="N6" s="248">
        <f t="shared" si="4"/>
        <v>1626</v>
      </c>
      <c r="O6" s="80">
        <v>2.71</v>
      </c>
      <c r="P6" s="80">
        <f t="shared" si="5"/>
        <v>16.26</v>
      </c>
      <c r="Q6" s="248">
        <f t="shared" si="6"/>
        <v>1626</v>
      </c>
    </row>
    <row r="7" ht="14.25" customHeight="1">
      <c r="A7" s="20" t="s">
        <v>141</v>
      </c>
      <c r="B7" s="58" t="s">
        <v>134</v>
      </c>
      <c r="C7" s="58" t="s">
        <v>142</v>
      </c>
      <c r="D7" s="59" t="s">
        <v>143</v>
      </c>
      <c r="E7" s="60" t="s">
        <v>144</v>
      </c>
      <c r="F7" s="34" t="s">
        <v>145</v>
      </c>
      <c r="G7" s="42">
        <v>1.0</v>
      </c>
      <c r="H7" s="62" t="s">
        <v>145</v>
      </c>
      <c r="I7" s="145">
        <v>5.65</v>
      </c>
      <c r="J7" s="248" t="s">
        <v>66</v>
      </c>
      <c r="K7" s="248" t="s">
        <v>66</v>
      </c>
      <c r="L7" s="80" t="s">
        <v>66</v>
      </c>
      <c r="M7" s="80" t="s">
        <v>66</v>
      </c>
      <c r="N7" s="248" t="s">
        <v>66</v>
      </c>
      <c r="O7" s="248" t="s">
        <v>66</v>
      </c>
      <c r="P7" s="248" t="s">
        <v>66</v>
      </c>
      <c r="Q7" s="248" t="s">
        <v>66</v>
      </c>
    </row>
    <row r="8" ht="14.25" customHeight="1">
      <c r="A8" s="20" t="s">
        <v>147</v>
      </c>
      <c r="B8" s="21" t="s">
        <v>142</v>
      </c>
      <c r="C8" s="21" t="s">
        <v>148</v>
      </c>
      <c r="D8" s="23" t="s">
        <v>149</v>
      </c>
      <c r="E8" s="25" t="s">
        <v>144</v>
      </c>
      <c r="F8" s="34" t="s">
        <v>145</v>
      </c>
      <c r="G8" s="42">
        <v>1.0</v>
      </c>
      <c r="H8" s="62" t="s">
        <v>145</v>
      </c>
      <c r="I8" s="145">
        <v>6.25</v>
      </c>
      <c r="J8" s="248" t="s">
        <v>66</v>
      </c>
      <c r="K8" s="248" t="s">
        <v>66</v>
      </c>
      <c r="L8" s="80" t="s">
        <v>66</v>
      </c>
      <c r="M8" s="80" t="s">
        <v>66</v>
      </c>
      <c r="N8" s="248" t="s">
        <v>66</v>
      </c>
      <c r="O8" s="248" t="s">
        <v>66</v>
      </c>
      <c r="P8" s="248" t="s">
        <v>66</v>
      </c>
      <c r="Q8" s="248" t="s">
        <v>66</v>
      </c>
    </row>
    <row r="9" ht="14.25" customHeight="1">
      <c r="A9" s="20" t="s">
        <v>151</v>
      </c>
      <c r="B9" s="58" t="s">
        <v>148</v>
      </c>
      <c r="C9" s="58" t="s">
        <v>154</v>
      </c>
      <c r="D9" s="59" t="s">
        <v>155</v>
      </c>
      <c r="E9" s="60" t="s">
        <v>156</v>
      </c>
      <c r="F9" s="34" t="s">
        <v>145</v>
      </c>
      <c r="G9" s="42">
        <v>1.0</v>
      </c>
      <c r="H9" s="62" t="s">
        <v>145</v>
      </c>
      <c r="I9" s="145">
        <v>5.4</v>
      </c>
      <c r="J9" s="248" t="s">
        <v>66</v>
      </c>
      <c r="K9" s="248" t="s">
        <v>66</v>
      </c>
      <c r="L9" s="80" t="s">
        <v>66</v>
      </c>
      <c r="M9" s="80" t="s">
        <v>66</v>
      </c>
      <c r="N9" s="248" t="s">
        <v>66</v>
      </c>
      <c r="O9" s="248" t="s">
        <v>66</v>
      </c>
      <c r="P9" s="248" t="s">
        <v>66</v>
      </c>
      <c r="Q9" s="248" t="s">
        <v>66</v>
      </c>
    </row>
    <row r="10" ht="14.25" customHeight="1">
      <c r="A10" s="20" t="s">
        <v>157</v>
      </c>
      <c r="B10" s="58" t="s">
        <v>154</v>
      </c>
      <c r="C10" s="58" t="s">
        <v>158</v>
      </c>
      <c r="D10" s="59" t="s">
        <v>159</v>
      </c>
      <c r="E10" s="60" t="s">
        <v>46</v>
      </c>
      <c r="F10" s="34">
        <v>315.0</v>
      </c>
      <c r="G10" s="42">
        <v>2.0</v>
      </c>
      <c r="H10" s="62">
        <v>630.0</v>
      </c>
      <c r="I10" s="145">
        <v>12.26</v>
      </c>
      <c r="J10" s="248">
        <f t="shared" ref="J10:J19" si="7">+I10*G10</f>
        <v>24.52</v>
      </c>
      <c r="K10" s="248">
        <f t="shared" ref="K10:K19" si="8">+H10*I10</f>
        <v>7723.8</v>
      </c>
      <c r="L10" s="80">
        <v>10.97</v>
      </c>
      <c r="M10" s="80">
        <f t="shared" ref="M10:M19" si="9">+L10*G10</f>
        <v>21.94</v>
      </c>
      <c r="N10" s="248">
        <f t="shared" ref="N10:N19" si="10">+H10*L10</f>
        <v>6911.1</v>
      </c>
      <c r="O10" s="80">
        <v>9.56</v>
      </c>
      <c r="P10" s="80">
        <f t="shared" ref="P10:P19" si="11">+G10*O10</f>
        <v>19.12</v>
      </c>
      <c r="Q10" s="248">
        <f t="shared" ref="Q10:Q19" si="12">+O10*H10</f>
        <v>6022.8</v>
      </c>
    </row>
    <row r="11" ht="14.25" customHeight="1">
      <c r="A11" s="20" t="s">
        <v>167</v>
      </c>
      <c r="B11" s="21" t="s">
        <v>95</v>
      </c>
      <c r="C11" s="21" t="s">
        <v>168</v>
      </c>
      <c r="D11" s="23" t="s">
        <v>169</v>
      </c>
      <c r="E11" s="25" t="s">
        <v>117</v>
      </c>
      <c r="F11" s="34">
        <v>150.0</v>
      </c>
      <c r="G11" s="42">
        <v>4.0</v>
      </c>
      <c r="H11" s="62">
        <v>600.0</v>
      </c>
      <c r="I11" s="145">
        <v>1.87</v>
      </c>
      <c r="J11" s="248">
        <f t="shared" si="7"/>
        <v>7.48</v>
      </c>
      <c r="K11" s="248">
        <f t="shared" si="8"/>
        <v>1122</v>
      </c>
      <c r="L11" s="80">
        <v>2.54</v>
      </c>
      <c r="M11" s="80">
        <f t="shared" si="9"/>
        <v>10.16</v>
      </c>
      <c r="N11" s="248">
        <f t="shared" si="10"/>
        <v>1524</v>
      </c>
      <c r="O11" s="80">
        <v>2.54</v>
      </c>
      <c r="P11" s="80">
        <f t="shared" si="11"/>
        <v>10.16</v>
      </c>
      <c r="Q11" s="248">
        <f t="shared" si="12"/>
        <v>1524</v>
      </c>
    </row>
    <row r="12" ht="14.25" customHeight="1">
      <c r="A12" s="20" t="s">
        <v>171</v>
      </c>
      <c r="B12" s="58" t="s">
        <v>168</v>
      </c>
      <c r="C12" s="58" t="s">
        <v>172</v>
      </c>
      <c r="D12" s="59" t="s">
        <v>173</v>
      </c>
      <c r="E12" s="60" t="s">
        <v>137</v>
      </c>
      <c r="F12" s="34">
        <v>100.0</v>
      </c>
      <c r="G12" s="42">
        <v>6.0</v>
      </c>
      <c r="H12" s="62">
        <v>600.0</v>
      </c>
      <c r="I12" s="145">
        <v>1.75</v>
      </c>
      <c r="J12" s="248">
        <f t="shared" si="7"/>
        <v>10.5</v>
      </c>
      <c r="K12" s="248">
        <f t="shared" si="8"/>
        <v>1050</v>
      </c>
      <c r="L12" s="80">
        <v>2.37</v>
      </c>
      <c r="M12" s="80">
        <f t="shared" si="9"/>
        <v>14.22</v>
      </c>
      <c r="N12" s="248">
        <f t="shared" si="10"/>
        <v>1422</v>
      </c>
      <c r="O12" s="80">
        <v>2.54</v>
      </c>
      <c r="P12" s="80">
        <f t="shared" si="11"/>
        <v>15.24</v>
      </c>
      <c r="Q12" s="248">
        <f t="shared" si="12"/>
        <v>1524</v>
      </c>
    </row>
    <row r="13" ht="14.25" customHeight="1">
      <c r="A13" s="20" t="s">
        <v>174</v>
      </c>
      <c r="B13" s="21" t="s">
        <v>172</v>
      </c>
      <c r="C13" s="21" t="s">
        <v>175</v>
      </c>
      <c r="D13" s="23" t="s">
        <v>176</v>
      </c>
      <c r="E13" s="25" t="s">
        <v>177</v>
      </c>
      <c r="F13" s="34">
        <v>43.2</v>
      </c>
      <c r="G13" s="42">
        <v>6.0</v>
      </c>
      <c r="H13" s="62">
        <v>259.20000000000005</v>
      </c>
      <c r="I13" s="145">
        <v>2.56</v>
      </c>
      <c r="J13" s="248">
        <f t="shared" si="7"/>
        <v>15.36</v>
      </c>
      <c r="K13" s="248">
        <f t="shared" si="8"/>
        <v>663.552</v>
      </c>
      <c r="L13" s="80">
        <v>1.4188999999999998</v>
      </c>
      <c r="M13" s="80">
        <f t="shared" si="9"/>
        <v>8.5134</v>
      </c>
      <c r="N13" s="248">
        <f t="shared" si="10"/>
        <v>367.77888</v>
      </c>
      <c r="O13" s="80">
        <v>1.54</v>
      </c>
      <c r="P13" s="80">
        <f t="shared" si="11"/>
        <v>9.24</v>
      </c>
      <c r="Q13" s="248">
        <f t="shared" si="12"/>
        <v>399.168</v>
      </c>
    </row>
    <row r="14" ht="14.25" customHeight="1">
      <c r="A14" s="20" t="s">
        <v>180</v>
      </c>
      <c r="B14" s="21" t="s">
        <v>172</v>
      </c>
      <c r="C14" s="58" t="s">
        <v>182</v>
      </c>
      <c r="D14" s="23" t="s">
        <v>176</v>
      </c>
      <c r="E14" s="25" t="s">
        <v>177</v>
      </c>
      <c r="F14" s="34">
        <v>43.2</v>
      </c>
      <c r="G14" s="42">
        <v>8.0</v>
      </c>
      <c r="H14" s="62">
        <v>345.6</v>
      </c>
      <c r="I14" s="145">
        <v>3.54</v>
      </c>
      <c r="J14" s="248">
        <f t="shared" si="7"/>
        <v>28.32</v>
      </c>
      <c r="K14" s="248">
        <f t="shared" si="8"/>
        <v>1223.424</v>
      </c>
      <c r="L14" s="80">
        <v>3.79</v>
      </c>
      <c r="M14" s="80">
        <f t="shared" si="9"/>
        <v>30.32</v>
      </c>
      <c r="N14" s="248">
        <f t="shared" si="10"/>
        <v>1309.824</v>
      </c>
      <c r="O14" s="80">
        <v>4.08</v>
      </c>
      <c r="P14" s="80">
        <f t="shared" si="11"/>
        <v>32.64</v>
      </c>
      <c r="Q14" s="248">
        <f t="shared" si="12"/>
        <v>1410.048</v>
      </c>
    </row>
    <row r="15" ht="14.25" customHeight="1">
      <c r="A15" s="20" t="s">
        <v>185</v>
      </c>
      <c r="B15" s="58" t="s">
        <v>175</v>
      </c>
      <c r="C15" s="58" t="s">
        <v>182</v>
      </c>
      <c r="D15" s="59" t="s">
        <v>186</v>
      </c>
      <c r="E15" s="60" t="s">
        <v>177</v>
      </c>
      <c r="F15" s="34">
        <v>43.2</v>
      </c>
      <c r="G15" s="42">
        <v>6.0</v>
      </c>
      <c r="H15" s="62">
        <v>259.20000000000005</v>
      </c>
      <c r="I15" s="145">
        <v>3.16</v>
      </c>
      <c r="J15" s="248">
        <f t="shared" si="7"/>
        <v>18.96</v>
      </c>
      <c r="K15" s="248">
        <f t="shared" si="8"/>
        <v>819.072</v>
      </c>
      <c r="L15" s="80">
        <v>4.0</v>
      </c>
      <c r="M15" s="80">
        <f t="shared" si="9"/>
        <v>24</v>
      </c>
      <c r="N15" s="248">
        <f t="shared" si="10"/>
        <v>1036.8</v>
      </c>
      <c r="O15" s="80">
        <v>3.58</v>
      </c>
      <c r="P15" s="80">
        <f t="shared" si="11"/>
        <v>21.48</v>
      </c>
      <c r="Q15" s="248">
        <f t="shared" si="12"/>
        <v>927.936</v>
      </c>
    </row>
    <row r="16" ht="14.25" customHeight="1">
      <c r="A16" s="20" t="s">
        <v>188</v>
      </c>
      <c r="B16" s="21" t="s">
        <v>182</v>
      </c>
      <c r="C16" s="21" t="s">
        <v>189</v>
      </c>
      <c r="D16" s="23" t="s">
        <v>190</v>
      </c>
      <c r="E16" s="25" t="s">
        <v>177</v>
      </c>
      <c r="F16" s="34">
        <v>43.2</v>
      </c>
      <c r="G16" s="42">
        <v>14.0</v>
      </c>
      <c r="H16" s="62">
        <v>604.8000000000001</v>
      </c>
      <c r="I16" s="145">
        <v>3.52</v>
      </c>
      <c r="J16" s="248">
        <f t="shared" si="7"/>
        <v>49.28</v>
      </c>
      <c r="K16" s="248">
        <f t="shared" si="8"/>
        <v>2128.896</v>
      </c>
      <c r="L16" s="80">
        <v>3.68</v>
      </c>
      <c r="M16" s="80">
        <f t="shared" si="9"/>
        <v>51.52</v>
      </c>
      <c r="N16" s="248">
        <f t="shared" si="10"/>
        <v>2225.664</v>
      </c>
      <c r="O16" s="80">
        <v>4.18</v>
      </c>
      <c r="P16" s="80">
        <f t="shared" si="11"/>
        <v>58.52</v>
      </c>
      <c r="Q16" s="248">
        <f t="shared" si="12"/>
        <v>2528.064</v>
      </c>
    </row>
    <row r="17" ht="14.25" customHeight="1">
      <c r="A17" s="20" t="s">
        <v>193</v>
      </c>
      <c r="B17" s="58" t="s">
        <v>189</v>
      </c>
      <c r="C17" s="21" t="s">
        <v>195</v>
      </c>
      <c r="D17" s="59" t="s">
        <v>196</v>
      </c>
      <c r="E17" s="60" t="s">
        <v>197</v>
      </c>
      <c r="F17" s="34">
        <v>30.0</v>
      </c>
      <c r="G17" s="42">
        <v>14.0</v>
      </c>
      <c r="H17" s="62">
        <v>420.0</v>
      </c>
      <c r="I17" s="145">
        <v>4.13</v>
      </c>
      <c r="J17" s="248">
        <f t="shared" si="7"/>
        <v>57.82</v>
      </c>
      <c r="K17" s="248">
        <f t="shared" si="8"/>
        <v>1734.6</v>
      </c>
      <c r="L17" s="80">
        <v>3.29</v>
      </c>
      <c r="M17" s="80">
        <f t="shared" si="9"/>
        <v>46.06</v>
      </c>
      <c r="N17" s="248">
        <f t="shared" si="10"/>
        <v>1381.8</v>
      </c>
      <c r="O17" s="80">
        <v>4.55</v>
      </c>
      <c r="P17" s="80">
        <f t="shared" si="11"/>
        <v>63.7</v>
      </c>
      <c r="Q17" s="248">
        <f t="shared" si="12"/>
        <v>1911</v>
      </c>
    </row>
    <row r="18" ht="14.25" customHeight="1">
      <c r="A18" s="20" t="s">
        <v>200</v>
      </c>
      <c r="B18" s="21" t="s">
        <v>195</v>
      </c>
      <c r="C18" s="21" t="s">
        <v>158</v>
      </c>
      <c r="D18" s="23" t="s">
        <v>201</v>
      </c>
      <c r="E18" s="25" t="s">
        <v>46</v>
      </c>
      <c r="F18" s="34">
        <v>250.0</v>
      </c>
      <c r="G18" s="42">
        <v>2.0</v>
      </c>
      <c r="H18" s="62">
        <v>500.0</v>
      </c>
      <c r="I18" s="145">
        <v>11.19</v>
      </c>
      <c r="J18" s="248">
        <f t="shared" si="7"/>
        <v>22.38</v>
      </c>
      <c r="K18" s="248">
        <f t="shared" si="8"/>
        <v>5595</v>
      </c>
      <c r="L18" s="80">
        <v>10.66</v>
      </c>
      <c r="M18" s="80">
        <f t="shared" si="9"/>
        <v>21.32</v>
      </c>
      <c r="N18" s="248">
        <f t="shared" si="10"/>
        <v>5330</v>
      </c>
      <c r="O18" s="80">
        <v>12.24</v>
      </c>
      <c r="P18" s="80">
        <f t="shared" si="11"/>
        <v>24.48</v>
      </c>
      <c r="Q18" s="248">
        <f t="shared" si="12"/>
        <v>6120</v>
      </c>
    </row>
    <row r="19" ht="14.25" customHeight="1">
      <c r="A19" s="20" t="s">
        <v>202</v>
      </c>
      <c r="B19" s="58" t="s">
        <v>134</v>
      </c>
      <c r="C19" s="58" t="s">
        <v>110</v>
      </c>
      <c r="D19" s="59" t="s">
        <v>203</v>
      </c>
      <c r="E19" s="60" t="s">
        <v>204</v>
      </c>
      <c r="F19" s="34">
        <v>6.017423359240921</v>
      </c>
      <c r="G19" s="42">
        <v>1.0</v>
      </c>
      <c r="H19" s="62">
        <v>6.017423359240921</v>
      </c>
      <c r="I19" s="145">
        <v>2.52</v>
      </c>
      <c r="J19" s="248">
        <f t="shared" si="7"/>
        <v>2.52</v>
      </c>
      <c r="K19" s="248">
        <f t="shared" si="8"/>
        <v>15.16390687</v>
      </c>
      <c r="L19" s="80">
        <v>2.71</v>
      </c>
      <c r="M19" s="80">
        <f t="shared" si="9"/>
        <v>2.71</v>
      </c>
      <c r="N19" s="248">
        <f t="shared" si="10"/>
        <v>16.3072173</v>
      </c>
      <c r="O19" s="80">
        <v>2.71</v>
      </c>
      <c r="P19" s="80">
        <f t="shared" si="11"/>
        <v>2.71</v>
      </c>
      <c r="Q19" s="248">
        <f t="shared" si="12"/>
        <v>16.3072173</v>
      </c>
    </row>
    <row r="20" ht="14.25" customHeight="1">
      <c r="A20" s="20" t="s">
        <v>207</v>
      </c>
      <c r="B20" s="58" t="s">
        <v>148</v>
      </c>
      <c r="C20" s="58" t="s">
        <v>110</v>
      </c>
      <c r="D20" s="59" t="s">
        <v>203</v>
      </c>
      <c r="E20" s="60"/>
      <c r="F20" s="34">
        <v>21.937118598448702</v>
      </c>
      <c r="G20" s="42">
        <v>1.0</v>
      </c>
      <c r="H20" s="62">
        <v>21.937118598448702</v>
      </c>
      <c r="I20" s="145">
        <v>22.96</v>
      </c>
      <c r="J20" s="248" t="s">
        <v>66</v>
      </c>
      <c r="K20" s="248" t="s">
        <v>66</v>
      </c>
      <c r="L20" s="80">
        <v>22.18</v>
      </c>
      <c r="M20" s="248" t="s">
        <v>66</v>
      </c>
      <c r="N20" s="248" t="s">
        <v>66</v>
      </c>
      <c r="O20" s="248" t="s">
        <v>66</v>
      </c>
      <c r="P20" s="248" t="s">
        <v>66</v>
      </c>
      <c r="Q20" s="248" t="s">
        <v>66</v>
      </c>
    </row>
    <row r="21" ht="14.25" customHeight="1">
      <c r="A21" s="20" t="s">
        <v>208</v>
      </c>
      <c r="B21" s="58" t="s">
        <v>134</v>
      </c>
      <c r="C21" s="58" t="s">
        <v>209</v>
      </c>
      <c r="D21" s="59" t="s">
        <v>210</v>
      </c>
      <c r="E21" s="60"/>
      <c r="F21" s="34">
        <v>6.017423359240921</v>
      </c>
      <c r="G21" s="42">
        <v>1.0</v>
      </c>
      <c r="H21" s="62">
        <v>6.017423359240921</v>
      </c>
      <c r="I21" s="145">
        <v>22.71</v>
      </c>
      <c r="J21" s="248" t="s">
        <v>66</v>
      </c>
      <c r="K21" s="248" t="s">
        <v>66</v>
      </c>
      <c r="L21" s="80">
        <v>25.13</v>
      </c>
      <c r="M21" s="248" t="s">
        <v>66</v>
      </c>
      <c r="N21" s="248" t="s">
        <v>66</v>
      </c>
      <c r="O21" s="248" t="s">
        <v>66</v>
      </c>
      <c r="P21" s="248" t="s">
        <v>66</v>
      </c>
      <c r="Q21" s="248" t="s">
        <v>66</v>
      </c>
    </row>
    <row r="22" ht="14.25" customHeight="1">
      <c r="A22" s="20" t="s">
        <v>211</v>
      </c>
      <c r="B22" s="58" t="s">
        <v>148</v>
      </c>
      <c r="C22" s="58" t="s">
        <v>209</v>
      </c>
      <c r="D22" s="59" t="s">
        <v>210</v>
      </c>
      <c r="E22" s="60"/>
      <c r="F22" s="34">
        <v>5.4842796496121755</v>
      </c>
      <c r="G22" s="42">
        <v>1.0</v>
      </c>
      <c r="H22" s="62">
        <v>5.4842796496121755</v>
      </c>
      <c r="I22" s="145">
        <v>4.29</v>
      </c>
      <c r="J22" s="248" t="s">
        <v>66</v>
      </c>
      <c r="K22" s="248" t="s">
        <v>66</v>
      </c>
      <c r="L22" s="80">
        <v>6.15</v>
      </c>
      <c r="M22" s="248" t="s">
        <v>66</v>
      </c>
      <c r="N22" s="248" t="s">
        <v>66</v>
      </c>
      <c r="O22" s="248" t="s">
        <v>66</v>
      </c>
      <c r="P22" s="248" t="s">
        <v>66</v>
      </c>
      <c r="Q22" s="248" t="s">
        <v>66</v>
      </c>
    </row>
    <row r="23" ht="14.25" customHeight="1">
      <c r="A23" s="20" t="s">
        <v>213</v>
      </c>
      <c r="B23" s="58" t="s">
        <v>189</v>
      </c>
      <c r="C23" s="58" t="s">
        <v>209</v>
      </c>
      <c r="D23" s="59" t="s">
        <v>210</v>
      </c>
      <c r="E23" s="60" t="s">
        <v>214</v>
      </c>
      <c r="F23" s="34">
        <v>50.0</v>
      </c>
      <c r="G23" s="42">
        <v>1.0</v>
      </c>
      <c r="H23" s="62">
        <v>50.0</v>
      </c>
      <c r="I23" s="145">
        <v>19.92</v>
      </c>
      <c r="J23" s="248" t="s">
        <v>66</v>
      </c>
      <c r="K23" s="248" t="s">
        <v>66</v>
      </c>
      <c r="L23" s="80">
        <v>16.94</v>
      </c>
      <c r="M23" s="248" t="s">
        <v>66</v>
      </c>
      <c r="N23" s="248" t="s">
        <v>66</v>
      </c>
      <c r="O23" s="248" t="s">
        <v>66</v>
      </c>
      <c r="P23" s="248" t="s">
        <v>66</v>
      </c>
      <c r="Q23" s="248" t="s">
        <v>66</v>
      </c>
    </row>
    <row r="24" ht="14.25" customHeight="1">
      <c r="A24" s="20" t="s">
        <v>216</v>
      </c>
      <c r="B24" s="21" t="s">
        <v>168</v>
      </c>
      <c r="C24" s="21" t="s">
        <v>217</v>
      </c>
      <c r="D24" s="23" t="s">
        <v>218</v>
      </c>
      <c r="E24" s="25" t="s">
        <v>219</v>
      </c>
      <c r="F24" s="34"/>
      <c r="G24" s="42">
        <v>15.0</v>
      </c>
      <c r="H24" s="62">
        <v>0.0</v>
      </c>
      <c r="I24" s="145">
        <v>2.2</v>
      </c>
      <c r="J24" s="248">
        <f t="shared" ref="J24:J28" si="13">+I24*G24</f>
        <v>33</v>
      </c>
      <c r="K24" s="248">
        <f t="shared" ref="K24:K28" si="14">+H24*I24</f>
        <v>0</v>
      </c>
      <c r="L24" s="80">
        <v>1.66</v>
      </c>
      <c r="M24" s="80">
        <f t="shared" ref="M24:M28" si="15">+L24*G24</f>
        <v>24.9</v>
      </c>
      <c r="N24" s="248">
        <f t="shared" ref="N24:N28" si="16">+H24*L24</f>
        <v>0</v>
      </c>
      <c r="O24" s="80">
        <v>1.73</v>
      </c>
      <c r="P24" s="80">
        <f t="shared" ref="P24:P28" si="17">+G24*O24</f>
        <v>25.95</v>
      </c>
      <c r="Q24" s="248">
        <f t="shared" ref="Q24:Q28" si="18">+O24*H24</f>
        <v>0</v>
      </c>
    </row>
    <row r="25" ht="14.25" customHeight="1">
      <c r="A25" s="20" t="s">
        <v>224</v>
      </c>
      <c r="B25" s="58" t="s">
        <v>110</v>
      </c>
      <c r="C25" s="58" t="s">
        <v>217</v>
      </c>
      <c r="D25" s="23" t="s">
        <v>225</v>
      </c>
      <c r="E25" s="25" t="s">
        <v>219</v>
      </c>
      <c r="F25" s="34"/>
      <c r="G25" s="42">
        <v>12.0</v>
      </c>
      <c r="H25" s="62">
        <v>0.0</v>
      </c>
      <c r="I25" s="145">
        <v>2.61</v>
      </c>
      <c r="J25" s="248">
        <f t="shared" si="13"/>
        <v>31.32</v>
      </c>
      <c r="K25" s="248">
        <f t="shared" si="14"/>
        <v>0</v>
      </c>
      <c r="L25" s="80">
        <v>1.85</v>
      </c>
      <c r="M25" s="80">
        <f t="shared" si="15"/>
        <v>22.2</v>
      </c>
      <c r="N25" s="248">
        <f t="shared" si="16"/>
        <v>0</v>
      </c>
      <c r="O25" s="80">
        <v>1.85</v>
      </c>
      <c r="P25" s="80">
        <f t="shared" si="17"/>
        <v>22.2</v>
      </c>
      <c r="Q25" s="248">
        <f t="shared" si="18"/>
        <v>0</v>
      </c>
    </row>
    <row r="26" ht="14.25" customHeight="1">
      <c r="A26" s="20" t="s">
        <v>226</v>
      </c>
      <c r="B26" s="21" t="s">
        <v>148</v>
      </c>
      <c r="C26" s="21" t="s">
        <v>227</v>
      </c>
      <c r="D26" s="23" t="s">
        <v>228</v>
      </c>
      <c r="E26" s="25"/>
      <c r="F26" s="34"/>
      <c r="G26" s="42">
        <v>16.0</v>
      </c>
      <c r="H26" s="62">
        <v>0.0</v>
      </c>
      <c r="I26" s="145">
        <v>6.59</v>
      </c>
      <c r="J26" s="248">
        <f t="shared" si="13"/>
        <v>105.44</v>
      </c>
      <c r="K26" s="248">
        <f t="shared" si="14"/>
        <v>0</v>
      </c>
      <c r="L26" s="80">
        <v>8.1</v>
      </c>
      <c r="M26" s="80">
        <f t="shared" si="15"/>
        <v>129.6</v>
      </c>
      <c r="N26" s="248">
        <f t="shared" si="16"/>
        <v>0</v>
      </c>
      <c r="O26" s="80">
        <v>2.6</v>
      </c>
      <c r="P26" s="80">
        <f t="shared" si="17"/>
        <v>41.6</v>
      </c>
      <c r="Q26" s="248">
        <f t="shared" si="18"/>
        <v>0</v>
      </c>
    </row>
    <row r="27" ht="14.25" customHeight="1">
      <c r="A27" s="20" t="s">
        <v>229</v>
      </c>
      <c r="B27" s="58" t="s">
        <v>154</v>
      </c>
      <c r="C27" s="58" t="s">
        <v>227</v>
      </c>
      <c r="D27" s="23" t="s">
        <v>228</v>
      </c>
      <c r="E27" s="60"/>
      <c r="F27" s="34"/>
      <c r="G27" s="42">
        <v>16.0</v>
      </c>
      <c r="H27" s="62">
        <v>0.0</v>
      </c>
      <c r="I27" s="145">
        <v>3.1</v>
      </c>
      <c r="J27" s="248">
        <f t="shared" si="13"/>
        <v>49.6</v>
      </c>
      <c r="K27" s="248">
        <f t="shared" si="14"/>
        <v>0</v>
      </c>
      <c r="L27" s="80">
        <v>4.3</v>
      </c>
      <c r="M27" s="80">
        <f t="shared" si="15"/>
        <v>68.8</v>
      </c>
      <c r="N27" s="248">
        <f t="shared" si="16"/>
        <v>0</v>
      </c>
      <c r="O27" s="80">
        <v>7.0</v>
      </c>
      <c r="P27" s="80">
        <f t="shared" si="17"/>
        <v>112</v>
      </c>
      <c r="Q27" s="248">
        <f t="shared" si="18"/>
        <v>0</v>
      </c>
    </row>
    <row r="28" ht="14.25" customHeight="1">
      <c r="A28" s="20" t="s">
        <v>233</v>
      </c>
      <c r="B28" s="21" t="s">
        <v>189</v>
      </c>
      <c r="C28" s="21" t="s">
        <v>227</v>
      </c>
      <c r="D28" s="23" t="s">
        <v>228</v>
      </c>
      <c r="E28" s="25"/>
      <c r="F28" s="34"/>
      <c r="G28" s="42">
        <v>16.0</v>
      </c>
      <c r="H28" s="62">
        <v>0.0</v>
      </c>
      <c r="I28" s="145">
        <v>12.51</v>
      </c>
      <c r="J28" s="248">
        <f t="shared" si="13"/>
        <v>200.16</v>
      </c>
      <c r="K28" s="248">
        <f t="shared" si="14"/>
        <v>0</v>
      </c>
      <c r="L28" s="80">
        <v>4.08</v>
      </c>
      <c r="M28" s="80">
        <f t="shared" si="15"/>
        <v>65.28</v>
      </c>
      <c r="N28" s="248">
        <f t="shared" si="16"/>
        <v>0</v>
      </c>
      <c r="O28" s="80">
        <v>6.21</v>
      </c>
      <c r="P28" s="80">
        <f t="shared" si="17"/>
        <v>99.36</v>
      </c>
      <c r="Q28" s="248">
        <f t="shared" si="18"/>
        <v>0</v>
      </c>
    </row>
    <row r="29" ht="14.25" customHeight="1">
      <c r="A29" s="96" t="s">
        <v>234</v>
      </c>
      <c r="B29" s="82"/>
      <c r="C29" s="82"/>
      <c r="D29" s="82"/>
      <c r="E29" s="82"/>
      <c r="F29" s="82"/>
      <c r="G29" s="99">
        <v>161.0</v>
      </c>
      <c r="H29" s="99">
        <v>7707.856209956472</v>
      </c>
      <c r="I29" s="99" t="s">
        <v>66</v>
      </c>
      <c r="J29" s="99">
        <f t="shared" ref="J29:K29" si="19">+SUM(J3:J28)</f>
        <v>725.404</v>
      </c>
      <c r="K29" s="249">
        <f t="shared" si="19"/>
        <v>36937.98408</v>
      </c>
      <c r="L29" s="99" t="s">
        <v>66</v>
      </c>
      <c r="M29" s="99">
        <f t="shared" ref="M29:N29" si="20">+SUM(M3:M28)</f>
        <v>606.6034</v>
      </c>
      <c r="N29" s="249">
        <f t="shared" si="20"/>
        <v>35159.39788</v>
      </c>
      <c r="O29" s="99" t="s">
        <v>66</v>
      </c>
      <c r="P29" s="99">
        <f t="shared" ref="P29:Q29" si="21">+SUM(P3:P28)</f>
        <v>623.46</v>
      </c>
      <c r="Q29" s="249">
        <f t="shared" si="21"/>
        <v>36017.447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I1:K1"/>
    <mergeCell ref="L1:N1"/>
    <mergeCell ref="O1:Q1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2026-09-05T16:14:30Z</dcterms:created>
  <dc:creator>ESTACION CENTRAL</dc:creator>
</cp:coreProperties>
</file>