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escargas\Descargas\"/>
    </mc:Choice>
  </mc:AlternateContent>
  <xr:revisionPtr revIDLastSave="0" documentId="13_ncr:1_{A2FD0D01-BDF3-4F5E-85C4-492B2444BA05}" xr6:coauthVersionLast="47" xr6:coauthVersionMax="47" xr10:uidLastSave="{00000000-0000-0000-0000-000000000000}"/>
  <bookViews>
    <workbookView xWindow="-120" yWindow="-120" windowWidth="29040" windowHeight="15840" firstSheet="23" activeTab="27" xr2:uid="{00000000-000D-0000-FFFF-FFFF00000000}"/>
  </bookViews>
  <sheets>
    <sheet name="Carátula" sheetId="1" r:id="rId1"/>
    <sheet name="Ejercicio 1" sheetId="2" r:id="rId2"/>
    <sheet name="Ejercicio 2 " sheetId="3" r:id="rId3"/>
    <sheet name="Ejercicio 3" sheetId="4" r:id="rId4"/>
    <sheet name="Ejercicio 4 y 5" sheetId="5" r:id="rId5"/>
    <sheet name="Ejercicio 6" sheetId="6" r:id="rId6"/>
    <sheet name="Ejercicio 7 y 8" sheetId="7" r:id="rId7"/>
    <sheet name="Ejercicio 9" sheetId="8" r:id="rId8"/>
    <sheet name="Ejercicio 10" sheetId="9" r:id="rId9"/>
    <sheet name="Ejercicio 11" sheetId="10" r:id="rId10"/>
    <sheet name="InfoInicial" sheetId="11" r:id="rId11"/>
    <sheet name="Materia Prima" sheetId="12" r:id="rId12"/>
    <sheet name="Materiales área producción" sheetId="13" r:id="rId13"/>
    <sheet name="Gastos Merc en curso y SE" sheetId="14" r:id="rId14"/>
    <sheet name="Seguros" sheetId="15" r:id="rId15"/>
    <sheet name="Tasas e Impuestos" sheetId="16" r:id="rId16"/>
    <sheet name="DE-Inv AF y Am" sheetId="17" r:id="rId17"/>
    <sheet name="DE-Costos" sheetId="18" r:id="rId18"/>
    <sheet name="DE-InvAT" sheetId="19" r:id="rId19"/>
    <sheet name="DE-Cal Inv." sheetId="20" r:id="rId20"/>
    <sheet name="DE-IVA " sheetId="21" r:id="rId21"/>
    <sheet name="DE-Form" sheetId="22" r:id="rId22"/>
    <sheet name="DF-2 Estructura" sheetId="23" r:id="rId23"/>
    <sheet name="DF-Cred" sheetId="24" r:id="rId24"/>
    <sheet name="DF-CRes" sheetId="25" r:id="rId25"/>
    <sheet name="DF-IVA" sheetId="26" r:id="rId26"/>
    <sheet name="DF- CFyU" sheetId="27" r:id="rId27"/>
    <sheet name="DF-Balance" sheetId="28" r:id="rId28"/>
    <sheet name="DF- Form" sheetId="29" r:id="rId29"/>
    <sheet name="Sensibilidad" sheetId="30" r:id="rId30"/>
    <sheet name="WACC" sheetId="31" state="hidden" r:id="rId31"/>
  </sheets>
  <calcPr calcId="191029"/>
  <extLst>
    <ext uri="GoogleSheetsCustomDataVersion2">
      <go:sheetsCustomData xmlns:go="http://customooxmlschemas.google.com/" r:id="rId35" roundtripDataChecksum="wNMGpZ3G/Hf1Gt8j8zDt4BK+hfYgoFEdfkdm39B6+E4="/>
    </ext>
  </extLst>
</workbook>
</file>

<file path=xl/calcChain.xml><?xml version="1.0" encoding="utf-8"?>
<calcChain xmlns="http://schemas.openxmlformats.org/spreadsheetml/2006/main">
  <c r="C35" i="27" l="1"/>
  <c r="D38" i="28"/>
  <c r="M15" i="29"/>
  <c r="I19" i="29"/>
  <c r="J18" i="29"/>
  <c r="F13" i="24"/>
  <c r="F30" i="29" l="1"/>
  <c r="F31" i="29"/>
  <c r="F32" i="29"/>
  <c r="F33" i="29"/>
  <c r="F34" i="29"/>
  <c r="F35" i="29"/>
  <c r="F36" i="29"/>
  <c r="G36" i="29" s="1"/>
  <c r="F29" i="29"/>
  <c r="F28" i="29"/>
  <c r="F27" i="29"/>
  <c r="E27" i="29" l="1"/>
  <c r="E28" i="29"/>
  <c r="E29" i="29"/>
  <c r="E30" i="29"/>
  <c r="E31" i="29"/>
  <c r="E32" i="29"/>
  <c r="E33" i="29"/>
  <c r="E34" i="29"/>
  <c r="E35" i="29"/>
  <c r="B49" i="29"/>
  <c r="B47" i="29"/>
  <c r="B46" i="29"/>
  <c r="B45" i="29"/>
  <c r="B36" i="29"/>
  <c r="I3" i="30"/>
  <c r="G4" i="30"/>
  <c r="I4" i="30" s="1"/>
  <c r="G3" i="30"/>
  <c r="D38" i="29"/>
  <c r="C35" i="29"/>
  <c r="C34" i="29"/>
  <c r="C33" i="29"/>
  <c r="C32" i="29"/>
  <c r="C31" i="29"/>
  <c r="C30" i="29"/>
  <c r="C29" i="29"/>
  <c r="C28" i="29"/>
  <c r="E15" i="29"/>
  <c r="M14" i="29"/>
  <c r="J3" i="29"/>
  <c r="F3" i="29"/>
  <c r="L16" i="28"/>
  <c r="K16" i="28"/>
  <c r="J16" i="28"/>
  <c r="I16" i="28"/>
  <c r="H16" i="28"/>
  <c r="M27" i="27"/>
  <c r="M23" i="27"/>
  <c r="L22" i="27"/>
  <c r="H22" i="27"/>
  <c r="F22" i="27"/>
  <c r="M21" i="27"/>
  <c r="M20" i="27"/>
  <c r="M12" i="27"/>
  <c r="H11" i="27"/>
  <c r="C9" i="27"/>
  <c r="B8" i="27"/>
  <c r="L16" i="26"/>
  <c r="K16" i="26"/>
  <c r="K22" i="27" s="1"/>
  <c r="J16" i="26"/>
  <c r="J22" i="27" s="1"/>
  <c r="I16" i="26"/>
  <c r="I22" i="27" s="1"/>
  <c r="H16" i="26"/>
  <c r="G16" i="26"/>
  <c r="G22" i="27" s="1"/>
  <c r="F16" i="26"/>
  <c r="E16" i="26"/>
  <c r="E22" i="27" s="1"/>
  <c r="J15" i="26"/>
  <c r="J18" i="26" s="1"/>
  <c r="I15" i="26"/>
  <c r="I18" i="26" s="1"/>
  <c r="B12" i="26"/>
  <c r="B13" i="26" s="1"/>
  <c r="B11" i="26"/>
  <c r="B9" i="26"/>
  <c r="L6" i="25"/>
  <c r="E14" i="24"/>
  <c r="E12" i="24"/>
  <c r="H82" i="23"/>
  <c r="H81" i="23"/>
  <c r="H80" i="23"/>
  <c r="I79" i="23"/>
  <c r="H79" i="23"/>
  <c r="H78" i="23"/>
  <c r="C78" i="23"/>
  <c r="H77" i="23"/>
  <c r="C77" i="23"/>
  <c r="H76" i="23"/>
  <c r="C76" i="23"/>
  <c r="H75" i="23"/>
  <c r="C75" i="23"/>
  <c r="H74" i="23"/>
  <c r="C74" i="23"/>
  <c r="H73" i="23"/>
  <c r="C73" i="23"/>
  <c r="H72" i="23"/>
  <c r="C72" i="23"/>
  <c r="I71" i="23"/>
  <c r="H71" i="23"/>
  <c r="C71" i="23"/>
  <c r="H70" i="23"/>
  <c r="C70" i="23"/>
  <c r="I69" i="23"/>
  <c r="H69" i="23"/>
  <c r="C69" i="23"/>
  <c r="H68" i="23"/>
  <c r="C68" i="23"/>
  <c r="I67" i="23"/>
  <c r="H67" i="23"/>
  <c r="C67" i="23"/>
  <c r="H66" i="23"/>
  <c r="C66" i="23"/>
  <c r="I65" i="23"/>
  <c r="H65" i="23"/>
  <c r="C65" i="23"/>
  <c r="H64" i="23"/>
  <c r="C64" i="23"/>
  <c r="I63" i="23"/>
  <c r="H63" i="23"/>
  <c r="C63" i="23"/>
  <c r="H62" i="23"/>
  <c r="H55" i="23"/>
  <c r="C55" i="23"/>
  <c r="B18" i="23"/>
  <c r="B17" i="23"/>
  <c r="B16" i="23"/>
  <c r="B12" i="23"/>
  <c r="J13" i="22"/>
  <c r="D13" i="22"/>
  <c r="D12" i="22"/>
  <c r="D11" i="22"/>
  <c r="D10" i="22"/>
  <c r="D9" i="22"/>
  <c r="D8" i="22"/>
  <c r="D7" i="22"/>
  <c r="D6" i="22"/>
  <c r="K3" i="22"/>
  <c r="H27" i="21"/>
  <c r="J9" i="22" s="1"/>
  <c r="G27" i="21"/>
  <c r="J8" i="22" s="1"/>
  <c r="L24" i="21"/>
  <c r="L15" i="26" s="1"/>
  <c r="L18" i="26" s="1"/>
  <c r="L11" i="27" s="1"/>
  <c r="K24" i="21"/>
  <c r="K15" i="26" s="1"/>
  <c r="K18" i="26" s="1"/>
  <c r="J24" i="21"/>
  <c r="J27" i="21" s="1"/>
  <c r="J11" i="22" s="1"/>
  <c r="I24" i="21"/>
  <c r="I27" i="21" s="1"/>
  <c r="J10" i="22" s="1"/>
  <c r="H24" i="21"/>
  <c r="H15" i="26" s="1"/>
  <c r="H18" i="26" s="1"/>
  <c r="H11" i="28" s="1"/>
  <c r="G24" i="21"/>
  <c r="G15" i="26" s="1"/>
  <c r="G18" i="26" s="1"/>
  <c r="F24" i="21"/>
  <c r="E24" i="21"/>
  <c r="E27" i="21" s="1"/>
  <c r="J6" i="22" s="1"/>
  <c r="L8" i="21"/>
  <c r="K8" i="21"/>
  <c r="J8" i="21"/>
  <c r="I8" i="21"/>
  <c r="H8" i="21"/>
  <c r="G8" i="21"/>
  <c r="F8" i="21"/>
  <c r="E8" i="21"/>
  <c r="N22" i="20"/>
  <c r="B20" i="20"/>
  <c r="H19" i="20"/>
  <c r="C15" i="20"/>
  <c r="C10" i="20"/>
  <c r="M6" i="20"/>
  <c r="L6" i="20"/>
  <c r="L19" i="20" s="1"/>
  <c r="K6" i="20"/>
  <c r="K19" i="20" s="1"/>
  <c r="J6" i="20"/>
  <c r="I6" i="20"/>
  <c r="H6" i="20"/>
  <c r="G6" i="20"/>
  <c r="F6" i="20"/>
  <c r="F19" i="20" s="1"/>
  <c r="E6" i="20"/>
  <c r="B31" i="19"/>
  <c r="B30" i="19"/>
  <c r="B26" i="19"/>
  <c r="D217" i="18"/>
  <c r="D215" i="18"/>
  <c r="D210" i="18"/>
  <c r="D203" i="18"/>
  <c r="D197" i="18"/>
  <c r="B186" i="18"/>
  <c r="D201" i="18" s="1"/>
  <c r="A175" i="18"/>
  <c r="B173" i="18" s="1"/>
  <c r="B172" i="18" s="1"/>
  <c r="B171" i="18" s="1"/>
  <c r="B170" i="18" s="1"/>
  <c r="B169" i="18" s="1"/>
  <c r="B168" i="18" s="1"/>
  <c r="B167" i="18" s="1"/>
  <c r="B166" i="18" s="1"/>
  <c r="B165" i="18" s="1"/>
  <c r="B164" i="18" s="1"/>
  <c r="B163" i="18" s="1"/>
  <c r="B162" i="18" s="1"/>
  <c r="B161" i="18" s="1"/>
  <c r="B160" i="18" s="1"/>
  <c r="B159" i="18" s="1"/>
  <c r="D174" i="18"/>
  <c r="D171" i="18"/>
  <c r="D170" i="18"/>
  <c r="D166" i="18"/>
  <c r="D163" i="18"/>
  <c r="D162" i="18"/>
  <c r="K92" i="18"/>
  <c r="J92" i="18"/>
  <c r="I92" i="18"/>
  <c r="H92" i="18"/>
  <c r="G92" i="18"/>
  <c r="F92" i="18"/>
  <c r="E92" i="18"/>
  <c r="D92" i="18"/>
  <c r="C92" i="18"/>
  <c r="B92" i="18"/>
  <c r="B149" i="18" s="1"/>
  <c r="V38" i="18"/>
  <c r="U38" i="18"/>
  <c r="T38" i="18"/>
  <c r="W38" i="18" s="1"/>
  <c r="R38" i="18"/>
  <c r="V37" i="18"/>
  <c r="R37" i="18"/>
  <c r="U37" i="18" s="1"/>
  <c r="V36" i="18"/>
  <c r="U36" i="18"/>
  <c r="T36" i="18"/>
  <c r="W36" i="18" s="1"/>
  <c r="R36" i="18"/>
  <c r="V35" i="18"/>
  <c r="U35" i="18"/>
  <c r="T35" i="18"/>
  <c r="W35" i="18" s="1"/>
  <c r="R35" i="18"/>
  <c r="V34" i="18"/>
  <c r="R34" i="18"/>
  <c r="U34" i="18" s="1"/>
  <c r="V33" i="18"/>
  <c r="R33" i="18"/>
  <c r="U33" i="18" s="1"/>
  <c r="U27" i="18"/>
  <c r="T27" i="18"/>
  <c r="U26" i="18"/>
  <c r="T26" i="18"/>
  <c r="U25" i="18"/>
  <c r="T25" i="18"/>
  <c r="L25" i="18"/>
  <c r="U24" i="18"/>
  <c r="T24" i="18"/>
  <c r="U23" i="18"/>
  <c r="T23" i="18"/>
  <c r="T22" i="18"/>
  <c r="U22" i="18" s="1"/>
  <c r="U21" i="18"/>
  <c r="T21" i="18"/>
  <c r="T20" i="18"/>
  <c r="U20" i="18" s="1"/>
  <c r="U19" i="18"/>
  <c r="T19" i="18"/>
  <c r="T18" i="18"/>
  <c r="U18" i="18" s="1"/>
  <c r="T17" i="18"/>
  <c r="U17" i="18" s="1"/>
  <c r="U12" i="18"/>
  <c r="T12" i="18"/>
  <c r="U11" i="18"/>
  <c r="T11" i="18"/>
  <c r="T10" i="18"/>
  <c r="U10" i="18" s="1"/>
  <c r="T9" i="18"/>
  <c r="U9" i="18" s="1"/>
  <c r="T8" i="18"/>
  <c r="U8" i="18" s="1"/>
  <c r="T7" i="18"/>
  <c r="U7" i="18" s="1"/>
  <c r="T6" i="18"/>
  <c r="U6" i="18" s="1"/>
  <c r="U13" i="18" s="1"/>
  <c r="L61" i="17"/>
  <c r="L58" i="17"/>
  <c r="R53" i="17"/>
  <c r="Q53" i="17"/>
  <c r="O53" i="17"/>
  <c r="C53" i="17"/>
  <c r="C50" i="17"/>
  <c r="F50" i="17" s="1"/>
  <c r="C49" i="17"/>
  <c r="C48" i="17"/>
  <c r="C47" i="17"/>
  <c r="C46" i="17"/>
  <c r="P45" i="17"/>
  <c r="L45" i="17"/>
  <c r="C45" i="17"/>
  <c r="C44" i="17"/>
  <c r="B43" i="17"/>
  <c r="B7" i="16" s="1"/>
  <c r="M34" i="17"/>
  <c r="M33" i="17"/>
  <c r="M32" i="17"/>
  <c r="M31" i="17"/>
  <c r="M30" i="17"/>
  <c r="C30" i="17"/>
  <c r="C31" i="17" s="1"/>
  <c r="B30" i="17"/>
  <c r="B31" i="17" s="1"/>
  <c r="T29" i="17"/>
  <c r="M29" i="17"/>
  <c r="T28" i="17"/>
  <c r="M28" i="17"/>
  <c r="T27" i="17"/>
  <c r="M27" i="17"/>
  <c r="T26" i="17"/>
  <c r="T25" i="17"/>
  <c r="T24" i="17"/>
  <c r="T23" i="17"/>
  <c r="T22" i="17"/>
  <c r="T21" i="17"/>
  <c r="T20" i="17"/>
  <c r="T19" i="17"/>
  <c r="T18" i="17"/>
  <c r="L18" i="17"/>
  <c r="M18" i="17" s="1"/>
  <c r="K18" i="17"/>
  <c r="T17" i="17"/>
  <c r="L17" i="17"/>
  <c r="M17" i="17" s="1"/>
  <c r="K17" i="17"/>
  <c r="T16" i="17"/>
  <c r="M16" i="17"/>
  <c r="L16" i="17"/>
  <c r="K16" i="17"/>
  <c r="T15" i="17"/>
  <c r="M15" i="17"/>
  <c r="T14" i="17"/>
  <c r="M14" i="17"/>
  <c r="M19" i="17" s="1"/>
  <c r="B16" i="17" s="1"/>
  <c r="M13" i="17"/>
  <c r="T12" i="17"/>
  <c r="M12" i="17"/>
  <c r="B12" i="17"/>
  <c r="W11" i="17"/>
  <c r="T11" i="17"/>
  <c r="M11" i="17"/>
  <c r="T10" i="17"/>
  <c r="M10" i="17"/>
  <c r="T9" i="17"/>
  <c r="M9" i="17"/>
  <c r="B9" i="17"/>
  <c r="B45" i="17" s="1"/>
  <c r="T8" i="17"/>
  <c r="T7" i="17"/>
  <c r="B7" i="17"/>
  <c r="T6" i="17"/>
  <c r="T5" i="17"/>
  <c r="T4" i="17"/>
  <c r="T3" i="17"/>
  <c r="T30" i="17" s="1"/>
  <c r="B17" i="17" s="1"/>
  <c r="B4" i="15"/>
  <c r="F4" i="15" s="1"/>
  <c r="B3" i="15"/>
  <c r="F3" i="15" s="1"/>
  <c r="L10" i="13"/>
  <c r="H10" i="13"/>
  <c r="D10" i="13"/>
  <c r="B19" i="12"/>
  <c r="D18" i="12"/>
  <c r="H8" i="12"/>
  <c r="I6" i="12"/>
  <c r="K6" i="12" s="1"/>
  <c r="G6" i="12"/>
  <c r="G5" i="12"/>
  <c r="I5" i="12" s="1"/>
  <c r="K5" i="12" s="1"/>
  <c r="C13" i="9"/>
  <c r="C12" i="9"/>
  <c r="C10" i="9"/>
  <c r="C9" i="9"/>
  <c r="C7" i="9"/>
  <c r="C6" i="9"/>
  <c r="I3" i="9"/>
  <c r="I2" i="9"/>
  <c r="B4" i="8"/>
  <c r="B13" i="8" s="1"/>
  <c r="C4" i="7"/>
  <c r="C6" i="7" s="1"/>
  <c r="C7" i="7" s="1"/>
  <c r="A4" i="7"/>
  <c r="C12" i="6"/>
  <c r="E5" i="10" s="1"/>
  <c r="A4" i="6"/>
  <c r="C4" i="6" s="1"/>
  <c r="E7" i="6" s="1"/>
  <c r="H3" i="6"/>
  <c r="C10" i="4"/>
  <c r="F10" i="4" s="1"/>
  <c r="H10" i="4" s="1"/>
  <c r="D11" i="5" s="1"/>
  <c r="C9" i="4"/>
  <c r="C8" i="4"/>
  <c r="C7" i="4"/>
  <c r="F5" i="4"/>
  <c r="H5" i="4" s="1"/>
  <c r="D6" i="5" s="1"/>
  <c r="E5" i="4"/>
  <c r="E4" i="4"/>
  <c r="F4" i="4" s="1"/>
  <c r="H4" i="4" s="1"/>
  <c r="D5" i="5" s="1"/>
  <c r="C4" i="4"/>
  <c r="E3" i="4"/>
  <c r="F3" i="4" s="1"/>
  <c r="H3" i="4" s="1"/>
  <c r="D4" i="5" s="1"/>
  <c r="B12" i="3"/>
  <c r="B11" i="3"/>
  <c r="E10" i="4" s="1"/>
  <c r="D29" i="2"/>
  <c r="I28" i="2"/>
  <c r="F28" i="2" s="1"/>
  <c r="G21" i="2"/>
  <c r="C4" i="5" s="1"/>
  <c r="G28" i="2" l="1"/>
  <c r="C11" i="5" s="1"/>
  <c r="C28" i="2"/>
  <c r="F27" i="2" s="1"/>
  <c r="F29" i="2"/>
  <c r="G29" i="2" s="1"/>
  <c r="B11" i="16"/>
  <c r="D11" i="16"/>
  <c r="B10" i="16"/>
  <c r="B12" i="16" s="1"/>
  <c r="D10" i="16"/>
  <c r="C10" i="16"/>
  <c r="C11" i="16"/>
  <c r="F7" i="4"/>
  <c r="H7" i="4" s="1"/>
  <c r="D8" i="5" s="1"/>
  <c r="F8" i="5" s="1"/>
  <c r="B6" i="15"/>
  <c r="B47" i="17"/>
  <c r="B5" i="20"/>
  <c r="B53" i="17"/>
  <c r="U28" i="18"/>
  <c r="E8" i="6"/>
  <c r="F7" i="6"/>
  <c r="B48" i="17"/>
  <c r="B7" i="15"/>
  <c r="B19" i="17"/>
  <c r="B49" i="17" s="1"/>
  <c r="D5" i="20"/>
  <c r="D6" i="20" s="1"/>
  <c r="C6" i="23"/>
  <c r="C33" i="17"/>
  <c r="K10" i="18"/>
  <c r="G10" i="18"/>
  <c r="C10" i="18"/>
  <c r="E10" i="18"/>
  <c r="H10" i="18"/>
  <c r="D10" i="18"/>
  <c r="J10" i="18"/>
  <c r="F10" i="18"/>
  <c r="B10" i="18"/>
  <c r="I10" i="18"/>
  <c r="D4" i="10"/>
  <c r="E4" i="10"/>
  <c r="F45" i="17"/>
  <c r="D45" i="17"/>
  <c r="E45" i="17"/>
  <c r="G45" i="17"/>
  <c r="G53" i="18"/>
  <c r="C53" i="18"/>
  <c r="J53" i="18"/>
  <c r="F53" i="18"/>
  <c r="H53" i="18"/>
  <c r="E4" i="5"/>
  <c r="F4" i="5" s="1"/>
  <c r="G4" i="5" s="1"/>
  <c r="K107" i="18"/>
  <c r="G107" i="18"/>
  <c r="C107" i="18"/>
  <c r="J107" i="18"/>
  <c r="F107" i="18"/>
  <c r="I107" i="18"/>
  <c r="B2" i="14"/>
  <c r="H107" i="18"/>
  <c r="E107" i="18"/>
  <c r="D107" i="18"/>
  <c r="J72" i="18"/>
  <c r="F72" i="18"/>
  <c r="B72" i="18"/>
  <c r="I72" i="18"/>
  <c r="E72" i="18"/>
  <c r="K72" i="18"/>
  <c r="C72" i="18"/>
  <c r="D72" i="18"/>
  <c r="H72" i="18"/>
  <c r="G72" i="18"/>
  <c r="I10" i="13"/>
  <c r="D4" i="15"/>
  <c r="T37" i="18"/>
  <c r="W37" i="18" s="1"/>
  <c r="I53" i="18" s="1"/>
  <c r="G19" i="20"/>
  <c r="D78" i="23"/>
  <c r="D76" i="23"/>
  <c r="D74" i="23"/>
  <c r="D72" i="23"/>
  <c r="D70" i="23"/>
  <c r="D68" i="23"/>
  <c r="D66" i="23"/>
  <c r="D64" i="23"/>
  <c r="D77" i="23"/>
  <c r="D73" i="23"/>
  <c r="D71" i="23"/>
  <c r="D69" i="23"/>
  <c r="D67" i="23"/>
  <c r="D65" i="23"/>
  <c r="D63" i="23"/>
  <c r="D75" i="23"/>
  <c r="E6" i="4"/>
  <c r="F6" i="4" s="1"/>
  <c r="H6" i="4" s="1"/>
  <c r="D7" i="5" s="1"/>
  <c r="E7" i="4"/>
  <c r="E8" i="4"/>
  <c r="F8" i="4" s="1"/>
  <c r="H8" i="4" s="1"/>
  <c r="D9" i="5" s="1"/>
  <c r="E9" i="4"/>
  <c r="F9" i="4" s="1"/>
  <c r="H9" i="4" s="1"/>
  <c r="D10" i="5" s="1"/>
  <c r="I3" i="7"/>
  <c r="H6" i="7" s="1"/>
  <c r="E3" i="10" s="1"/>
  <c r="F10" i="13"/>
  <c r="J10" i="13"/>
  <c r="D3" i="15"/>
  <c r="B15" i="17"/>
  <c r="B46" i="17" s="1"/>
  <c r="E50" i="17"/>
  <c r="T33" i="18"/>
  <c r="W33" i="18" s="1"/>
  <c r="T34" i="18"/>
  <c r="W34" i="18" s="1"/>
  <c r="D173" i="18"/>
  <c r="D169" i="18"/>
  <c r="D165" i="18"/>
  <c r="D161" i="18"/>
  <c r="D159" i="18"/>
  <c r="D167" i="18"/>
  <c r="J11" i="28"/>
  <c r="J11" i="27"/>
  <c r="J19" i="20"/>
  <c r="E10" i="13"/>
  <c r="G43" i="17"/>
  <c r="D50" i="17"/>
  <c r="C10" i="13"/>
  <c r="G10" i="13"/>
  <c r="K10" i="13"/>
  <c r="B5" i="15"/>
  <c r="D216" i="18"/>
  <c r="D212" i="18"/>
  <c r="D208" i="18"/>
  <c r="D204" i="18"/>
  <c r="D200" i="18"/>
  <c r="D211" i="18"/>
  <c r="D209" i="18"/>
  <c r="D202" i="18"/>
  <c r="D214" i="18"/>
  <c r="D207" i="18"/>
  <c r="D205" i="18"/>
  <c r="D198" i="18"/>
  <c r="D199" i="18"/>
  <c r="D206" i="18"/>
  <c r="D213" i="18"/>
  <c r="F15" i="26"/>
  <c r="F18" i="26" s="1"/>
  <c r="F27" i="21"/>
  <c r="J7" i="22" s="1"/>
  <c r="D160" i="18"/>
  <c r="D164" i="18"/>
  <c r="D168" i="18"/>
  <c r="D172" i="18"/>
  <c r="G11" i="28"/>
  <c r="G11" i="27"/>
  <c r="K11" i="27"/>
  <c r="K11" i="28"/>
  <c r="K27" i="21"/>
  <c r="J12" i="22" s="1"/>
  <c r="I11" i="28"/>
  <c r="I11" i="27"/>
  <c r="E19" i="20"/>
  <c r="I19" i="20"/>
  <c r="M19" i="20"/>
  <c r="I80" i="23"/>
  <c r="I77" i="23"/>
  <c r="I75" i="23"/>
  <c r="I73" i="23"/>
  <c r="I81" i="23"/>
  <c r="I62" i="23"/>
  <c r="I64" i="23"/>
  <c r="I66" i="23"/>
  <c r="I68" i="23"/>
  <c r="I70" i="23"/>
  <c r="I72" i="23"/>
  <c r="I74" i="23"/>
  <c r="I76" i="23"/>
  <c r="I78" i="23"/>
  <c r="I82" i="23"/>
  <c r="L11" i="28"/>
  <c r="F46" i="17" l="1"/>
  <c r="F51" i="17" s="1"/>
  <c r="D46" i="17"/>
  <c r="G46" i="17" s="1"/>
  <c r="E46" i="17"/>
  <c r="B51" i="17"/>
  <c r="F11" i="28"/>
  <c r="F11" i="27"/>
  <c r="K7" i="29"/>
  <c r="K8" i="18"/>
  <c r="G8" i="18"/>
  <c r="C8" i="18"/>
  <c r="E8" i="18"/>
  <c r="H8" i="18"/>
  <c r="D8" i="18"/>
  <c r="J8" i="18"/>
  <c r="F8" i="18"/>
  <c r="B8" i="18"/>
  <c r="I8" i="18"/>
  <c r="G7" i="21"/>
  <c r="B4" i="22"/>
  <c r="D19" i="20"/>
  <c r="N5" i="20"/>
  <c r="B6" i="20"/>
  <c r="I12" i="18"/>
  <c r="E12" i="18"/>
  <c r="G12" i="18"/>
  <c r="J12" i="18"/>
  <c r="B12" i="18"/>
  <c r="H12" i="18"/>
  <c r="D12" i="18"/>
  <c r="K12" i="18"/>
  <c r="C12" i="18"/>
  <c r="F12" i="18"/>
  <c r="J74" i="18"/>
  <c r="F74" i="18"/>
  <c r="B74" i="18"/>
  <c r="J55" i="18"/>
  <c r="F55" i="18"/>
  <c r="G17" i="21" s="1"/>
  <c r="G6" i="26" s="1"/>
  <c r="I74" i="18"/>
  <c r="E74" i="18"/>
  <c r="I55" i="18"/>
  <c r="E55" i="18"/>
  <c r="G74" i="18"/>
  <c r="K55" i="18"/>
  <c r="C55" i="18"/>
  <c r="G49" i="17"/>
  <c r="K74" i="18"/>
  <c r="G55" i="18"/>
  <c r="D49" i="17"/>
  <c r="D74" i="18"/>
  <c r="H55" i="18"/>
  <c r="B55" i="18"/>
  <c r="E49" i="17"/>
  <c r="C74" i="18"/>
  <c r="H74" i="18"/>
  <c r="D55" i="18"/>
  <c r="E9" i="6"/>
  <c r="F9" i="6" s="1"/>
  <c r="F8" i="6"/>
  <c r="F10" i="6" s="1"/>
  <c r="F5" i="15"/>
  <c r="D5" i="15"/>
  <c r="D8" i="15" s="1"/>
  <c r="D19" i="15" s="1"/>
  <c r="B20" i="17"/>
  <c r="E53" i="18"/>
  <c r="D53" i="18"/>
  <c r="K53" i="18"/>
  <c r="J7" i="21"/>
  <c r="H7" i="21"/>
  <c r="C35" i="17"/>
  <c r="C37" i="17" s="1"/>
  <c r="F7" i="15"/>
  <c r="D7" i="15"/>
  <c r="H75" i="18"/>
  <c r="D75" i="18"/>
  <c r="E7" i="21" s="1"/>
  <c r="H56" i="18"/>
  <c r="D56" i="18"/>
  <c r="K75" i="18"/>
  <c r="G75" i="18"/>
  <c r="C75" i="18"/>
  <c r="K56" i="18"/>
  <c r="G56" i="18"/>
  <c r="C56" i="18"/>
  <c r="D7" i="21" s="1"/>
  <c r="E75" i="18"/>
  <c r="I56" i="18"/>
  <c r="F75" i="18"/>
  <c r="B56" i="18"/>
  <c r="J75" i="18"/>
  <c r="B75" i="18"/>
  <c r="F56" i="18"/>
  <c r="I75" i="18"/>
  <c r="E56" i="18"/>
  <c r="J56" i="18"/>
  <c r="K7" i="21" s="1"/>
  <c r="D47" i="17"/>
  <c r="G47" i="17"/>
  <c r="E47" i="17"/>
  <c r="E51" i="17" s="1"/>
  <c r="C12" i="16"/>
  <c r="C27" i="2"/>
  <c r="F26" i="2" s="1"/>
  <c r="G27" i="2"/>
  <c r="C10" i="5" s="1"/>
  <c r="K5" i="18"/>
  <c r="G5" i="18"/>
  <c r="C5" i="18"/>
  <c r="J5" i="18"/>
  <c r="F5" i="18"/>
  <c r="B5" i="18"/>
  <c r="I5" i="18"/>
  <c r="E5" i="18"/>
  <c r="H5" i="18"/>
  <c r="D5" i="18"/>
  <c r="J91" i="18"/>
  <c r="J94" i="18" s="1"/>
  <c r="F91" i="18"/>
  <c r="F94" i="18" s="1"/>
  <c r="I91" i="18"/>
  <c r="I94" i="18" s="1"/>
  <c r="E91" i="18"/>
  <c r="E94" i="18" s="1"/>
  <c r="G91" i="18"/>
  <c r="G94" i="18" s="1"/>
  <c r="K91" i="18"/>
  <c r="D91" i="18"/>
  <c r="D94" i="18" s="1"/>
  <c r="C91" i="18"/>
  <c r="C94" i="18" s="1"/>
  <c r="H91" i="18"/>
  <c r="H94" i="18" s="1"/>
  <c r="B53" i="18"/>
  <c r="L7" i="21"/>
  <c r="C15" i="28"/>
  <c r="C7" i="23"/>
  <c r="D48" i="17"/>
  <c r="G48" i="17"/>
  <c r="E48" i="17"/>
  <c r="D53" i="17"/>
  <c r="E53" i="17"/>
  <c r="G53" i="17"/>
  <c r="D6" i="15"/>
  <c r="F6" i="15"/>
  <c r="D12" i="16"/>
  <c r="G11" i="5"/>
  <c r="E11" i="5"/>
  <c r="F11" i="5" s="1"/>
  <c r="G21" i="28" l="1"/>
  <c r="F21" i="28"/>
  <c r="E55" i="17"/>
  <c r="B12" i="6"/>
  <c r="B6" i="8"/>
  <c r="K21" i="28"/>
  <c r="L21" i="28"/>
  <c r="I21" i="28"/>
  <c r="H21" i="28"/>
  <c r="J21" i="28"/>
  <c r="F55" i="17"/>
  <c r="H3" i="25"/>
  <c r="H48" i="23"/>
  <c r="I5" i="19"/>
  <c r="I21" i="21"/>
  <c r="K21" i="21"/>
  <c r="J3" i="25"/>
  <c r="J48" i="23"/>
  <c r="K5" i="19"/>
  <c r="C97" i="18"/>
  <c r="D12" i="13"/>
  <c r="I18" i="21"/>
  <c r="I7" i="26" s="1"/>
  <c r="L18" i="21"/>
  <c r="L7" i="26" s="1"/>
  <c r="J18" i="21"/>
  <c r="J7" i="26" s="1"/>
  <c r="J78" i="18"/>
  <c r="F78" i="18"/>
  <c r="B78" i="18"/>
  <c r="I78" i="18"/>
  <c r="E78" i="18"/>
  <c r="K78" i="18"/>
  <c r="C78" i="18"/>
  <c r="G78" i="18"/>
  <c r="H78" i="18"/>
  <c r="D78" i="18"/>
  <c r="C3" i="25"/>
  <c r="C48" i="23"/>
  <c r="D21" i="21"/>
  <c r="D5" i="19"/>
  <c r="J4" i="19"/>
  <c r="F4" i="19"/>
  <c r="H4" i="19"/>
  <c r="C4" i="19"/>
  <c r="L4" i="19"/>
  <c r="G4" i="19"/>
  <c r="I4" i="19"/>
  <c r="D4" i="19"/>
  <c r="E4" i="19"/>
  <c r="K4" i="19"/>
  <c r="D97" i="18"/>
  <c r="E12" i="13"/>
  <c r="E10" i="5"/>
  <c r="F10" i="5" s="1"/>
  <c r="G10" i="5" s="1"/>
  <c r="D51" i="17"/>
  <c r="C4" i="20"/>
  <c r="I9" i="13"/>
  <c r="E9" i="13"/>
  <c r="K9" i="13"/>
  <c r="B33" i="17"/>
  <c r="L9" i="13"/>
  <c r="H9" i="13"/>
  <c r="D9" i="13"/>
  <c r="B5" i="23"/>
  <c r="G9" i="13"/>
  <c r="C9" i="13"/>
  <c r="J9" i="13"/>
  <c r="F9" i="13"/>
  <c r="D18" i="21"/>
  <c r="D7" i="26" s="1"/>
  <c r="B55" i="17"/>
  <c r="G51" i="17"/>
  <c r="G55" i="17" s="1"/>
  <c r="B13" i="22" s="1"/>
  <c r="B4" i="29"/>
  <c r="C15" i="27"/>
  <c r="C8" i="23"/>
  <c r="C9" i="23"/>
  <c r="C24" i="23" s="1"/>
  <c r="C7" i="21"/>
  <c r="D3" i="25"/>
  <c r="D48" i="23"/>
  <c r="E21" i="21"/>
  <c r="E5" i="19"/>
  <c r="I3" i="25"/>
  <c r="J21" i="21"/>
  <c r="J5" i="19"/>
  <c r="I48" i="23"/>
  <c r="I12" i="13"/>
  <c r="H97" i="18"/>
  <c r="F97" i="18"/>
  <c r="G12" i="13"/>
  <c r="K97" i="18"/>
  <c r="L12" i="13"/>
  <c r="C26" i="2"/>
  <c r="F25" i="2" s="1"/>
  <c r="G26" i="2"/>
  <c r="C9" i="5" s="1"/>
  <c r="D17" i="21"/>
  <c r="D6" i="26" s="1"/>
  <c r="J17" i="21"/>
  <c r="J6" i="26" s="1"/>
  <c r="K17" i="21"/>
  <c r="K6" i="26" s="1"/>
  <c r="G48" i="23"/>
  <c r="H21" i="21"/>
  <c r="H5" i="19"/>
  <c r="G3" i="25"/>
  <c r="I97" i="18"/>
  <c r="J12" i="13"/>
  <c r="I17" i="21"/>
  <c r="I6" i="26" s="1"/>
  <c r="H18" i="21"/>
  <c r="H7" i="26" s="1"/>
  <c r="G18" i="21"/>
  <c r="G7" i="26" s="1"/>
  <c r="G16" i="28"/>
  <c r="F16" i="28"/>
  <c r="E3" i="25"/>
  <c r="E48" i="23"/>
  <c r="F21" i="21"/>
  <c r="F5" i="19"/>
  <c r="B97" i="18"/>
  <c r="C12" i="13"/>
  <c r="G97" i="18"/>
  <c r="H12" i="13"/>
  <c r="E18" i="21"/>
  <c r="E7" i="26" s="1"/>
  <c r="F17" i="21"/>
  <c r="F6" i="26" s="1"/>
  <c r="K18" i="21"/>
  <c r="K7" i="26" s="1"/>
  <c r="F7" i="21"/>
  <c r="I7" i="21"/>
  <c r="B185" i="18"/>
  <c r="K94" i="18"/>
  <c r="F3" i="25"/>
  <c r="G5" i="19"/>
  <c r="F48" i="23"/>
  <c r="G21" i="21"/>
  <c r="E97" i="18"/>
  <c r="F12" i="13"/>
  <c r="J97" i="18"/>
  <c r="K12" i="13"/>
  <c r="J59" i="18"/>
  <c r="F59" i="18"/>
  <c r="B59" i="18"/>
  <c r="I59" i="18"/>
  <c r="E59" i="18"/>
  <c r="G59" i="18"/>
  <c r="K59" i="18"/>
  <c r="C59" i="18"/>
  <c r="D59" i="18"/>
  <c r="H59" i="18"/>
  <c r="F8" i="15"/>
  <c r="E19" i="15" s="1"/>
  <c r="E17" i="21"/>
  <c r="E6" i="26" s="1"/>
  <c r="C17" i="21"/>
  <c r="C6" i="26" s="1"/>
  <c r="H17" i="21"/>
  <c r="H6" i="26" s="1"/>
  <c r="L17" i="21"/>
  <c r="L6" i="26" s="1"/>
  <c r="F18" i="21"/>
  <c r="F7" i="26" s="1"/>
  <c r="C18" i="21"/>
  <c r="C7" i="26" s="1"/>
  <c r="B19" i="20"/>
  <c r="C215" i="18" l="1"/>
  <c r="C211" i="18"/>
  <c r="C207" i="18"/>
  <c r="C203" i="18"/>
  <c r="C199" i="18"/>
  <c r="C213" i="18"/>
  <c r="C206" i="18"/>
  <c r="C204" i="18"/>
  <c r="C197" i="18"/>
  <c r="C216" i="18"/>
  <c r="C209" i="18"/>
  <c r="C202" i="18"/>
  <c r="C200" i="18"/>
  <c r="C217" i="18"/>
  <c r="C210" i="18"/>
  <c r="C208" i="18"/>
  <c r="C214" i="18"/>
  <c r="C212" i="18"/>
  <c r="C205" i="18"/>
  <c r="C198" i="18"/>
  <c r="C201" i="18"/>
  <c r="G7" i="28"/>
  <c r="G3" i="19"/>
  <c r="H9" i="20"/>
  <c r="D9" i="28"/>
  <c r="D26" i="19"/>
  <c r="I9" i="28"/>
  <c r="I26" i="19"/>
  <c r="G12" i="26"/>
  <c r="G9" i="28"/>
  <c r="G26" i="19"/>
  <c r="F9" i="28"/>
  <c r="F26" i="19"/>
  <c r="F10" i="27"/>
  <c r="G25" i="2"/>
  <c r="C8" i="5" s="1"/>
  <c r="G8" i="5" s="1"/>
  <c r="E25" i="2"/>
  <c r="C25" i="2" s="1"/>
  <c r="F24" i="2" s="1"/>
  <c r="J10" i="27"/>
  <c r="E12" i="26"/>
  <c r="B19" i="28"/>
  <c r="B22" i="28" s="1"/>
  <c r="C19" i="28" s="1"/>
  <c r="C22" i="28" s="1"/>
  <c r="D19" i="28" s="1"/>
  <c r="D5" i="23"/>
  <c r="B35" i="17"/>
  <c r="B37" i="17" s="1"/>
  <c r="N4" i="20"/>
  <c r="C6" i="20"/>
  <c r="E7" i="28"/>
  <c r="E3" i="19"/>
  <c r="F9" i="20"/>
  <c r="L7" i="28"/>
  <c r="M9" i="20"/>
  <c r="L3" i="19"/>
  <c r="H7" i="28"/>
  <c r="I9" i="20"/>
  <c r="H3" i="19"/>
  <c r="D12" i="26"/>
  <c r="G10" i="27"/>
  <c r="H9" i="28"/>
  <c r="H26" i="19"/>
  <c r="C21" i="28"/>
  <c r="E21" i="28"/>
  <c r="D55" i="17"/>
  <c r="D21" i="28"/>
  <c r="D7" i="28"/>
  <c r="E9" i="20"/>
  <c r="D3" i="19"/>
  <c r="F7" i="28"/>
  <c r="G9" i="20"/>
  <c r="F3" i="19"/>
  <c r="I12" i="26"/>
  <c r="I10" i="27"/>
  <c r="H3" i="7"/>
  <c r="H5" i="7" s="1"/>
  <c r="D3" i="10" s="1"/>
  <c r="B91" i="18" s="1"/>
  <c r="H11" i="6"/>
  <c r="B7" i="8" s="1"/>
  <c r="B8" i="8" s="1"/>
  <c r="D5" i="10"/>
  <c r="B9" i="8"/>
  <c r="E9" i="5"/>
  <c r="F9" i="5" s="1"/>
  <c r="G9" i="5"/>
  <c r="J12" i="26"/>
  <c r="K7" i="28"/>
  <c r="L9" i="20"/>
  <c r="K3" i="19"/>
  <c r="C7" i="28"/>
  <c r="C11" i="23"/>
  <c r="K12" i="26"/>
  <c r="F26" i="27"/>
  <c r="J7" i="29" s="1"/>
  <c r="G26" i="27"/>
  <c r="J8" i="29" s="1"/>
  <c r="F131" i="18"/>
  <c r="I8" i="22" s="1"/>
  <c r="E131" i="18"/>
  <c r="I7" i="22" s="1"/>
  <c r="B21" i="20"/>
  <c r="K3" i="25"/>
  <c r="K48" i="23"/>
  <c r="L21" i="21"/>
  <c r="L5" i="19"/>
  <c r="F12" i="26"/>
  <c r="H10" i="27"/>
  <c r="H12" i="26"/>
  <c r="J9" i="28"/>
  <c r="J26" i="19"/>
  <c r="E9" i="28"/>
  <c r="E26" i="19"/>
  <c r="E10" i="27"/>
  <c r="I7" i="28"/>
  <c r="I3" i="19"/>
  <c r="J9" i="20"/>
  <c r="J7" i="28"/>
  <c r="K9" i="20"/>
  <c r="J3" i="19"/>
  <c r="D10" i="27"/>
  <c r="K9" i="28"/>
  <c r="K26" i="19"/>
  <c r="K10" i="27"/>
  <c r="I26" i="27"/>
  <c r="J10" i="29" s="1"/>
  <c r="K26" i="27"/>
  <c r="J12" i="29" s="1"/>
  <c r="J26" i="27"/>
  <c r="J11" i="29" s="1"/>
  <c r="L26" i="27"/>
  <c r="J13" i="29" s="1"/>
  <c r="K131" i="18"/>
  <c r="I13" i="22" s="1"/>
  <c r="G131" i="18"/>
  <c r="I9" i="22" s="1"/>
  <c r="H26" i="27"/>
  <c r="J9" i="29" s="1"/>
  <c r="J131" i="18"/>
  <c r="I12" i="22" s="1"/>
  <c r="I131" i="18"/>
  <c r="I11" i="22" s="1"/>
  <c r="H131" i="18"/>
  <c r="I10" i="22" s="1"/>
  <c r="L12" i="26" l="1"/>
  <c r="B23" i="20"/>
  <c r="C19" i="20"/>
  <c r="B4" i="24"/>
  <c r="N6" i="20"/>
  <c r="B3" i="22"/>
  <c r="B107" i="18"/>
  <c r="B1" i="14"/>
  <c r="C131" i="18"/>
  <c r="I5" i="22" s="1"/>
  <c r="H73" i="18"/>
  <c r="H80" i="18" s="1"/>
  <c r="D73" i="18"/>
  <c r="D80" i="18" s="1"/>
  <c r="B131" i="18"/>
  <c r="I4" i="22" s="1"/>
  <c r="K73" i="18"/>
  <c r="K80" i="18" s="1"/>
  <c r="G73" i="18"/>
  <c r="G80" i="18" s="1"/>
  <c r="C73" i="18"/>
  <c r="C80" i="18" s="1"/>
  <c r="I73" i="18"/>
  <c r="I80" i="18" s="1"/>
  <c r="I54" i="18"/>
  <c r="I61" i="18" s="1"/>
  <c r="E54" i="18"/>
  <c r="E61" i="18" s="1"/>
  <c r="K7" i="18"/>
  <c r="G7" i="18"/>
  <c r="C7" i="18"/>
  <c r="E73" i="18"/>
  <c r="E80" i="18" s="1"/>
  <c r="G54" i="18"/>
  <c r="G61" i="18" s="1"/>
  <c r="I7" i="18"/>
  <c r="J73" i="18"/>
  <c r="J80" i="18" s="1"/>
  <c r="J54" i="18"/>
  <c r="J61" i="18" s="1"/>
  <c r="B54" i="18"/>
  <c r="B61" i="18" s="1"/>
  <c r="D131" i="18"/>
  <c r="I6" i="22" s="1"/>
  <c r="F73" i="18"/>
  <c r="F80" i="18" s="1"/>
  <c r="H54" i="18"/>
  <c r="H61" i="18" s="1"/>
  <c r="D54" i="18"/>
  <c r="D61" i="18" s="1"/>
  <c r="J7" i="18"/>
  <c r="F7" i="18"/>
  <c r="B7" i="18"/>
  <c r="K54" i="18"/>
  <c r="K61" i="18" s="1"/>
  <c r="C54" i="18"/>
  <c r="C61" i="18" s="1"/>
  <c r="E7" i="18"/>
  <c r="B73" i="18"/>
  <c r="B80" i="18" s="1"/>
  <c r="F54" i="18"/>
  <c r="F61" i="18" s="1"/>
  <c r="H7" i="18"/>
  <c r="D7" i="18"/>
  <c r="L10" i="27"/>
  <c r="B10" i="8"/>
  <c r="D6" i="10" s="1"/>
  <c r="D22" i="28"/>
  <c r="E19" i="28" s="1"/>
  <c r="E22" i="28" s="1"/>
  <c r="F19" i="28" s="1"/>
  <c r="F22" i="28" s="1"/>
  <c r="G19" i="28" s="1"/>
  <c r="G22" i="28" s="1"/>
  <c r="H19" i="28" s="1"/>
  <c r="H22" i="28" s="1"/>
  <c r="I19" i="28" s="1"/>
  <c r="I22" i="28" s="1"/>
  <c r="J19" i="28" s="1"/>
  <c r="J22" i="28" s="1"/>
  <c r="K19" i="28" s="1"/>
  <c r="K22" i="28" s="1"/>
  <c r="L19" i="28" s="1"/>
  <c r="L22" i="28" s="1"/>
  <c r="G24" i="2"/>
  <c r="C7" i="5" s="1"/>
  <c r="C24" i="2"/>
  <c r="F23" i="2" s="1"/>
  <c r="L9" i="28"/>
  <c r="L26" i="19"/>
  <c r="B94" i="18"/>
  <c r="B148" i="18"/>
  <c r="E7" i="5" l="1"/>
  <c r="F7" i="5" s="1"/>
  <c r="G7" i="5" s="1"/>
  <c r="F62" i="18"/>
  <c r="F64" i="18"/>
  <c r="C62" i="18"/>
  <c r="I81" i="18"/>
  <c r="I83" i="18" s="1"/>
  <c r="I15" i="22"/>
  <c r="B15" i="22"/>
  <c r="C174" i="18"/>
  <c r="C172" i="18"/>
  <c r="C168" i="18"/>
  <c r="C164" i="18"/>
  <c r="C160" i="18"/>
  <c r="C173" i="18"/>
  <c r="C165" i="18"/>
  <c r="C169" i="18"/>
  <c r="C161" i="18"/>
  <c r="C166" i="18"/>
  <c r="C170" i="18"/>
  <c r="C162" i="18"/>
  <c r="C167" i="18"/>
  <c r="C163" i="18"/>
  <c r="C171" i="18"/>
  <c r="C159" i="18"/>
  <c r="B81" i="18"/>
  <c r="B83" i="18" s="1"/>
  <c r="K62" i="18"/>
  <c r="D64" i="18"/>
  <c r="D62" i="18"/>
  <c r="B62" i="18"/>
  <c r="B64" i="18"/>
  <c r="G64" i="18"/>
  <c r="G62" i="18"/>
  <c r="C81" i="18"/>
  <c r="C83" i="18" s="1"/>
  <c r="D81" i="18"/>
  <c r="D83" i="18" s="1"/>
  <c r="B4" i="19"/>
  <c r="C5" i="19"/>
  <c r="B48" i="23"/>
  <c r="B3" i="25"/>
  <c r="C21" i="21"/>
  <c r="H62" i="18"/>
  <c r="J62" i="18"/>
  <c r="J64" i="18"/>
  <c r="E81" i="18"/>
  <c r="E83" i="18"/>
  <c r="E62" i="18"/>
  <c r="E64" i="18"/>
  <c r="G81" i="18"/>
  <c r="G83" i="18" s="1"/>
  <c r="H81" i="18"/>
  <c r="H83" i="18" s="1"/>
  <c r="F4" i="24"/>
  <c r="D4" i="24"/>
  <c r="G23" i="2"/>
  <c r="C6" i="5" s="1"/>
  <c r="C23" i="2"/>
  <c r="F22" i="2" s="1"/>
  <c r="F81" i="18"/>
  <c r="F83" i="18"/>
  <c r="J81" i="18"/>
  <c r="J83" i="18"/>
  <c r="I62" i="18"/>
  <c r="I64" i="18"/>
  <c r="K81" i="18"/>
  <c r="K83" i="18" s="1"/>
  <c r="N19" i="20"/>
  <c r="C116" i="18" l="1"/>
  <c r="C8" i="25" s="1"/>
  <c r="C85" i="18"/>
  <c r="C86" i="18" s="1"/>
  <c r="C139" i="18" s="1"/>
  <c r="C40" i="23" s="1"/>
  <c r="B116" i="18"/>
  <c r="B8" i="25" s="1"/>
  <c r="B85" i="18"/>
  <c r="B86" i="18" s="1"/>
  <c r="B139" i="18" s="1"/>
  <c r="B40" i="23" s="1"/>
  <c r="H116" i="18"/>
  <c r="H8" i="25" s="1"/>
  <c r="H85" i="18"/>
  <c r="H86" i="18" s="1"/>
  <c r="H139" i="18" s="1"/>
  <c r="H40" i="23" s="1"/>
  <c r="K116" i="18"/>
  <c r="K8" i="25" s="1"/>
  <c r="K85" i="18"/>
  <c r="K86" i="18" s="1"/>
  <c r="K139" i="18" s="1"/>
  <c r="K40" i="23" s="1"/>
  <c r="G116" i="18"/>
  <c r="G8" i="25" s="1"/>
  <c r="G85" i="18"/>
  <c r="G86" i="18" s="1"/>
  <c r="G139" i="18" s="1"/>
  <c r="G40" i="23" s="1"/>
  <c r="D116" i="18"/>
  <c r="D8" i="25" s="1"/>
  <c r="D85" i="18"/>
  <c r="D86" i="18" s="1"/>
  <c r="D139" i="18" s="1"/>
  <c r="D40" i="23" s="1"/>
  <c r="I116" i="18"/>
  <c r="I8" i="25" s="1"/>
  <c r="I85" i="18"/>
  <c r="I86" i="18" s="1"/>
  <c r="I139" i="18" s="1"/>
  <c r="I40" i="23" s="1"/>
  <c r="I137" i="18"/>
  <c r="I38" i="23" s="1"/>
  <c r="I115" i="18"/>
  <c r="I7" i="25" s="1"/>
  <c r="I136" i="18"/>
  <c r="I37" i="23" s="1"/>
  <c r="F116" i="18"/>
  <c r="F8" i="25" s="1"/>
  <c r="F85" i="18"/>
  <c r="F86" i="18" s="1"/>
  <c r="F139" i="18" s="1"/>
  <c r="F40" i="23" s="1"/>
  <c r="E6" i="5"/>
  <c r="F6" i="5" s="1"/>
  <c r="G6" i="5" s="1"/>
  <c r="E139" i="18"/>
  <c r="E40" i="23" s="1"/>
  <c r="E116" i="18"/>
  <c r="E8" i="25" s="1"/>
  <c r="E85" i="18"/>
  <c r="E86" i="18" s="1"/>
  <c r="G115" i="18"/>
  <c r="G7" i="25" s="1"/>
  <c r="D137" i="18"/>
  <c r="D38" i="23" s="1"/>
  <c r="D115" i="18"/>
  <c r="D7" i="25" s="1"/>
  <c r="F115" i="18"/>
  <c r="F7" i="25" s="1"/>
  <c r="I67" i="18"/>
  <c r="I66" i="18" s="1"/>
  <c r="H64" i="18"/>
  <c r="C12" i="26"/>
  <c r="B115" i="18"/>
  <c r="B7" i="25" s="1"/>
  <c r="K67" i="18"/>
  <c r="K66" i="18" s="1"/>
  <c r="F67" i="18"/>
  <c r="F66" i="18" s="1"/>
  <c r="F136" i="18" s="1"/>
  <c r="F37" i="23" s="1"/>
  <c r="J116" i="18"/>
  <c r="J8" i="25" s="1"/>
  <c r="J85" i="18"/>
  <c r="J86" i="18" s="1"/>
  <c r="J139" i="18" s="1"/>
  <c r="J40" i="23" s="1"/>
  <c r="E136" i="18"/>
  <c r="E37" i="23" s="1"/>
  <c r="E115" i="18"/>
  <c r="E7" i="25" s="1"/>
  <c r="J136" i="18"/>
  <c r="J37" i="23" s="1"/>
  <c r="J115" i="18"/>
  <c r="J7" i="25" s="1"/>
  <c r="L3" i="25"/>
  <c r="C10" i="27"/>
  <c r="M10" i="27" s="1"/>
  <c r="C9" i="28"/>
  <c r="C12" i="23"/>
  <c r="C26" i="19"/>
  <c r="C3" i="19"/>
  <c r="B67" i="18"/>
  <c r="B66" i="18" s="1"/>
  <c r="B136" i="18" s="1"/>
  <c r="B37" i="23" s="1"/>
  <c r="K64" i="18"/>
  <c r="C22" i="2"/>
  <c r="E22" i="2"/>
  <c r="E29" i="2" s="1"/>
  <c r="G22" i="2"/>
  <c r="C5" i="5" s="1"/>
  <c r="L12" i="24"/>
  <c r="B29" i="23"/>
  <c r="E67" i="18"/>
  <c r="E66" i="18" s="1"/>
  <c r="J67" i="18"/>
  <c r="J66" i="18" s="1"/>
  <c r="B7" i="28"/>
  <c r="B11" i="23"/>
  <c r="B3" i="19"/>
  <c r="C9" i="20"/>
  <c r="D9" i="20"/>
  <c r="G67" i="18"/>
  <c r="G66" i="18" s="1"/>
  <c r="G136" i="18" s="1"/>
  <c r="G37" i="23" s="1"/>
  <c r="D67" i="18"/>
  <c r="D66" i="18" s="1"/>
  <c r="D136" i="18" s="1"/>
  <c r="D37" i="23" s="1"/>
  <c r="C64" i="18"/>
  <c r="D11" i="23" l="1"/>
  <c r="B9" i="27"/>
  <c r="M9" i="27" s="1"/>
  <c r="D29" i="23"/>
  <c r="E5" i="5"/>
  <c r="F5" i="5" s="1"/>
  <c r="G5" i="5" s="1"/>
  <c r="H115" i="18"/>
  <c r="H7" i="25" s="1"/>
  <c r="H136" i="18"/>
  <c r="H37" i="23" s="1"/>
  <c r="F137" i="18"/>
  <c r="F38" i="23" s="1"/>
  <c r="M18" i="24"/>
  <c r="M16" i="24"/>
  <c r="M14" i="24"/>
  <c r="N13" i="24"/>
  <c r="D12" i="24" s="1"/>
  <c r="M13" i="24"/>
  <c r="M17" i="24"/>
  <c r="Q13" i="24"/>
  <c r="I12" i="24" s="1"/>
  <c r="I16" i="24" s="1"/>
  <c r="M15" i="24"/>
  <c r="C16" i="2"/>
  <c r="C15" i="2"/>
  <c r="D12" i="23"/>
  <c r="H67" i="18"/>
  <c r="H66" i="18" s="1"/>
  <c r="I138" i="18"/>
  <c r="I39" i="23" s="1"/>
  <c r="D138" i="18"/>
  <c r="D39" i="23" s="1"/>
  <c r="H138" i="18"/>
  <c r="H39" i="23" s="1"/>
  <c r="L8" i="25"/>
  <c r="C136" i="18"/>
  <c r="C37" i="23" s="1"/>
  <c r="C115" i="18"/>
  <c r="C7" i="25" s="1"/>
  <c r="L7" i="25" s="1"/>
  <c r="N9" i="20"/>
  <c r="C29" i="2"/>
  <c r="B14" i="8"/>
  <c r="D17" i="8" s="1"/>
  <c r="B26" i="8"/>
  <c r="C13" i="2"/>
  <c r="C14" i="2" s="1"/>
  <c r="J137" i="18"/>
  <c r="J38" i="23" s="1"/>
  <c r="B137" i="18"/>
  <c r="B38" i="23" s="1"/>
  <c r="G137" i="18"/>
  <c r="G38" i="23" s="1"/>
  <c r="K136" i="18"/>
  <c r="K37" i="23" s="1"/>
  <c r="K115" i="18"/>
  <c r="K7" i="25" s="1"/>
  <c r="K137" i="18"/>
  <c r="K38" i="23" s="1"/>
  <c r="E137" i="18"/>
  <c r="E38" i="23" s="1"/>
  <c r="J138" i="18"/>
  <c r="J39" i="23" s="1"/>
  <c r="E138" i="18"/>
  <c r="E39" i="23" s="1"/>
  <c r="F138" i="18"/>
  <c r="F39" i="23" s="1"/>
  <c r="C67" i="18"/>
  <c r="C66" i="18" s="1"/>
  <c r="G138" i="18"/>
  <c r="G39" i="23" s="1"/>
  <c r="K138" i="18"/>
  <c r="K39" i="23" s="1"/>
  <c r="B138" i="18"/>
  <c r="B39" i="23" s="1"/>
  <c r="C138" i="18"/>
  <c r="C39" i="23" s="1"/>
  <c r="C14" i="24" l="1"/>
  <c r="R13" i="24"/>
  <c r="C12" i="24"/>
  <c r="C19" i="24"/>
  <c r="E8" i="10"/>
  <c r="E10" i="10" s="1"/>
  <c r="F2" i="9"/>
  <c r="C13" i="24"/>
  <c r="O14" i="24"/>
  <c r="H137" i="18"/>
  <c r="H38" i="23" s="1"/>
  <c r="L13" i="24"/>
  <c r="D20" i="8"/>
  <c r="D18" i="8"/>
  <c r="E6" i="10" s="1"/>
  <c r="C137" i="18"/>
  <c r="C38" i="23" s="1"/>
  <c r="C18" i="24"/>
  <c r="O18" i="24"/>
  <c r="C17" i="24"/>
  <c r="O16" i="24"/>
  <c r="D19" i="27" l="1"/>
  <c r="E17" i="24"/>
  <c r="C37" i="24"/>
  <c r="L14" i="24"/>
  <c r="N14" i="24"/>
  <c r="B12" i="24"/>
  <c r="C19" i="27"/>
  <c r="M19" i="27" s="1"/>
  <c r="E13" i="24"/>
  <c r="E37" i="24" s="1"/>
  <c r="C5" i="12"/>
  <c r="C7" i="12" s="1"/>
  <c r="F3" i="9"/>
  <c r="D7" i="10"/>
  <c r="E7" i="10"/>
  <c r="C23" i="8"/>
  <c r="D8" i="10" s="1"/>
  <c r="D10" i="10" s="1"/>
  <c r="E19" i="27"/>
  <c r="E19" i="24"/>
  <c r="B14" i="14" l="1"/>
  <c r="B31" i="18" s="1"/>
  <c r="B10" i="14"/>
  <c r="B27" i="18" s="1"/>
  <c r="B9" i="14"/>
  <c r="B26" i="18" s="1"/>
  <c r="B13" i="14"/>
  <c r="B30" i="18" s="1"/>
  <c r="B8" i="14"/>
  <c r="B24" i="18" s="1"/>
  <c r="L24" i="18" s="1"/>
  <c r="B12" i="14"/>
  <c r="B29" i="18" s="1"/>
  <c r="L29" i="18" s="1"/>
  <c r="B5" i="9"/>
  <c r="F4" i="9"/>
  <c r="C9" i="10" s="1"/>
  <c r="C13" i="14"/>
  <c r="C30" i="18" s="1"/>
  <c r="D8" i="21" s="1"/>
  <c r="C12" i="14"/>
  <c r="C10" i="14"/>
  <c r="C8" i="14"/>
  <c r="C14" i="14"/>
  <c r="C9" i="14"/>
  <c r="N15" i="24"/>
  <c r="B13" i="24"/>
  <c r="L15" i="24"/>
  <c r="C27" i="28"/>
  <c r="D27" i="28"/>
  <c r="B27" i="28"/>
  <c r="B25" i="28" s="1"/>
  <c r="B30" i="28" s="1"/>
  <c r="C11" i="12"/>
  <c r="C10" i="12"/>
  <c r="P14" i="24"/>
  <c r="D13" i="24"/>
  <c r="R14" i="24"/>
  <c r="C8" i="19" l="1"/>
  <c r="B4" i="18"/>
  <c r="I29" i="18"/>
  <c r="E29" i="18"/>
  <c r="G29" i="18"/>
  <c r="F29" i="18"/>
  <c r="H29" i="18"/>
  <c r="D29" i="18"/>
  <c r="K29" i="18"/>
  <c r="C29" i="18"/>
  <c r="J29" i="18"/>
  <c r="B8" i="9"/>
  <c r="C5" i="9"/>
  <c r="J8" i="19"/>
  <c r="F8" i="19"/>
  <c r="H8" i="19"/>
  <c r="L8" i="19"/>
  <c r="G8" i="19"/>
  <c r="I8" i="19"/>
  <c r="I4" i="18"/>
  <c r="E4" i="18"/>
  <c r="K4" i="18"/>
  <c r="C4" i="18"/>
  <c r="K8" i="19"/>
  <c r="F4" i="18"/>
  <c r="E8" i="19"/>
  <c r="H4" i="18"/>
  <c r="D4" i="18"/>
  <c r="D8" i="19"/>
  <c r="G4" i="18"/>
  <c r="J4" i="18"/>
  <c r="I24" i="18"/>
  <c r="E24" i="18"/>
  <c r="K24" i="18"/>
  <c r="G24" i="18"/>
  <c r="C24" i="18"/>
  <c r="J24" i="18"/>
  <c r="F24" i="18"/>
  <c r="H24" i="18"/>
  <c r="D24" i="18"/>
  <c r="I26" i="18"/>
  <c r="E26" i="18"/>
  <c r="K26" i="18"/>
  <c r="C26" i="18"/>
  <c r="J26" i="18"/>
  <c r="H26" i="18"/>
  <c r="D26" i="18"/>
  <c r="G26" i="18"/>
  <c r="F26" i="18"/>
  <c r="C15" i="19"/>
  <c r="C16" i="19"/>
  <c r="L16" i="24"/>
  <c r="B14" i="24"/>
  <c r="N16" i="24"/>
  <c r="K31" i="18"/>
  <c r="G31" i="18"/>
  <c r="C31" i="18"/>
  <c r="I31" i="18"/>
  <c r="H31" i="18"/>
  <c r="J31" i="18"/>
  <c r="F31" i="18"/>
  <c r="E31" i="18"/>
  <c r="D31" i="18"/>
  <c r="G13" i="24"/>
  <c r="D21" i="25"/>
  <c r="D14" i="24"/>
  <c r="D16" i="24" s="1"/>
  <c r="M6" i="24" s="1"/>
  <c r="R15" i="24"/>
  <c r="I27" i="18"/>
  <c r="E27" i="18"/>
  <c r="G27" i="18"/>
  <c r="F27" i="18"/>
  <c r="H27" i="18"/>
  <c r="D27" i="18"/>
  <c r="K27" i="18"/>
  <c r="C27" i="18"/>
  <c r="J27" i="18"/>
  <c r="D14" i="12"/>
  <c r="B8" i="19" s="1"/>
  <c r="C10" i="10"/>
  <c r="C8" i="21"/>
  <c r="L30" i="18"/>
  <c r="B29" i="28"/>
  <c r="C29" i="28" s="1"/>
  <c r="D29" i="28" s="1"/>
  <c r="E29" i="28" s="1"/>
  <c r="F29" i="28" s="1"/>
  <c r="G29" i="28" s="1"/>
  <c r="H29" i="28" s="1"/>
  <c r="I29" i="28" s="1"/>
  <c r="J29" i="28" s="1"/>
  <c r="K29" i="28" s="1"/>
  <c r="L29" i="28" s="1"/>
  <c r="B22" i="25" l="1"/>
  <c r="B23" i="25"/>
  <c r="B21" i="25"/>
  <c r="B6" i="23"/>
  <c r="C12" i="20"/>
  <c r="B28" i="19"/>
  <c r="P16" i="24"/>
  <c r="D22" i="25" s="1"/>
  <c r="R16" i="24"/>
  <c r="C16" i="23"/>
  <c r="D16" i="23" s="1"/>
  <c r="C18" i="19"/>
  <c r="I15" i="19"/>
  <c r="I16" i="19"/>
  <c r="F15" i="19"/>
  <c r="F16" i="19"/>
  <c r="J96" i="18"/>
  <c r="K11" i="13"/>
  <c r="K13" i="13" s="1"/>
  <c r="J9" i="18" s="1"/>
  <c r="H96" i="18"/>
  <c r="I11" i="13"/>
  <c r="I13" i="13" s="1"/>
  <c r="H9" i="18" s="1"/>
  <c r="C96" i="18"/>
  <c r="F12" i="15"/>
  <c r="F14" i="15"/>
  <c r="C7" i="14"/>
  <c r="D11" i="13"/>
  <c r="D13" i="13" s="1"/>
  <c r="C9" i="18" s="1"/>
  <c r="I28" i="19"/>
  <c r="J12" i="20"/>
  <c r="G12" i="20"/>
  <c r="F28" i="19"/>
  <c r="B11" i="9"/>
  <c r="C8" i="9"/>
  <c r="I3" i="29"/>
  <c r="H13" i="24"/>
  <c r="G15" i="19"/>
  <c r="G16" i="19"/>
  <c r="J15" i="19"/>
  <c r="J16" i="19"/>
  <c r="G96" i="18"/>
  <c r="H11" i="13"/>
  <c r="H13" i="13" s="1"/>
  <c r="G9" i="18" s="1"/>
  <c r="H12" i="20"/>
  <c r="G28" i="19"/>
  <c r="L17" i="24"/>
  <c r="N17" i="24"/>
  <c r="H15" i="19"/>
  <c r="H16" i="19"/>
  <c r="D15" i="19"/>
  <c r="F18" i="19" s="1"/>
  <c r="G18" i="19" s="1"/>
  <c r="D16" i="19"/>
  <c r="E12" i="20"/>
  <c r="D28" i="19"/>
  <c r="F96" i="18"/>
  <c r="G11" i="13"/>
  <c r="G13" i="13" s="1"/>
  <c r="F9" i="18" s="1"/>
  <c r="E96" i="18"/>
  <c r="F11" i="13"/>
  <c r="F13" i="13" s="1"/>
  <c r="E9" i="18" s="1"/>
  <c r="M12" i="20"/>
  <c r="L28" i="19"/>
  <c r="D13" i="15"/>
  <c r="D12" i="15"/>
  <c r="B96" i="18"/>
  <c r="D14" i="15"/>
  <c r="B7" i="14"/>
  <c r="B23" i="18" s="1"/>
  <c r="C11" i="13"/>
  <c r="C13" i="13" s="1"/>
  <c r="B9" i="18" s="1"/>
  <c r="K15" i="19"/>
  <c r="K16" i="19"/>
  <c r="E28" i="19"/>
  <c r="F12" i="20"/>
  <c r="K96" i="18"/>
  <c r="L11" i="13"/>
  <c r="L13" i="13" s="1"/>
  <c r="K9" i="18" s="1"/>
  <c r="J28" i="19"/>
  <c r="K12" i="20"/>
  <c r="E15" i="19"/>
  <c r="H18" i="19" s="1"/>
  <c r="I18" i="19" s="1"/>
  <c r="J18" i="19" s="1"/>
  <c r="K18" i="19" s="1"/>
  <c r="L18" i="19" s="1"/>
  <c r="E16" i="19"/>
  <c r="L15" i="19"/>
  <c r="L16" i="19"/>
  <c r="D96" i="18"/>
  <c r="E11" i="13"/>
  <c r="E13" i="13" s="1"/>
  <c r="D9" i="18" s="1"/>
  <c r="L12" i="20"/>
  <c r="K28" i="19"/>
  <c r="I96" i="18"/>
  <c r="J11" i="13"/>
  <c r="J13" i="13" s="1"/>
  <c r="I9" i="18" s="1"/>
  <c r="I12" i="20"/>
  <c r="H28" i="19"/>
  <c r="C28" i="19"/>
  <c r="D12" i="20"/>
  <c r="J9" i="19" l="1"/>
  <c r="J6" i="21"/>
  <c r="F9" i="19"/>
  <c r="F6" i="21"/>
  <c r="R17" i="24"/>
  <c r="L3" i="29"/>
  <c r="K9" i="19"/>
  <c r="K6" i="21"/>
  <c r="B14" i="28"/>
  <c r="B17" i="28" s="1"/>
  <c r="D6" i="23"/>
  <c r="B7" i="23"/>
  <c r="H9" i="19"/>
  <c r="H6" i="21"/>
  <c r="B31" i="25"/>
  <c r="C16" i="28"/>
  <c r="C26" i="27"/>
  <c r="B14" i="9"/>
  <c r="C11" i="9"/>
  <c r="D9" i="19"/>
  <c r="C11" i="14"/>
  <c r="D6" i="21"/>
  <c r="C17" i="23"/>
  <c r="D17" i="23" s="1"/>
  <c r="D18" i="19"/>
  <c r="E18" i="19" s="1"/>
  <c r="E16" i="28"/>
  <c r="E26" i="27"/>
  <c r="J6" i="29" s="1"/>
  <c r="E9" i="19"/>
  <c r="E6" i="21"/>
  <c r="L9" i="19"/>
  <c r="L6" i="21"/>
  <c r="L23" i="18"/>
  <c r="C5" i="21"/>
  <c r="I9" i="19"/>
  <c r="I6" i="21"/>
  <c r="D15" i="15"/>
  <c r="D20" i="15" s="1"/>
  <c r="D21" i="15" s="1"/>
  <c r="B13" i="18" s="1"/>
  <c r="L18" i="24"/>
  <c r="N18" i="24"/>
  <c r="C9" i="19"/>
  <c r="B11" i="14"/>
  <c r="B28" i="18" s="1"/>
  <c r="L28" i="18" s="1"/>
  <c r="C6" i="21"/>
  <c r="G9" i="19"/>
  <c r="G6" i="21"/>
  <c r="J23" i="18"/>
  <c r="F23" i="18"/>
  <c r="H23" i="18"/>
  <c r="K23" i="18"/>
  <c r="C23" i="18"/>
  <c r="I23" i="18"/>
  <c r="E23" i="18"/>
  <c r="D23" i="18"/>
  <c r="G23" i="18"/>
  <c r="F15" i="15"/>
  <c r="E20" i="15" s="1"/>
  <c r="E21" i="15" s="1"/>
  <c r="N12" i="20"/>
  <c r="D16" i="28"/>
  <c r="D26" i="27"/>
  <c r="J5" i="29" s="1"/>
  <c r="E5" i="21" l="1"/>
  <c r="R18" i="24"/>
  <c r="C11" i="21"/>
  <c r="E29" i="19"/>
  <c r="F13" i="20"/>
  <c r="E13" i="20"/>
  <c r="D29" i="19"/>
  <c r="F5" i="21"/>
  <c r="I29" i="19"/>
  <c r="J13" i="20"/>
  <c r="M13" i="20"/>
  <c r="L29" i="19"/>
  <c r="C29" i="19"/>
  <c r="B9" i="19"/>
  <c r="D13" i="20"/>
  <c r="C14" i="9"/>
  <c r="D9" i="10"/>
  <c r="E9" i="10" s="1"/>
  <c r="L13" i="20"/>
  <c r="K29" i="19"/>
  <c r="G13" i="20"/>
  <c r="F29" i="19"/>
  <c r="K13" i="20"/>
  <c r="J29" i="19"/>
  <c r="L5" i="21"/>
  <c r="C9" i="21"/>
  <c r="B15" i="14"/>
  <c r="B32" i="18" s="1"/>
  <c r="B34" i="18" s="1"/>
  <c r="B14" i="18"/>
  <c r="B16" i="14" s="1"/>
  <c r="B33" i="18" s="1"/>
  <c r="L33" i="18" s="1"/>
  <c r="M26" i="27"/>
  <c r="J4" i="29"/>
  <c r="J15" i="29" s="1"/>
  <c r="I13" i="20"/>
  <c r="H29" i="19"/>
  <c r="I5" i="21"/>
  <c r="G29" i="19"/>
  <c r="H13" i="20"/>
  <c r="L34" i="18"/>
  <c r="B3" i="29"/>
  <c r="B15" i="27"/>
  <c r="B8" i="23"/>
  <c r="D7" i="23"/>
  <c r="I13" i="18"/>
  <c r="E13" i="18"/>
  <c r="K13" i="18"/>
  <c r="C13" i="18"/>
  <c r="J13" i="18"/>
  <c r="F13" i="18"/>
  <c r="H13" i="18"/>
  <c r="D13" i="18"/>
  <c r="G13" i="18"/>
  <c r="J5" i="21"/>
  <c r="G5" i="21"/>
  <c r="H5" i="21"/>
  <c r="D5" i="21"/>
  <c r="K5" i="21"/>
  <c r="B98" i="18"/>
  <c r="I28" i="18"/>
  <c r="E28" i="18"/>
  <c r="K28" i="18"/>
  <c r="C28" i="18"/>
  <c r="J28" i="18"/>
  <c r="H28" i="18"/>
  <c r="D28" i="18"/>
  <c r="G28" i="18"/>
  <c r="F28" i="18"/>
  <c r="C14" i="28"/>
  <c r="C17" i="28" s="1"/>
  <c r="P18" i="24"/>
  <c r="D23" i="25" s="1"/>
  <c r="C10" i="19" l="1"/>
  <c r="C42" i="18"/>
  <c r="B41" i="18"/>
  <c r="B43" i="18" s="1"/>
  <c r="B104" i="18" s="1"/>
  <c r="I9" i="21"/>
  <c r="H14" i="18"/>
  <c r="H18" i="18" s="1"/>
  <c r="H17" i="18" s="1"/>
  <c r="H15" i="18"/>
  <c r="D8" i="23"/>
  <c r="F11" i="21"/>
  <c r="D14" i="28"/>
  <c r="D17" i="28" s="1"/>
  <c r="G9" i="21"/>
  <c r="G11" i="21" s="1"/>
  <c r="F14" i="18"/>
  <c r="F18" i="18" s="1"/>
  <c r="F17" i="18" s="1"/>
  <c r="F15" i="18"/>
  <c r="F98" i="18"/>
  <c r="F9" i="21"/>
  <c r="E14" i="18"/>
  <c r="E98" i="18" s="1"/>
  <c r="B9" i="23"/>
  <c r="I11" i="21"/>
  <c r="D31" i="25"/>
  <c r="E9" i="21"/>
  <c r="D18" i="18"/>
  <c r="D17" i="18" s="1"/>
  <c r="D14" i="18"/>
  <c r="D15" i="18"/>
  <c r="D98" i="18"/>
  <c r="D9" i="21"/>
  <c r="C15" i="14"/>
  <c r="C15" i="18"/>
  <c r="C14" i="18"/>
  <c r="C16" i="14" s="1"/>
  <c r="C98" i="18"/>
  <c r="L9" i="21"/>
  <c r="L11" i="21" s="1"/>
  <c r="K18" i="18"/>
  <c r="K17" i="18" s="1"/>
  <c r="K14" i="18"/>
  <c r="K98" i="18" s="1"/>
  <c r="K15" i="18"/>
  <c r="C12" i="21"/>
  <c r="B40" i="18"/>
  <c r="B29" i="19"/>
  <c r="B32" i="19" s="1"/>
  <c r="C13" i="20"/>
  <c r="B7" i="19"/>
  <c r="E11" i="21"/>
  <c r="D11" i="21"/>
  <c r="H9" i="21"/>
  <c r="H11" i="21" s="1"/>
  <c r="G14" i="18"/>
  <c r="G15" i="18" s="1"/>
  <c r="G98" i="18"/>
  <c r="K9" i="21"/>
  <c r="K11" i="21" s="1"/>
  <c r="J14" i="18"/>
  <c r="J9" i="21"/>
  <c r="J11" i="21" s="1"/>
  <c r="I18" i="18"/>
  <c r="I17" i="18" s="1"/>
  <c r="I14" i="18"/>
  <c r="I98" i="18"/>
  <c r="I15" i="18"/>
  <c r="M15" i="27"/>
  <c r="C34" i="27" s="1"/>
  <c r="B15" i="18"/>
  <c r="G135" i="18" l="1"/>
  <c r="G100" i="18"/>
  <c r="G38" i="18"/>
  <c r="G18" i="18"/>
  <c r="G17" i="18" s="1"/>
  <c r="G134" i="18" s="1"/>
  <c r="B100" i="18"/>
  <c r="B134" i="18"/>
  <c r="B38" i="18"/>
  <c r="B44" i="18" s="1"/>
  <c r="B135" i="18"/>
  <c r="B18" i="18"/>
  <c r="B17" i="18" s="1"/>
  <c r="C100" i="18"/>
  <c r="C38" i="18"/>
  <c r="C30" i="19"/>
  <c r="C14" i="21" s="1"/>
  <c r="D14" i="20"/>
  <c r="I135" i="18"/>
  <c r="I100" i="18"/>
  <c r="I134" i="18"/>
  <c r="I38" i="18"/>
  <c r="J15" i="18"/>
  <c r="J18" i="18" s="1"/>
  <c r="J17" i="18" s="1"/>
  <c r="E18" i="18"/>
  <c r="E17" i="18" s="1"/>
  <c r="B10" i="28"/>
  <c r="B13" i="23"/>
  <c r="B13" i="19"/>
  <c r="D135" i="18"/>
  <c r="D38" i="18"/>
  <c r="D100" i="18"/>
  <c r="D134" i="18"/>
  <c r="E15" i="18"/>
  <c r="H98" i="18"/>
  <c r="B13" i="29"/>
  <c r="H135" i="18"/>
  <c r="H100" i="18"/>
  <c r="H38" i="18"/>
  <c r="H134" i="18"/>
  <c r="K134" i="18"/>
  <c r="K38" i="18"/>
  <c r="K135" i="18"/>
  <c r="K100" i="18"/>
  <c r="C18" i="18"/>
  <c r="C17" i="18" s="1"/>
  <c r="C134" i="18" s="1"/>
  <c r="D9" i="23"/>
  <c r="B24" i="23"/>
  <c r="F100" i="18"/>
  <c r="F134" i="18"/>
  <c r="F135" i="18"/>
  <c r="F38" i="18"/>
  <c r="J98" i="18"/>
  <c r="N13" i="20"/>
  <c r="C16" i="20"/>
  <c r="B103" i="18"/>
  <c r="B47" i="18"/>
  <c r="K33" i="18"/>
  <c r="G33" i="18"/>
  <c r="C33" i="18"/>
  <c r="E33" i="18"/>
  <c r="D33" i="18"/>
  <c r="J33" i="18"/>
  <c r="F33" i="18"/>
  <c r="I33" i="18"/>
  <c r="H33" i="18"/>
  <c r="I32" i="18"/>
  <c r="E32" i="18"/>
  <c r="G32" i="18"/>
  <c r="G34" i="18" s="1"/>
  <c r="F32" i="18"/>
  <c r="F34" i="18" s="1"/>
  <c r="H32" i="18"/>
  <c r="D32" i="18"/>
  <c r="K32" i="18"/>
  <c r="C32" i="18"/>
  <c r="C34" i="18" s="1"/>
  <c r="J32" i="18"/>
  <c r="J34" i="18" s="1"/>
  <c r="D12" i="28"/>
  <c r="E14" i="28"/>
  <c r="E17" i="28" s="1"/>
  <c r="G35" i="23" l="1"/>
  <c r="G42" i="23" s="1"/>
  <c r="G44" i="23" s="1"/>
  <c r="G140" i="18"/>
  <c r="C35" i="23"/>
  <c r="C42" i="23" s="1"/>
  <c r="C140" i="18"/>
  <c r="D42" i="18"/>
  <c r="C41" i="18"/>
  <c r="C43" i="18" s="1"/>
  <c r="C104" i="18" s="1"/>
  <c r="D10" i="19"/>
  <c r="F35" i="23"/>
  <c r="F42" i="23" s="1"/>
  <c r="F44" i="23" s="1"/>
  <c r="F140" i="18"/>
  <c r="B14" i="23"/>
  <c r="C135" i="18"/>
  <c r="F14" i="28"/>
  <c r="F17" i="28" s="1"/>
  <c r="E12" i="28"/>
  <c r="H10" i="19"/>
  <c r="G41" i="18"/>
  <c r="H42" i="18"/>
  <c r="H36" i="23"/>
  <c r="H141" i="18"/>
  <c r="I36" i="23"/>
  <c r="G36" i="23"/>
  <c r="G141" i="18"/>
  <c r="D34" i="18"/>
  <c r="E34" i="18"/>
  <c r="D24" i="23"/>
  <c r="K36" i="23"/>
  <c r="B187" i="18"/>
  <c r="H35" i="23"/>
  <c r="H42" i="23" s="1"/>
  <c r="H44" i="23" s="1"/>
  <c r="H140" i="18"/>
  <c r="E135" i="18"/>
  <c r="E100" i="18"/>
  <c r="E134" i="18"/>
  <c r="E38" i="18"/>
  <c r="D36" i="23"/>
  <c r="C44" i="18"/>
  <c r="B35" i="23"/>
  <c r="B151" i="18"/>
  <c r="B140" i="18"/>
  <c r="G10" i="19"/>
  <c r="G42" i="18"/>
  <c r="F41" i="18"/>
  <c r="B188" i="18"/>
  <c r="K35" i="23"/>
  <c r="K140" i="18"/>
  <c r="K141" i="18" s="1"/>
  <c r="B150" i="18"/>
  <c r="B141" i="18"/>
  <c r="B36" i="23"/>
  <c r="K34" i="18"/>
  <c r="J100" i="18"/>
  <c r="J134" i="18"/>
  <c r="J135" i="18"/>
  <c r="J38" i="18"/>
  <c r="B106" i="18"/>
  <c r="B45" i="18"/>
  <c r="B48" i="18"/>
  <c r="K42" i="18"/>
  <c r="K10" i="19"/>
  <c r="J41" i="18"/>
  <c r="H34" i="18"/>
  <c r="I34" i="18"/>
  <c r="C20" i="20"/>
  <c r="C3" i="22"/>
  <c r="F36" i="23"/>
  <c r="F141" i="18"/>
  <c r="B15" i="29"/>
  <c r="D35" i="23"/>
  <c r="D42" i="23" s="1"/>
  <c r="D44" i="23" s="1"/>
  <c r="D140" i="18"/>
  <c r="D141" i="18" s="1"/>
  <c r="B20" i="19"/>
  <c r="B23" i="19" s="1"/>
  <c r="B22" i="19"/>
  <c r="I35" i="23"/>
  <c r="I42" i="23" s="1"/>
  <c r="I44" i="23" s="1"/>
  <c r="I140" i="18"/>
  <c r="I141" i="18" s="1"/>
  <c r="B189" i="18" l="1"/>
  <c r="C185" i="18"/>
  <c r="J10" i="19"/>
  <c r="J42" i="18"/>
  <c r="J43" i="18" s="1"/>
  <c r="I41" i="18"/>
  <c r="I43" i="18" s="1"/>
  <c r="L10" i="19"/>
  <c r="K41" i="18"/>
  <c r="K43" i="18" s="1"/>
  <c r="B19" i="23"/>
  <c r="G30" i="19"/>
  <c r="G14" i="21" s="1"/>
  <c r="C44" i="23"/>
  <c r="J35" i="23"/>
  <c r="J42" i="23" s="1"/>
  <c r="J44" i="23" s="1"/>
  <c r="J140" i="18"/>
  <c r="B152" i="18"/>
  <c r="C148" i="18"/>
  <c r="E35" i="23"/>
  <c r="E42" i="23" s="1"/>
  <c r="E44" i="23" s="1"/>
  <c r="E140" i="18"/>
  <c r="E141" i="18" s="1"/>
  <c r="E10" i="19"/>
  <c r="D41" i="18"/>
  <c r="D43" i="18" s="1"/>
  <c r="E42" i="18"/>
  <c r="G14" i="28"/>
  <c r="G17" i="28" s="1"/>
  <c r="F12" i="28"/>
  <c r="B42" i="23"/>
  <c r="C57" i="23"/>
  <c r="E36" i="23"/>
  <c r="I14" i="20"/>
  <c r="H30" i="19"/>
  <c r="H14" i="21" s="1"/>
  <c r="E14" i="20"/>
  <c r="D30" i="19"/>
  <c r="D14" i="21" s="1"/>
  <c r="C21" i="20"/>
  <c r="I10" i="19"/>
  <c r="H41" i="18"/>
  <c r="H43" i="18" s="1"/>
  <c r="I42" i="18"/>
  <c r="J36" i="23"/>
  <c r="J141" i="18"/>
  <c r="H57" i="23"/>
  <c r="K42" i="23"/>
  <c r="K44" i="23" s="1"/>
  <c r="C106" i="18"/>
  <c r="C45" i="18"/>
  <c r="C47" i="18"/>
  <c r="C48" i="18"/>
  <c r="E41" i="18"/>
  <c r="E43" i="18" s="1"/>
  <c r="E104" i="18" s="1"/>
  <c r="F10" i="19"/>
  <c r="H14" i="20" s="1"/>
  <c r="C12" i="22" s="1"/>
  <c r="F42" i="18"/>
  <c r="B16" i="27"/>
  <c r="B34" i="19"/>
  <c r="L14" i="20"/>
  <c r="K30" i="19"/>
  <c r="K14" i="21" s="1"/>
  <c r="B108" i="18"/>
  <c r="B111" i="18" s="1"/>
  <c r="C11" i="19" s="1"/>
  <c r="B113" i="18"/>
  <c r="B118" i="18" s="1"/>
  <c r="E173" i="18"/>
  <c r="E169" i="18"/>
  <c r="E165" i="18"/>
  <c r="E161" i="18"/>
  <c r="E170" i="18"/>
  <c r="E166" i="18"/>
  <c r="E162" i="18"/>
  <c r="E167" i="18"/>
  <c r="E159" i="18"/>
  <c r="E163" i="18"/>
  <c r="E160" i="18"/>
  <c r="E172" i="18"/>
  <c r="E164" i="18"/>
  <c r="E174" i="18"/>
  <c r="E171" i="18"/>
  <c r="E168" i="18"/>
  <c r="F43" i="18"/>
  <c r="E217" i="18"/>
  <c r="E213" i="18"/>
  <c r="E209" i="18"/>
  <c r="E205" i="18"/>
  <c r="E201" i="18"/>
  <c r="E197" i="18"/>
  <c r="E216" i="18"/>
  <c r="E214" i="18"/>
  <c r="E207" i="18"/>
  <c r="E200" i="18"/>
  <c r="E198" i="18"/>
  <c r="E212" i="18"/>
  <c r="E210" i="18"/>
  <c r="E203" i="18"/>
  <c r="E202" i="18"/>
  <c r="E211" i="18"/>
  <c r="E199" i="18"/>
  <c r="E215" i="18"/>
  <c r="E208" i="18"/>
  <c r="E204" i="18"/>
  <c r="E206" i="18"/>
  <c r="G43" i="18"/>
  <c r="C36" i="23"/>
  <c r="C141" i="18"/>
  <c r="J104" i="18" l="1"/>
  <c r="J44" i="18"/>
  <c r="F104" i="18"/>
  <c r="F44" i="18"/>
  <c r="J14" i="20"/>
  <c r="I30" i="19"/>
  <c r="I14" i="21" s="1"/>
  <c r="B44" i="23"/>
  <c r="B4" i="25"/>
  <c r="B120" i="18"/>
  <c r="B122" i="18"/>
  <c r="E44" i="18"/>
  <c r="C108" i="18"/>
  <c r="C111" i="18" s="1"/>
  <c r="C113" i="18" s="1"/>
  <c r="C118" i="18" s="1"/>
  <c r="B25" i="21"/>
  <c r="C23" i="20"/>
  <c r="H14" i="28"/>
  <c r="H17" i="28" s="1"/>
  <c r="G12" i="28"/>
  <c r="D104" i="18"/>
  <c r="D44" i="18"/>
  <c r="K104" i="18"/>
  <c r="K44" i="18"/>
  <c r="J30" i="19"/>
  <c r="J14" i="21" s="1"/>
  <c r="K14" i="20"/>
  <c r="G104" i="18"/>
  <c r="G44" i="18"/>
  <c r="C31" i="19"/>
  <c r="D15" i="20"/>
  <c r="C7" i="19"/>
  <c r="F14" i="20"/>
  <c r="E30" i="19"/>
  <c r="E14" i="21" s="1"/>
  <c r="L30" i="19"/>
  <c r="L14" i="21" s="1"/>
  <c r="M14" i="20"/>
  <c r="C3" i="29"/>
  <c r="F30" i="19"/>
  <c r="F14" i="21" s="1"/>
  <c r="G14" i="20"/>
  <c r="C11" i="22" s="1"/>
  <c r="H104" i="18"/>
  <c r="H44" i="18"/>
  <c r="B20" i="23"/>
  <c r="I104" i="18"/>
  <c r="I44" i="18"/>
  <c r="C4" i="25" l="1"/>
  <c r="C120" i="18"/>
  <c r="C122" i="18"/>
  <c r="K106" i="18"/>
  <c r="K45" i="18"/>
  <c r="K47" i="18"/>
  <c r="K48" i="18"/>
  <c r="N14" i="20"/>
  <c r="B5" i="25"/>
  <c r="J106" i="18"/>
  <c r="J45" i="18"/>
  <c r="J47" i="18"/>
  <c r="J48" i="18"/>
  <c r="H106" i="18"/>
  <c r="H45" i="18"/>
  <c r="H47" i="18"/>
  <c r="H48" i="18"/>
  <c r="D11" i="19"/>
  <c r="I14" i="28"/>
  <c r="I17" i="28" s="1"/>
  <c r="H12" i="28"/>
  <c r="E106" i="18"/>
  <c r="E45" i="18"/>
  <c r="E47" i="18"/>
  <c r="E48" i="18"/>
  <c r="I106" i="18"/>
  <c r="I45" i="18"/>
  <c r="I47" i="18"/>
  <c r="I48" i="18"/>
  <c r="C10" i="28"/>
  <c r="C13" i="23"/>
  <c r="C13" i="19"/>
  <c r="G106" i="18"/>
  <c r="G45" i="18"/>
  <c r="G47" i="18"/>
  <c r="G48" i="18"/>
  <c r="B21" i="23"/>
  <c r="B22" i="23"/>
  <c r="B16" i="26"/>
  <c r="C15" i="21"/>
  <c r="C16" i="21" s="1"/>
  <c r="C32" i="19"/>
  <c r="D106" i="18"/>
  <c r="D45" i="18"/>
  <c r="D47" i="18"/>
  <c r="D48" i="18"/>
  <c r="B26" i="21"/>
  <c r="C24" i="21" s="1"/>
  <c r="D3" i="22"/>
  <c r="B124" i="18"/>
  <c r="F4" i="22" s="1"/>
  <c r="H4" i="22"/>
  <c r="B123" i="18"/>
  <c r="E4" i="22" s="1"/>
  <c r="F106" i="18"/>
  <c r="F45" i="18"/>
  <c r="F47" i="18"/>
  <c r="F48" i="18"/>
  <c r="F108" i="18" l="1"/>
  <c r="H108" i="18"/>
  <c r="J108" i="18"/>
  <c r="J111" i="18" s="1"/>
  <c r="J113" i="18" s="1"/>
  <c r="J118" i="18" s="1"/>
  <c r="K108" i="18"/>
  <c r="G3" i="22"/>
  <c r="G108" i="18"/>
  <c r="G111" i="18" s="1"/>
  <c r="G113" i="18" s="1"/>
  <c r="G118" i="18" s="1"/>
  <c r="H5" i="22"/>
  <c r="C123" i="18"/>
  <c r="E5" i="22" s="1"/>
  <c r="C11" i="25" s="1"/>
  <c r="D108" i="18"/>
  <c r="D111" i="18" s="1"/>
  <c r="D113" i="18" s="1"/>
  <c r="D118" i="18" s="1"/>
  <c r="C22" i="19"/>
  <c r="I108" i="18"/>
  <c r="I111" i="18" s="1"/>
  <c r="I113" i="18" s="1"/>
  <c r="I118" i="18" s="1"/>
  <c r="E108" i="18"/>
  <c r="E111" i="18" s="1"/>
  <c r="E113" i="18" s="1"/>
  <c r="E118" i="18" s="1"/>
  <c r="E15" i="20"/>
  <c r="E11" i="19"/>
  <c r="D31" i="19"/>
  <c r="D7" i="19"/>
  <c r="C5" i="26"/>
  <c r="C20" i="21"/>
  <c r="B126" i="18"/>
  <c r="C15" i="26"/>
  <c r="B22" i="27"/>
  <c r="B17" i="26"/>
  <c r="I12" i="28"/>
  <c r="J14" i="28"/>
  <c r="J17" i="28" s="1"/>
  <c r="B11" i="25"/>
  <c r="B25" i="23"/>
  <c r="C14" i="23"/>
  <c r="D13" i="23"/>
  <c r="C5" i="25"/>
  <c r="E4" i="25" l="1"/>
  <c r="E120" i="18"/>
  <c r="E122" i="18"/>
  <c r="G4" i="25"/>
  <c r="G120" i="18"/>
  <c r="G122" i="18"/>
  <c r="I4" i="25"/>
  <c r="I120" i="18"/>
  <c r="I122" i="18"/>
  <c r="J4" i="25"/>
  <c r="J120" i="18"/>
  <c r="J122" i="18"/>
  <c r="D4" i="25"/>
  <c r="D120" i="18"/>
  <c r="D122" i="18"/>
  <c r="D14" i="23"/>
  <c r="C11" i="26"/>
  <c r="C13" i="26" s="1"/>
  <c r="C22" i="21"/>
  <c r="B127" i="18"/>
  <c r="C17" i="19" s="1"/>
  <c r="B130" i="18"/>
  <c r="B132" i="18" s="1"/>
  <c r="D10" i="28"/>
  <c r="D13" i="19"/>
  <c r="D15" i="21"/>
  <c r="D16" i="21" s="1"/>
  <c r="D32" i="19"/>
  <c r="L3" i="22"/>
  <c r="B26" i="23"/>
  <c r="D3" i="29"/>
  <c r="B14" i="27"/>
  <c r="F15" i="20"/>
  <c r="E31" i="19"/>
  <c r="F11" i="19"/>
  <c r="E7" i="19"/>
  <c r="K14" i="28"/>
  <c r="K17" i="28" s="1"/>
  <c r="J12" i="28"/>
  <c r="C124" i="18"/>
  <c r="F5" i="22" s="1"/>
  <c r="K111" i="18"/>
  <c r="K113" i="18" s="1"/>
  <c r="K118" i="18" s="1"/>
  <c r="H111" i="18"/>
  <c r="H113" i="18" s="1"/>
  <c r="H118" i="18" s="1"/>
  <c r="F111" i="18"/>
  <c r="F113" i="18" s="1"/>
  <c r="F118" i="18" s="1"/>
  <c r="B30" i="23" l="1"/>
  <c r="C18" i="23"/>
  <c r="D10" i="20"/>
  <c r="C20" i="19"/>
  <c r="C23" i="19" s="1"/>
  <c r="H12" i="22"/>
  <c r="K12" i="22" s="1"/>
  <c r="J123" i="18"/>
  <c r="E12" i="22" s="1"/>
  <c r="G5" i="25"/>
  <c r="F4" i="25"/>
  <c r="F120" i="18"/>
  <c r="F122" i="18"/>
  <c r="G3" i="29"/>
  <c r="D22" i="19"/>
  <c r="I5" i="25"/>
  <c r="H4" i="25"/>
  <c r="H120" i="18"/>
  <c r="H122" i="18"/>
  <c r="C126" i="18"/>
  <c r="M3" i="22"/>
  <c r="D5" i="26"/>
  <c r="D20" i="21"/>
  <c r="J5" i="25"/>
  <c r="H9" i="22"/>
  <c r="K9" i="22" s="1"/>
  <c r="G123" i="18"/>
  <c r="E9" i="22" s="1"/>
  <c r="G11" i="25" s="1"/>
  <c r="L14" i="28"/>
  <c r="L17" i="28" s="1"/>
  <c r="L12" i="28" s="1"/>
  <c r="K12" i="28"/>
  <c r="G11" i="19"/>
  <c r="F31" i="19"/>
  <c r="G15" i="20"/>
  <c r="F7" i="19"/>
  <c r="E15" i="21"/>
  <c r="E16" i="21" s="1"/>
  <c r="E32" i="19"/>
  <c r="H6" i="22"/>
  <c r="D126" i="18"/>
  <c r="D123" i="18"/>
  <c r="E6" i="22" s="1"/>
  <c r="D124" i="18"/>
  <c r="F6" i="22" s="1"/>
  <c r="E123" i="18"/>
  <c r="E7" i="22" s="1"/>
  <c r="E11" i="25" s="1"/>
  <c r="H7" i="22"/>
  <c r="K7" i="22" s="1"/>
  <c r="K4" i="25"/>
  <c r="K120" i="18"/>
  <c r="K122" i="18"/>
  <c r="E10" i="28"/>
  <c r="E13" i="19"/>
  <c r="D5" i="25"/>
  <c r="I123" i="18"/>
  <c r="E11" i="22" s="1"/>
  <c r="H11" i="22"/>
  <c r="K11" i="22" s="1"/>
  <c r="E5" i="25"/>
  <c r="I11" i="25" l="1"/>
  <c r="D130" i="18"/>
  <c r="D132" i="18" s="1"/>
  <c r="D127" i="18"/>
  <c r="E17" i="19" s="1"/>
  <c r="B26" i="29"/>
  <c r="B32" i="28"/>
  <c r="B7" i="27"/>
  <c r="B31" i="23"/>
  <c r="E22" i="19"/>
  <c r="E20" i="19"/>
  <c r="K6" i="22"/>
  <c r="D11" i="26"/>
  <c r="D13" i="26" s="1"/>
  <c r="D22" i="21"/>
  <c r="H5" i="25"/>
  <c r="C16" i="27"/>
  <c r="C34" i="19"/>
  <c r="L4" i="25"/>
  <c r="E124" i="18"/>
  <c r="F7" i="22" s="1"/>
  <c r="C127" i="18"/>
  <c r="D17" i="19" s="1"/>
  <c r="C130" i="18"/>
  <c r="C132" i="18" s="1"/>
  <c r="M3" i="29"/>
  <c r="F5" i="25"/>
  <c r="D16" i="20"/>
  <c r="E20" i="21"/>
  <c r="E5" i="26"/>
  <c r="G31" i="19"/>
  <c r="H11" i="19"/>
  <c r="H15" i="20"/>
  <c r="G7" i="19"/>
  <c r="H8" i="22"/>
  <c r="K8" i="22" s="1"/>
  <c r="F123" i="18"/>
  <c r="E8" i="22" s="1"/>
  <c r="F11" i="25" s="1"/>
  <c r="K5" i="25"/>
  <c r="F10" i="28"/>
  <c r="F13" i="19"/>
  <c r="G124" i="18"/>
  <c r="F9" i="22" s="1"/>
  <c r="J11" i="25"/>
  <c r="I124" i="18"/>
  <c r="F11" i="22" s="1"/>
  <c r="G11" i="22" s="1"/>
  <c r="L11" i="22" s="1"/>
  <c r="K124" i="18"/>
  <c r="F13" i="22" s="1"/>
  <c r="K123" i="18"/>
  <c r="E13" i="22" s="1"/>
  <c r="K11" i="25" s="1"/>
  <c r="H13" i="22"/>
  <c r="K13" i="22" s="1"/>
  <c r="D11" i="25"/>
  <c r="F15" i="21"/>
  <c r="F16" i="21" s="1"/>
  <c r="F32" i="19"/>
  <c r="G126" i="18"/>
  <c r="H10" i="22"/>
  <c r="K10" i="22" s="1"/>
  <c r="H123" i="18"/>
  <c r="E10" i="22" s="1"/>
  <c r="H11" i="25" s="1"/>
  <c r="J124" i="18"/>
  <c r="F12" i="22" s="1"/>
  <c r="G12" i="22" s="1"/>
  <c r="L12" i="22" s="1"/>
  <c r="D18" i="23"/>
  <c r="C19" i="23"/>
  <c r="I126" i="18" l="1"/>
  <c r="C4" i="22"/>
  <c r="D20" i="20"/>
  <c r="B5" i="24"/>
  <c r="H15" i="22"/>
  <c r="C20" i="23"/>
  <c r="D19" i="23"/>
  <c r="H124" i="18"/>
  <c r="F10" i="22" s="1"/>
  <c r="F5" i="26"/>
  <c r="F20" i="21"/>
  <c r="L5" i="25"/>
  <c r="G10" i="28"/>
  <c r="G13" i="19"/>
  <c r="N3" i="29"/>
  <c r="E10" i="20"/>
  <c r="D20" i="19"/>
  <c r="D23" i="19" s="1"/>
  <c r="F22" i="19"/>
  <c r="G15" i="21"/>
  <c r="G16" i="21" s="1"/>
  <c r="G32" i="19"/>
  <c r="E15" i="22"/>
  <c r="E11" i="26"/>
  <c r="E13" i="26" s="1"/>
  <c r="E22" i="21"/>
  <c r="E29" i="21" s="1"/>
  <c r="J126" i="18"/>
  <c r="E126" i="18"/>
  <c r="C26" i="29"/>
  <c r="G127" i="18"/>
  <c r="H17" i="19" s="1"/>
  <c r="G130" i="18"/>
  <c r="G132" i="18" s="1"/>
  <c r="L11" i="25"/>
  <c r="K126" i="18"/>
  <c r="F124" i="18"/>
  <c r="F8" i="22" s="1"/>
  <c r="F15" i="22" s="1"/>
  <c r="I11" i="19"/>
  <c r="I15" i="20"/>
  <c r="H31" i="19"/>
  <c r="H7" i="19"/>
  <c r="C4" i="29"/>
  <c r="E23" i="19"/>
  <c r="B5" i="27"/>
  <c r="F10" i="20"/>
  <c r="F16" i="20" s="1"/>
  <c r="F20" i="20" l="1"/>
  <c r="F21" i="20" s="1"/>
  <c r="F23" i="20" s="1"/>
  <c r="C6" i="22"/>
  <c r="G6" i="22" s="1"/>
  <c r="L6" i="22" s="1"/>
  <c r="E130" i="18"/>
  <c r="E132" i="18" s="1"/>
  <c r="E127" i="18"/>
  <c r="F17" i="19" s="1"/>
  <c r="E16" i="20"/>
  <c r="D21" i="20"/>
  <c r="B25" i="27"/>
  <c r="H15" i="21"/>
  <c r="H16" i="21" s="1"/>
  <c r="H32" i="19"/>
  <c r="K127" i="18"/>
  <c r="L17" i="19" s="1"/>
  <c r="K130" i="18"/>
  <c r="K132" i="18" s="1"/>
  <c r="H126" i="18"/>
  <c r="G22" i="19"/>
  <c r="H10" i="28"/>
  <c r="H13" i="19"/>
  <c r="J127" i="18"/>
  <c r="K17" i="19" s="1"/>
  <c r="J130" i="18"/>
  <c r="J132" i="18" s="1"/>
  <c r="F11" i="26"/>
  <c r="F13" i="26" s="1"/>
  <c r="F22" i="21"/>
  <c r="F29" i="21" s="1"/>
  <c r="C21" i="23"/>
  <c r="D21" i="23" s="1"/>
  <c r="C22" i="23"/>
  <c r="C16" i="26"/>
  <c r="D20" i="23"/>
  <c r="D5" i="24"/>
  <c r="F5" i="24" s="1"/>
  <c r="I130" i="18"/>
  <c r="I132" i="18" s="1"/>
  <c r="I127" i="18"/>
  <c r="J17" i="19" s="1"/>
  <c r="E16" i="27"/>
  <c r="E34" i="19"/>
  <c r="J15" i="20"/>
  <c r="J11" i="19"/>
  <c r="I31" i="19"/>
  <c r="I7" i="19"/>
  <c r="G5" i="26"/>
  <c r="G20" i="21"/>
  <c r="D16" i="27"/>
  <c r="D34" i="19"/>
  <c r="F126" i="18"/>
  <c r="D22" i="22"/>
  <c r="I10" i="28" l="1"/>
  <c r="I13" i="19"/>
  <c r="C22" i="27"/>
  <c r="C17" i="26"/>
  <c r="C18" i="26"/>
  <c r="H22" i="19"/>
  <c r="H20" i="19"/>
  <c r="M10" i="20"/>
  <c r="B28" i="27"/>
  <c r="C5" i="22"/>
  <c r="E20" i="20"/>
  <c r="C5" i="29"/>
  <c r="I15" i="21"/>
  <c r="I16" i="21" s="1"/>
  <c r="I32" i="19"/>
  <c r="C6" i="29"/>
  <c r="C25" i="23"/>
  <c r="D22" i="23"/>
  <c r="G10" i="20"/>
  <c r="F20" i="19"/>
  <c r="F23" i="19" s="1"/>
  <c r="F127" i="18"/>
  <c r="G17" i="19" s="1"/>
  <c r="F130" i="18"/>
  <c r="F132" i="18" s="1"/>
  <c r="G11" i="26"/>
  <c r="G13" i="26" s="1"/>
  <c r="G22" i="21"/>
  <c r="G29" i="21" s="1"/>
  <c r="K11" i="19"/>
  <c r="K15" i="20"/>
  <c r="J31" i="19"/>
  <c r="J7" i="19"/>
  <c r="L24" i="24"/>
  <c r="C26" i="28"/>
  <c r="C28" i="23"/>
  <c r="D7" i="24"/>
  <c r="L10" i="20"/>
  <c r="H130" i="18"/>
  <c r="H132" i="18" s="1"/>
  <c r="H127" i="18"/>
  <c r="I17" i="19" s="1"/>
  <c r="J10" i="20" s="1"/>
  <c r="J16" i="20" s="1"/>
  <c r="H5" i="26"/>
  <c r="H20" i="21"/>
  <c r="C25" i="21"/>
  <c r="B6" i="24"/>
  <c r="D23" i="20"/>
  <c r="J15" i="21" l="1"/>
  <c r="J16" i="21" s="1"/>
  <c r="J32" i="19"/>
  <c r="H11" i="26"/>
  <c r="H13" i="26" s="1"/>
  <c r="H22" i="21"/>
  <c r="H29" i="21" s="1"/>
  <c r="B29" i="27"/>
  <c r="B8" i="28"/>
  <c r="B5" i="28" s="1"/>
  <c r="C6" i="27"/>
  <c r="K4" i="29"/>
  <c r="C11" i="28"/>
  <c r="C11" i="27"/>
  <c r="C26" i="21"/>
  <c r="D24" i="21" s="1"/>
  <c r="D4" i="22"/>
  <c r="C27" i="21"/>
  <c r="G16" i="20"/>
  <c r="L16" i="20"/>
  <c r="D26" i="28"/>
  <c r="C25" i="28"/>
  <c r="C30" i="28" s="1"/>
  <c r="H13" i="30" s="1"/>
  <c r="F6" i="24"/>
  <c r="C6" i="24"/>
  <c r="B7" i="24"/>
  <c r="E7" i="24" s="1"/>
  <c r="N25" i="24"/>
  <c r="L25" i="24"/>
  <c r="K31" i="19"/>
  <c r="L15" i="20"/>
  <c r="L11" i="19"/>
  <c r="K7" i="19"/>
  <c r="H10" i="20"/>
  <c r="H16" i="20" s="1"/>
  <c r="G20" i="19"/>
  <c r="G23" i="19" s="1"/>
  <c r="I10" i="20"/>
  <c r="I16" i="20" s="1"/>
  <c r="C26" i="23"/>
  <c r="D25" i="23"/>
  <c r="E21" i="20"/>
  <c r="B23" i="28"/>
  <c r="B12" i="28" s="1"/>
  <c r="D15" i="26"/>
  <c r="I22" i="19"/>
  <c r="I20" i="19"/>
  <c r="I23" i="19" s="1"/>
  <c r="J20" i="20"/>
  <c r="J21" i="20" s="1"/>
  <c r="C10" i="22"/>
  <c r="G10" i="22" s="1"/>
  <c r="L10" i="22" s="1"/>
  <c r="J23" i="20"/>
  <c r="C8" i="27"/>
  <c r="M8" i="27" s="1"/>
  <c r="D28" i="23"/>
  <c r="J10" i="28"/>
  <c r="J13" i="19"/>
  <c r="F16" i="27"/>
  <c r="F34" i="19"/>
  <c r="K10" i="20"/>
  <c r="K16" i="20" s="1"/>
  <c r="I20" i="21"/>
  <c r="I5" i="26"/>
  <c r="H23" i="19"/>
  <c r="D4" i="29"/>
  <c r="L31" i="19" l="1"/>
  <c r="M15" i="20"/>
  <c r="L7" i="19"/>
  <c r="L20" i="20"/>
  <c r="L21" i="20" s="1"/>
  <c r="L23" i="20"/>
  <c r="G4" i="22"/>
  <c r="C7" i="29"/>
  <c r="D25" i="21"/>
  <c r="E23" i="20"/>
  <c r="G16" i="27"/>
  <c r="G34" i="19"/>
  <c r="G6" i="24"/>
  <c r="F7" i="24"/>
  <c r="N10" i="20"/>
  <c r="D27" i="21"/>
  <c r="Q25" i="24"/>
  <c r="G17" i="24"/>
  <c r="D17" i="24"/>
  <c r="E26" i="29"/>
  <c r="H16" i="27"/>
  <c r="H34" i="19"/>
  <c r="I11" i="26"/>
  <c r="I13" i="26" s="1"/>
  <c r="I22" i="21"/>
  <c r="I29" i="21" s="1"/>
  <c r="J22" i="19"/>
  <c r="J20" i="19"/>
  <c r="J23" i="19" s="1"/>
  <c r="C8" i="22"/>
  <c r="G8" i="22" s="1"/>
  <c r="L8" i="22" s="1"/>
  <c r="H20" i="20"/>
  <c r="H21" i="20" s="1"/>
  <c r="H23" i="20"/>
  <c r="K15" i="21"/>
  <c r="K16" i="21" s="1"/>
  <c r="K32" i="19"/>
  <c r="C7" i="22"/>
  <c r="G20" i="20"/>
  <c r="G21" i="20" s="1"/>
  <c r="G23" i="20" s="1"/>
  <c r="C9" i="22"/>
  <c r="G9" i="22" s="1"/>
  <c r="L9" i="22" s="1"/>
  <c r="I20" i="20"/>
  <c r="I21" i="20" s="1"/>
  <c r="I23" i="20" s="1"/>
  <c r="K20" i="20"/>
  <c r="K21" i="20" s="1"/>
  <c r="K23" i="20"/>
  <c r="I16" i="27"/>
  <c r="I34" i="19"/>
  <c r="C30" i="23"/>
  <c r="D26" i="23"/>
  <c r="K10" i="28"/>
  <c r="K13" i="19"/>
  <c r="N26" i="24"/>
  <c r="P26" i="24" s="1"/>
  <c r="F21" i="25" s="1"/>
  <c r="L26" i="24"/>
  <c r="B17" i="24"/>
  <c r="C7" i="24"/>
  <c r="E6" i="24"/>
  <c r="C4" i="24"/>
  <c r="E4" i="24"/>
  <c r="G4" i="24"/>
  <c r="C5" i="24"/>
  <c r="G5" i="24"/>
  <c r="E5" i="24"/>
  <c r="D25" i="28"/>
  <c r="D30" i="28" s="1"/>
  <c r="E26" i="28"/>
  <c r="J4" i="22"/>
  <c r="C29" i="21"/>
  <c r="B24" i="28"/>
  <c r="J5" i="26"/>
  <c r="J20" i="21"/>
  <c r="C8" i="26" l="1"/>
  <c r="C9" i="26" s="1"/>
  <c r="H21" i="25"/>
  <c r="J11" i="26"/>
  <c r="J13" i="26" s="1"/>
  <c r="J22" i="21"/>
  <c r="J29" i="21" s="1"/>
  <c r="L27" i="24"/>
  <c r="N27" i="24"/>
  <c r="B18" i="24"/>
  <c r="L10" i="28"/>
  <c r="L13" i="19"/>
  <c r="F26" i="28"/>
  <c r="E25" i="28"/>
  <c r="E30" i="28" s="1"/>
  <c r="B27" i="29"/>
  <c r="C7" i="27"/>
  <c r="D30" i="23"/>
  <c r="C31" i="23"/>
  <c r="D31" i="23" s="1"/>
  <c r="G7" i="22"/>
  <c r="L7" i="22" s="1"/>
  <c r="H17" i="24"/>
  <c r="C12" i="30" s="1"/>
  <c r="I4" i="29"/>
  <c r="N15" i="20"/>
  <c r="M16" i="20"/>
  <c r="J15" i="22"/>
  <c r="K4" i="22"/>
  <c r="K20" i="19"/>
  <c r="K23" i="19" s="1"/>
  <c r="K22" i="19"/>
  <c r="F26" i="29"/>
  <c r="J5" i="22"/>
  <c r="K5" i="22" s="1"/>
  <c r="D29" i="21"/>
  <c r="D16" i="26"/>
  <c r="D5" i="22"/>
  <c r="L15" i="21"/>
  <c r="L16" i="21" s="1"/>
  <c r="L32" i="19"/>
  <c r="C9" i="29"/>
  <c r="Q26" i="24"/>
  <c r="D18" i="24"/>
  <c r="B31" i="28"/>
  <c r="G7" i="24"/>
  <c r="H7" i="24" s="1"/>
  <c r="F17" i="24"/>
  <c r="C10" i="29"/>
  <c r="K5" i="26"/>
  <c r="K20" i="21"/>
  <c r="J16" i="27"/>
  <c r="J34" i="19"/>
  <c r="C8" i="29"/>
  <c r="G26" i="29" l="1"/>
  <c r="E29" i="23"/>
  <c r="E28" i="23"/>
  <c r="B9" i="25"/>
  <c r="C11" i="29"/>
  <c r="M20" i="20"/>
  <c r="N16" i="20"/>
  <c r="K32" i="28"/>
  <c r="G32" i="28"/>
  <c r="C32" i="28"/>
  <c r="J32" i="28"/>
  <c r="E32" i="28"/>
  <c r="I32" i="28"/>
  <c r="H32" i="28"/>
  <c r="D32" i="28"/>
  <c r="L32" i="28"/>
  <c r="F32" i="28"/>
  <c r="E30" i="23"/>
  <c r="K11" i="26"/>
  <c r="K13" i="26" s="1"/>
  <c r="K22" i="21"/>
  <c r="K29" i="21" s="1"/>
  <c r="B35" i="28"/>
  <c r="L5" i="26"/>
  <c r="L20" i="21"/>
  <c r="K16" i="27"/>
  <c r="K34" i="19"/>
  <c r="M7" i="27"/>
  <c r="C5" i="27"/>
  <c r="L20" i="19"/>
  <c r="L23" i="19" s="1"/>
  <c r="L22" i="19"/>
  <c r="D22" i="27"/>
  <c r="D17" i="26"/>
  <c r="D18" i="26"/>
  <c r="P28" i="24"/>
  <c r="F22" i="25" s="1"/>
  <c r="Q27" i="24"/>
  <c r="G19" i="24"/>
  <c r="D19" i="24"/>
  <c r="G26" i="28"/>
  <c r="F25" i="28"/>
  <c r="F30" i="28" s="1"/>
  <c r="L28" i="24"/>
  <c r="N28" i="24"/>
  <c r="B19" i="24"/>
  <c r="G5" i="22"/>
  <c r="D15" i="22"/>
  <c r="L4" i="22"/>
  <c r="K15" i="22"/>
  <c r="C27" i="29"/>
  <c r="I5" i="29" l="1"/>
  <c r="K5" i="29"/>
  <c r="D11" i="28"/>
  <c r="D11" i="27"/>
  <c r="C12" i="29"/>
  <c r="B41" i="23"/>
  <c r="C17" i="27"/>
  <c r="B10" i="25"/>
  <c r="H26" i="29"/>
  <c r="Q28" i="24"/>
  <c r="D20" i="24"/>
  <c r="C23" i="28"/>
  <c r="C12" i="28" s="1"/>
  <c r="E15" i="26"/>
  <c r="E18" i="26" s="1"/>
  <c r="L5" i="22"/>
  <c r="M21" i="20"/>
  <c r="N20" i="20"/>
  <c r="C13" i="22"/>
  <c r="M20" i="19"/>
  <c r="G25" i="28"/>
  <c r="G30" i="28" s="1"/>
  <c r="H26" i="28"/>
  <c r="L16" i="27"/>
  <c r="L34" i="19"/>
  <c r="F19" i="24"/>
  <c r="H19" i="24" s="1"/>
  <c r="M4" i="22"/>
  <c r="B20" i="24"/>
  <c r="N29" i="24"/>
  <c r="L29" i="24"/>
  <c r="H22" i="25"/>
  <c r="D8" i="26"/>
  <c r="D9" i="26" s="1"/>
  <c r="D5" i="29"/>
  <c r="M22" i="27"/>
  <c r="L11" i="26"/>
  <c r="L13" i="26" s="1"/>
  <c r="L22" i="21"/>
  <c r="L29" i="21" s="1"/>
  <c r="E31" i="23"/>
  <c r="M11" i="27" l="1"/>
  <c r="G13" i="22"/>
  <c r="C15" i="22"/>
  <c r="C9" i="25"/>
  <c r="M5" i="22"/>
  <c r="M6" i="22" s="1"/>
  <c r="H4" i="29"/>
  <c r="B12" i="25"/>
  <c r="C18" i="27" s="1"/>
  <c r="Q29" i="24"/>
  <c r="D21" i="24"/>
  <c r="P30" i="24"/>
  <c r="F23" i="25" s="1"/>
  <c r="G21" i="24"/>
  <c r="H25" i="28"/>
  <c r="H30" i="28" s="1"/>
  <c r="I26" i="28"/>
  <c r="B45" i="23"/>
  <c r="B43" i="23"/>
  <c r="C56" i="23"/>
  <c r="F21" i="24"/>
  <c r="D15" i="29"/>
  <c r="N30" i="24"/>
  <c r="L30" i="24"/>
  <c r="B21" i="24"/>
  <c r="M16" i="27"/>
  <c r="C13" i="29" s="1"/>
  <c r="N21" i="20"/>
  <c r="M23" i="20"/>
  <c r="N23" i="20" s="1"/>
  <c r="K6" i="29"/>
  <c r="K15" i="29" s="1"/>
  <c r="E11" i="28"/>
  <c r="E11" i="27"/>
  <c r="E20" i="26"/>
  <c r="C14" i="27"/>
  <c r="C15" i="29" l="1"/>
  <c r="C25" i="27"/>
  <c r="F4" i="29"/>
  <c r="L13" i="22"/>
  <c r="G15" i="22"/>
  <c r="B13" i="25"/>
  <c r="E78" i="23"/>
  <c r="E76" i="23"/>
  <c r="E74" i="23"/>
  <c r="E77" i="23"/>
  <c r="E75" i="23"/>
  <c r="E73" i="23"/>
  <c r="E71" i="23"/>
  <c r="E69" i="23"/>
  <c r="E67" i="23"/>
  <c r="E65" i="23"/>
  <c r="E63" i="23"/>
  <c r="E70" i="23"/>
  <c r="E66" i="23"/>
  <c r="E64" i="23"/>
  <c r="E72" i="23"/>
  <c r="E68" i="23"/>
  <c r="C41" i="23"/>
  <c r="D17" i="27"/>
  <c r="C10" i="25"/>
  <c r="L31" i="24"/>
  <c r="B22" i="24"/>
  <c r="N31" i="24"/>
  <c r="C58" i="23"/>
  <c r="D54" i="23"/>
  <c r="H23" i="25"/>
  <c r="E8" i="26"/>
  <c r="E9" i="26" s="1"/>
  <c r="F18" i="22"/>
  <c r="M7" i="22"/>
  <c r="M8" i="22" s="1"/>
  <c r="M9" i="22" s="1"/>
  <c r="M10" i="22" s="1"/>
  <c r="M11" i="22" s="1"/>
  <c r="M12" i="22" s="1"/>
  <c r="M13" i="22" s="1"/>
  <c r="G23" i="24"/>
  <c r="D22" i="24"/>
  <c r="Q30" i="24"/>
  <c r="J26" i="28"/>
  <c r="I25" i="28"/>
  <c r="I30" i="28" s="1"/>
  <c r="I6" i="29"/>
  <c r="H21" i="24"/>
  <c r="L4" i="29"/>
  <c r="G4" i="29" l="1"/>
  <c r="M4" i="29"/>
  <c r="C12" i="25"/>
  <c r="D18" i="27" s="1"/>
  <c r="H5" i="29"/>
  <c r="C13" i="25"/>
  <c r="D33" i="28" s="1"/>
  <c r="D9" i="25"/>
  <c r="F23" i="24"/>
  <c r="H23" i="24" s="1"/>
  <c r="D14" i="27"/>
  <c r="L15" i="22"/>
  <c r="D17" i="22" s="1"/>
  <c r="D19" i="22"/>
  <c r="C36" i="29"/>
  <c r="C38" i="29" s="1"/>
  <c r="B38" i="29"/>
  <c r="C33" i="28"/>
  <c r="D34" i="28" s="1"/>
  <c r="I7" i="29"/>
  <c r="Q31" i="24"/>
  <c r="D23" i="24"/>
  <c r="C28" i="27"/>
  <c r="J25" i="28"/>
  <c r="J30" i="28" s="1"/>
  <c r="K26" i="28"/>
  <c r="B23" i="24"/>
  <c r="N32" i="24"/>
  <c r="G25" i="24" s="1"/>
  <c r="L32" i="24"/>
  <c r="C43" i="23"/>
  <c r="C45" i="23"/>
  <c r="I8" i="29" l="1"/>
  <c r="E34" i="28"/>
  <c r="D6" i="27"/>
  <c r="C8" i="28"/>
  <c r="C5" i="28" s="1"/>
  <c r="C24" i="28" s="1"/>
  <c r="C29" i="27"/>
  <c r="L5" i="29"/>
  <c r="N33" i="24"/>
  <c r="L33" i="24"/>
  <c r="B24" i="24"/>
  <c r="Q32" i="24"/>
  <c r="D24" i="24"/>
  <c r="P32" i="24"/>
  <c r="F24" i="25" s="1"/>
  <c r="N4" i="29"/>
  <c r="L26" i="28"/>
  <c r="L25" i="28" s="1"/>
  <c r="L30" i="28" s="1"/>
  <c r="K25" i="28"/>
  <c r="K30" i="28" s="1"/>
  <c r="D41" i="23"/>
  <c r="E17" i="27"/>
  <c r="D10" i="25"/>
  <c r="F5" i="29"/>
  <c r="G5" i="29" l="1"/>
  <c r="D43" i="23"/>
  <c r="D45" i="23"/>
  <c r="Q33" i="24"/>
  <c r="D25" i="24"/>
  <c r="H24" i="25"/>
  <c r="F8" i="26"/>
  <c r="F9" i="26" s="1"/>
  <c r="D5" i="27"/>
  <c r="D12" i="25"/>
  <c r="E18" i="27" s="1"/>
  <c r="E14" i="27" s="1"/>
  <c r="H6" i="29"/>
  <c r="N34" i="24"/>
  <c r="P34" i="24" s="1"/>
  <c r="F25" i="25" s="1"/>
  <c r="L34" i="24"/>
  <c r="B25" i="24"/>
  <c r="F25" i="24" s="1"/>
  <c r="H25" i="24" s="1"/>
  <c r="M5" i="29"/>
  <c r="C31" i="28"/>
  <c r="H12" i="30"/>
  <c r="H25" i="25" l="1"/>
  <c r="F9" i="25" s="1"/>
  <c r="G8" i="26"/>
  <c r="G9" i="26" s="1"/>
  <c r="N5" i="29"/>
  <c r="D13" i="25"/>
  <c r="L35" i="24"/>
  <c r="B26" i="24"/>
  <c r="N35" i="24"/>
  <c r="E9" i="25"/>
  <c r="C35" i="28"/>
  <c r="H14" i="30"/>
  <c r="C14" i="30" s="1"/>
  <c r="Q34" i="24"/>
  <c r="G27" i="24"/>
  <c r="D26" i="24"/>
  <c r="L6" i="29"/>
  <c r="D25" i="27"/>
  <c r="F6" i="29"/>
  <c r="G27" i="29" l="1"/>
  <c r="D28" i="27"/>
  <c r="I9" i="29"/>
  <c r="E33" i="28"/>
  <c r="F34" i="28" s="1"/>
  <c r="D27" i="24"/>
  <c r="Q35" i="24"/>
  <c r="E41" i="23"/>
  <c r="F17" i="27"/>
  <c r="E10" i="25"/>
  <c r="B27" i="24"/>
  <c r="F27" i="24" s="1"/>
  <c r="H27" i="24" s="1"/>
  <c r="L36" i="24"/>
  <c r="N36" i="24"/>
  <c r="G6" i="29"/>
  <c r="M6" i="29" s="1"/>
  <c r="F41" i="23"/>
  <c r="G17" i="27"/>
  <c r="F10" i="25"/>
  <c r="N6" i="29" l="1"/>
  <c r="F45" i="23"/>
  <c r="F43" i="23"/>
  <c r="Q36" i="24"/>
  <c r="G29" i="24"/>
  <c r="D28" i="24"/>
  <c r="H7" i="29"/>
  <c r="E12" i="25"/>
  <c r="F18" i="27" s="1"/>
  <c r="P36" i="24"/>
  <c r="F26" i="25" s="1"/>
  <c r="D8" i="28"/>
  <c r="D5" i="28" s="1"/>
  <c r="D24" i="28" s="1"/>
  <c r="D31" i="28" s="1"/>
  <c r="D35" i="28" s="1"/>
  <c r="D29" i="27"/>
  <c r="E6" i="27"/>
  <c r="H8" i="29"/>
  <c r="L8" i="29" s="1"/>
  <c r="F12" i="25"/>
  <c r="G18" i="27" s="1"/>
  <c r="F8" i="29" s="1"/>
  <c r="G8" i="29" s="1"/>
  <c r="B28" i="24"/>
  <c r="L37" i="24"/>
  <c r="N37" i="24"/>
  <c r="F14" i="27"/>
  <c r="E43" i="23"/>
  <c r="E45" i="23"/>
  <c r="H27" i="29"/>
  <c r="Q37" i="24" l="1"/>
  <c r="D29" i="24"/>
  <c r="I10" i="29"/>
  <c r="F7" i="29"/>
  <c r="G14" i="27"/>
  <c r="L38" i="24"/>
  <c r="N38" i="24"/>
  <c r="G31" i="24" s="1"/>
  <c r="B29" i="24"/>
  <c r="M8" i="29"/>
  <c r="E13" i="25"/>
  <c r="E5" i="27"/>
  <c r="F13" i="25"/>
  <c r="G33" i="28" s="1"/>
  <c r="F29" i="24"/>
  <c r="H29" i="24" s="1"/>
  <c r="H8" i="26"/>
  <c r="H9" i="26" s="1"/>
  <c r="H26" i="25"/>
  <c r="L7" i="29"/>
  <c r="I11" i="29" l="1"/>
  <c r="E25" i="27"/>
  <c r="G7" i="29"/>
  <c r="M7" i="29" s="1"/>
  <c r="Q38" i="24"/>
  <c r="D30" i="24"/>
  <c r="G9" i="25"/>
  <c r="F33" i="28"/>
  <c r="G34" i="28" s="1"/>
  <c r="H34" i="28" s="1"/>
  <c r="L39" i="24"/>
  <c r="N39" i="24"/>
  <c r="B30" i="24"/>
  <c r="P38" i="24"/>
  <c r="F27" i="25" s="1"/>
  <c r="I8" i="26" l="1"/>
  <c r="I9" i="26" s="1"/>
  <c r="H27" i="25"/>
  <c r="H9" i="25" s="1"/>
  <c r="G41" i="23"/>
  <c r="H17" i="27"/>
  <c r="G10" i="25"/>
  <c r="N7" i="29"/>
  <c r="N8" i="29" s="1"/>
  <c r="F18" i="29"/>
  <c r="E28" i="27"/>
  <c r="D31" i="24"/>
  <c r="Q39" i="24"/>
  <c r="N40" i="24"/>
  <c r="L40" i="24"/>
  <c r="B31" i="24"/>
  <c r="F31" i="24" s="1"/>
  <c r="H31" i="24" s="1"/>
  <c r="G28" i="29"/>
  <c r="G45" i="23" l="1"/>
  <c r="G43" i="23"/>
  <c r="N41" i="24"/>
  <c r="L41" i="24"/>
  <c r="B32" i="24"/>
  <c r="D32" i="24"/>
  <c r="Q40" i="24"/>
  <c r="G33" i="24"/>
  <c r="G12" i="25"/>
  <c r="H18" i="27" s="1"/>
  <c r="H14" i="27" s="1"/>
  <c r="H9" i="29"/>
  <c r="H41" i="23"/>
  <c r="I17" i="27"/>
  <c r="H10" i="25"/>
  <c r="F6" i="27"/>
  <c r="E8" i="28"/>
  <c r="E5" i="28" s="1"/>
  <c r="E24" i="28" s="1"/>
  <c r="E31" i="28" s="1"/>
  <c r="E35" i="28" s="1"/>
  <c r="E29" i="27"/>
  <c r="H28" i="29"/>
  <c r="P40" i="24"/>
  <c r="F28" i="25" s="1"/>
  <c r="H43" i="23" l="1"/>
  <c r="H45" i="23"/>
  <c r="F5" i="27"/>
  <c r="I12" i="29"/>
  <c r="N42" i="24"/>
  <c r="B33" i="24"/>
  <c r="F33" i="24" s="1"/>
  <c r="H33" i="24" s="1"/>
  <c r="L42" i="24"/>
  <c r="J8" i="26"/>
  <c r="J9" i="26" s="1"/>
  <c r="H28" i="25"/>
  <c r="I9" i="25" s="1"/>
  <c r="H13" i="25"/>
  <c r="I33" i="28" s="1"/>
  <c r="H10" i="29"/>
  <c r="L10" i="29" s="1"/>
  <c r="H12" i="25"/>
  <c r="I18" i="27" s="1"/>
  <c r="F10" i="29" s="1"/>
  <c r="G10" i="29" s="1"/>
  <c r="G13" i="25"/>
  <c r="P42" i="24"/>
  <c r="F29" i="25" s="1"/>
  <c r="Q41" i="24"/>
  <c r="G35" i="24"/>
  <c r="D33" i="24"/>
  <c r="I14" i="27"/>
  <c r="L9" i="29"/>
  <c r="F9" i="29"/>
  <c r="H33" i="28" l="1"/>
  <c r="I34" i="28" s="1"/>
  <c r="J34" i="28" s="1"/>
  <c r="I41" i="23"/>
  <c r="J17" i="27"/>
  <c r="I10" i="25"/>
  <c r="D34" i="24"/>
  <c r="Q42" i="24"/>
  <c r="F25" i="27"/>
  <c r="H29" i="25"/>
  <c r="J9" i="25" s="1"/>
  <c r="K8" i="26"/>
  <c r="K9" i="26" s="1"/>
  <c r="I13" i="29"/>
  <c r="I15" i="29" s="1"/>
  <c r="G9" i="29"/>
  <c r="M9" i="29" s="1"/>
  <c r="N9" i="29" s="1"/>
  <c r="M10" i="29"/>
  <c r="N43" i="24"/>
  <c r="B34" i="24"/>
  <c r="L43" i="24"/>
  <c r="Q43" i="24" l="1"/>
  <c r="D35" i="24"/>
  <c r="H11" i="29"/>
  <c r="L11" i="29" s="1"/>
  <c r="I12" i="25"/>
  <c r="J18" i="27" s="1"/>
  <c r="F11" i="29" s="1"/>
  <c r="G11" i="29" s="1"/>
  <c r="N10" i="29"/>
  <c r="B35" i="24"/>
  <c r="F35" i="24" s="1"/>
  <c r="H35" i="24" s="1"/>
  <c r="L44" i="24"/>
  <c r="B36" i="24" s="1"/>
  <c r="N44" i="24"/>
  <c r="P44" i="24" s="1"/>
  <c r="F30" i="25" s="1"/>
  <c r="F28" i="27"/>
  <c r="J14" i="27"/>
  <c r="J41" i="23"/>
  <c r="K17" i="27"/>
  <c r="J10" i="25"/>
  <c r="I45" i="23"/>
  <c r="I43" i="23"/>
  <c r="M11" i="29" l="1"/>
  <c r="N11" i="29" s="1"/>
  <c r="H30" i="25"/>
  <c r="L8" i="26"/>
  <c r="L9" i="26" s="1"/>
  <c r="F31" i="25"/>
  <c r="E35" i="25" s="1"/>
  <c r="F29" i="27"/>
  <c r="F8" i="28"/>
  <c r="F5" i="28" s="1"/>
  <c r="F24" i="28" s="1"/>
  <c r="F31" i="28" s="1"/>
  <c r="F35" i="28" s="1"/>
  <c r="G6" i="27"/>
  <c r="J12" i="25"/>
  <c r="K18" i="27" s="1"/>
  <c r="F12" i="29" s="1"/>
  <c r="G12" i="29" s="1"/>
  <c r="H12" i="29"/>
  <c r="L12" i="29" s="1"/>
  <c r="Q44" i="24"/>
  <c r="D36" i="24"/>
  <c r="D37" i="24" s="1"/>
  <c r="J45" i="23"/>
  <c r="J43" i="23"/>
  <c r="B37" i="24"/>
  <c r="I13" i="25"/>
  <c r="J33" i="28" s="1"/>
  <c r="K34" i="28" s="1"/>
  <c r="K14" i="27" l="1"/>
  <c r="M12" i="29"/>
  <c r="N12" i="29" s="1"/>
  <c r="G5" i="27"/>
  <c r="G25" i="27" s="1"/>
  <c r="G28" i="27" s="1"/>
  <c r="J13" i="25"/>
  <c r="K33" i="28" s="1"/>
  <c r="L34" i="28" s="1"/>
  <c r="K9" i="25"/>
  <c r="H31" i="25"/>
  <c r="H6" i="27" l="1"/>
  <c r="H5" i="27" s="1"/>
  <c r="H25" i="27" s="1"/>
  <c r="H28" i="27" s="1"/>
  <c r="G29" i="27"/>
  <c r="G30" i="29" s="1"/>
  <c r="G8" i="28"/>
  <c r="G5" i="28" s="1"/>
  <c r="G24" i="28" s="1"/>
  <c r="G31" i="28" s="1"/>
  <c r="G35" i="28" s="1"/>
  <c r="K41" i="23"/>
  <c r="L17" i="27"/>
  <c r="K10" i="25"/>
  <c r="L9" i="25"/>
  <c r="G29" i="29"/>
  <c r="H56" i="23" l="1"/>
  <c r="K45" i="23"/>
  <c r="H58" i="23" s="1"/>
  <c r="I54" i="23" s="1"/>
  <c r="K43" i="23"/>
  <c r="H13" i="29"/>
  <c r="K12" i="25"/>
  <c r="L18" i="27" s="1"/>
  <c r="K13" i="25"/>
  <c r="L10" i="25"/>
  <c r="H29" i="29"/>
  <c r="H30" i="29" s="1"/>
  <c r="L14" i="27"/>
  <c r="M14" i="27" s="1"/>
  <c r="M17" i="27"/>
  <c r="H8" i="28"/>
  <c r="H5" i="28" s="1"/>
  <c r="H24" i="28" s="1"/>
  <c r="H31" i="28" s="1"/>
  <c r="H35" i="28" s="1"/>
  <c r="H29" i="27"/>
  <c r="I6" i="27"/>
  <c r="I5" i="27" s="1"/>
  <c r="I25" i="27" s="1"/>
  <c r="I28" i="27" s="1"/>
  <c r="I8" i="28" l="1"/>
  <c r="I5" i="28" s="1"/>
  <c r="I24" i="28" s="1"/>
  <c r="I31" i="28" s="1"/>
  <c r="I35" i="28" s="1"/>
  <c r="I29" i="27"/>
  <c r="G32" i="29" s="1"/>
  <c r="J6" i="27"/>
  <c r="J5" i="27" s="1"/>
  <c r="J25" i="27" s="1"/>
  <c r="J28" i="27" s="1"/>
  <c r="L12" i="25"/>
  <c r="L13" i="29"/>
  <c r="H15" i="29"/>
  <c r="L33" i="28"/>
  <c r="L13" i="25"/>
  <c r="G31" i="29"/>
  <c r="F42" i="29" s="1"/>
  <c r="F13" i="29"/>
  <c r="M18" i="27"/>
  <c r="J81" i="23"/>
  <c r="J82" i="23"/>
  <c r="J78" i="23"/>
  <c r="J76" i="23"/>
  <c r="J74" i="23"/>
  <c r="J72" i="23"/>
  <c r="J70" i="23"/>
  <c r="J68" i="23"/>
  <c r="J66" i="23"/>
  <c r="J64" i="23"/>
  <c r="J62" i="23"/>
  <c r="J79" i="23"/>
  <c r="J80" i="23"/>
  <c r="J75" i="23"/>
  <c r="J71" i="23"/>
  <c r="J69" i="23"/>
  <c r="J67" i="23"/>
  <c r="J65" i="23"/>
  <c r="J63" i="23"/>
  <c r="J77" i="23"/>
  <c r="J73" i="23"/>
  <c r="H31" i="29" l="1"/>
  <c r="H32" i="29" s="1"/>
  <c r="L15" i="29"/>
  <c r="J29" i="27"/>
  <c r="G33" i="29" s="1"/>
  <c r="K6" i="27"/>
  <c r="K5" i="27" s="1"/>
  <c r="K25" i="27" s="1"/>
  <c r="K28" i="27" s="1"/>
  <c r="J8" i="28"/>
  <c r="J5" i="28" s="1"/>
  <c r="J24" i="28" s="1"/>
  <c r="J31" i="28" s="1"/>
  <c r="J35" i="28" s="1"/>
  <c r="G13" i="29"/>
  <c r="G15" i="29" s="1"/>
  <c r="F15" i="29"/>
  <c r="H33" i="29" l="1"/>
  <c r="M13" i="29"/>
  <c r="N13" i="29"/>
  <c r="D17" i="29" s="1"/>
  <c r="D19" i="29"/>
  <c r="L6" i="27"/>
  <c r="K29" i="27"/>
  <c r="G34" i="29" s="1"/>
  <c r="K8" i="28"/>
  <c r="K5" i="28" s="1"/>
  <c r="K24" i="28" s="1"/>
  <c r="K31" i="28" s="1"/>
  <c r="K35" i="28" s="1"/>
  <c r="H34" i="29" l="1"/>
  <c r="L5" i="27"/>
  <c r="M6" i="27"/>
  <c r="L25" i="27" l="1"/>
  <c r="M5" i="27"/>
  <c r="L28" i="27" l="1"/>
  <c r="M25" i="27"/>
  <c r="L8" i="28" l="1"/>
  <c r="L5" i="28" s="1"/>
  <c r="L24" i="28" s="1"/>
  <c r="L31" i="28" s="1"/>
  <c r="L35" i="28" s="1"/>
  <c r="L29" i="27"/>
  <c r="M28" i="27"/>
  <c r="E36" i="29" l="1"/>
  <c r="M29" i="27"/>
  <c r="G35" i="29" l="1"/>
  <c r="H35" i="29" s="1"/>
  <c r="E38" i="29"/>
  <c r="F38" i="29" l="1"/>
  <c r="H36" i="29" l="1"/>
  <c r="G38" i="29"/>
  <c r="D43" i="29"/>
  <c r="E48" i="29" s="1"/>
  <c r="D41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7" authorId="0" shapeId="0" xr:uid="{00000000-0006-0000-1000-000001000000}">
      <text>
        <r>
          <rPr>
            <sz val="10"/>
            <color rgb="FF000000"/>
            <rFont val="Arial"/>
            <scheme val="minor"/>
          </rPr>
          <t>======
ID#AAABP94l8yA
Lucio Cahe    (2024-08-26 21:37:51)
Dato obtenido de celda L34 hoja DE-Costos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565R8by3qr/znE8FTmKwttRB3u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8" authorId="0" shapeId="0" xr:uid="{00000000-0006-0000-1100-000001000000}">
      <text>
        <r>
          <rPr>
            <sz val="10"/>
            <color rgb="FF000000"/>
            <rFont val="Arial"/>
            <scheme val="minor"/>
          </rPr>
          <t>======
ID#AAABP94l8yQ
Lucio Cahe    (2024-08-26 22:59:50)
Cambian las amortizaciones de 6 a 10</t>
        </r>
      </text>
    </comment>
    <comment ref="B111" authorId="0" shapeId="0" xr:uid="{00000000-0006-0000-1100-000004000000}">
      <text>
        <r>
          <rPr>
            <sz val="10"/>
            <color rgb="FF000000"/>
            <rFont val="Arial"/>
            <scheme val="minor"/>
          </rPr>
          <t>======
ID#AAABP94l8yE
Lucio Cahe    (2024-08-26 22:54:36)
Stock promedio * Costo de produ unitario promedio</t>
        </r>
      </text>
    </comment>
    <comment ref="C111" authorId="0" shapeId="0" xr:uid="{00000000-0006-0000-1100-000003000000}">
      <text>
        <r>
          <rPr>
            <sz val="10"/>
            <color rgb="FF000000"/>
            <rFont val="Arial"/>
            <scheme val="minor"/>
          </rPr>
          <t>======
ID#AAABP94l8yI
Lucio Cahe    (2024-08-26 22:55:09)
( Stock promedio * Costo de produ unitario promedio ) - valor año 1</t>
        </r>
      </text>
    </comment>
    <comment ref="D111" authorId="0" shapeId="0" xr:uid="{00000000-0006-0000-1100-000002000000}">
      <text>
        <r>
          <rPr>
            <sz val="10"/>
            <color rgb="FF000000"/>
            <rFont val="Arial"/>
            <scheme val="minor"/>
          </rPr>
          <t>======
ID#AAABP94l8yM
Lucio Cahe    (2024-08-26 22:58:54)
( Stock promedio * Costo de produ unitario promedio ) - valor año 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h1BobskGD3JsMJ6GKGMRNuWS3w=="/>
    </ext>
  </extLst>
</comments>
</file>

<file path=xl/sharedStrings.xml><?xml version="1.0" encoding="utf-8"?>
<sst xmlns="http://schemas.openxmlformats.org/spreadsheetml/2006/main" count="1349" uniqueCount="807">
  <si>
    <t>UNIVERSIDAD TECNOLÓGICA NACIONAL
 FACULTAD REGIONAL BUENOS AIRES</t>
  </si>
  <si>
    <t>DEPARTAMENTO DE INGENIERÍA INDUSTRIAL</t>
  </si>
  <si>
    <t>ASIGNATURA</t>
  </si>
  <si>
    <t>CÓDIGO</t>
  </si>
  <si>
    <t>CICLO LECTIVO</t>
  </si>
  <si>
    <t>EVALUACIÓN DE PROYECTOS</t>
  </si>
  <si>
    <t>ESTUDIANTES</t>
  </si>
  <si>
    <t>NOMBRE Y APELLIDO</t>
  </si>
  <si>
    <t>Lucio Cahe</t>
  </si>
  <si>
    <t>LEGAJO 150.459-9</t>
  </si>
  <si>
    <t>Santiago Greco</t>
  </si>
  <si>
    <t>LEGAJO 177.980-1</t>
  </si>
  <si>
    <t>Joan Manonelles</t>
  </si>
  <si>
    <t>LEGAJO 173.276-6</t>
  </si>
  <si>
    <t>Penélope Mattia</t>
  </si>
  <si>
    <t>LEGAJO 175.443-9</t>
  </si>
  <si>
    <t>Ignacio Morón</t>
  </si>
  <si>
    <t>LEGAJO 162.519-6</t>
  </si>
  <si>
    <t>DIVISIÓN</t>
  </si>
  <si>
    <t>AÑO</t>
  </si>
  <si>
    <t>EQUIPO</t>
  </si>
  <si>
    <t>I–4053</t>
  </si>
  <si>
    <t>4to</t>
  </si>
  <si>
    <t>DOCENTES</t>
  </si>
  <si>
    <t>Docentes Adjuntos:</t>
  </si>
  <si>
    <t>Ing. Juan José Cosentino</t>
  </si>
  <si>
    <t>Jefe de Trabajos Prácticos</t>
  </si>
  <si>
    <t>Ing. Lucas Martín Costantino</t>
  </si>
  <si>
    <t>Ayudantes:</t>
  </si>
  <si>
    <t>Ing. Matías A. Carpinacci Sireix
 Ing. Miguel A. Beltrán
 Ing. Nicolás Elías Sabaryn</t>
  </si>
  <si>
    <t>Parte 5: Dimensionamiento Económico</t>
  </si>
  <si>
    <t>TEMA: Harina de soja con huerta hidropónica</t>
  </si>
  <si>
    <t>OBSERVACIONES</t>
  </si>
  <si>
    <t>FIRMA DEL ESTUDIANTE</t>
  </si>
  <si>
    <t>FIRMA DEL JTP / ATP</t>
  </si>
  <si>
    <t>NOTA</t>
  </si>
  <si>
    <t>ENTREGA</t>
  </si>
  <si>
    <t>Fecha ENTREGA</t>
  </si>
  <si>
    <t>Fecha VISADO</t>
  </si>
  <si>
    <t>FECHAS DESTACADAS</t>
  </si>
  <si>
    <t>1ra</t>
  </si>
  <si>
    <t>FECHA DE INICIO</t>
  </si>
  <si>
    <t>2da</t>
  </si>
  <si>
    <t>3ra</t>
  </si>
  <si>
    <t>FECHA DE FINALIZACIÓN</t>
  </si>
  <si>
    <t>4ta</t>
  </si>
  <si>
    <t>EJERCICIO 1</t>
  </si>
  <si>
    <t>SECCIONES</t>
  </si>
  <si>
    <t>DESPERDICIOS (litros)</t>
  </si>
  <si>
    <t>Recuperables</t>
  </si>
  <si>
    <t>No recuperables</t>
  </si>
  <si>
    <t>Descascarado</t>
  </si>
  <si>
    <t>2% del peso</t>
  </si>
  <si>
    <t>Molido grueso</t>
  </si>
  <si>
    <t>Extrusión</t>
  </si>
  <si>
    <t>Prensado</t>
  </si>
  <si>
    <t>Sale aceite</t>
  </si>
  <si>
    <t>Secado / Enfriado</t>
  </si>
  <si>
    <t>Molienda</t>
  </si>
  <si>
    <t>Empaquetado</t>
  </si>
  <si>
    <t xml:space="preserve">Volumen total ingresado = </t>
  </si>
  <si>
    <t>Consumo real MP =</t>
  </si>
  <si>
    <t>% Desperdicio operativo =</t>
  </si>
  <si>
    <t>% Desperdicio real =</t>
  </si>
  <si>
    <t>ALIMENTACION (Anual)</t>
  </si>
  <si>
    <t>DESPERDICIOS (Toneladas)</t>
  </si>
  <si>
    <t>PRODUCCIONES SECCIONALES (Tn/ Anual)</t>
  </si>
  <si>
    <t>PRODUCCIONES SECCIONALES (Kg/Anual)</t>
  </si>
  <si>
    <t>Separador</t>
  </si>
  <si>
    <t>Toneladas anuales</t>
  </si>
  <si>
    <t>Totales</t>
  </si>
  <si>
    <t>EJERCICIO 2</t>
  </si>
  <si>
    <t xml:space="preserve">Dias totales del año = </t>
  </si>
  <si>
    <t xml:space="preserve">Feriados del año = </t>
  </si>
  <si>
    <t xml:space="preserve">Vacaciones = </t>
  </si>
  <si>
    <t xml:space="preserve">Dias totales laborales = </t>
  </si>
  <si>
    <t>A la semana</t>
  </si>
  <si>
    <t xml:space="preserve">Equipos rotativos = </t>
  </si>
  <si>
    <t xml:space="preserve">Horas de cada turno = </t>
  </si>
  <si>
    <t>Turnos diarios =</t>
  </si>
  <si>
    <t>HORAS ACTIVAS/AÑO</t>
  </si>
  <si>
    <t>Horas</t>
  </si>
  <si>
    <t>HORAS/AÑO POR EQUIPO DE OPERARIOS</t>
  </si>
  <si>
    <t>EJERCICIO 3</t>
  </si>
  <si>
    <t>SECCIONES OPERATIVAS</t>
  </si>
  <si>
    <t>CAPACIDAD TEORICA / MAQUINA X HORA</t>
  </si>
  <si>
    <t>HORAS ACTIVA / AÑO</t>
  </si>
  <si>
    <t>CAPACIDAD TEORICA / MAQUINA X AÑO</t>
  </si>
  <si>
    <t>RENDIMIENTO OPERATIVO</t>
  </si>
  <si>
    <t>CAPACIDAD REAL / MAQUINA X AÑO</t>
  </si>
  <si>
    <t>Kg/h</t>
  </si>
  <si>
    <t>EJERCICIO 4 Y 5</t>
  </si>
  <si>
    <t>PROGRAMA ANUAL DE PRODUCCION</t>
  </si>
  <si>
    <t>CAPACIDAD REAL/MAQXAÑO</t>
  </si>
  <si>
    <t>CANTIDAD MAQS NECESARIAS</t>
  </si>
  <si>
    <t>CAPACIDAD REAL/SECCION X AÑO</t>
  </si>
  <si>
    <t>APROVECHAMIENTO SECCIONAL (%)</t>
  </si>
  <si>
    <t>Si bien, en términos de capacidades, sólo resulta necesaria una prensa en la sección operativa, es recomendable el agregado de una adicional, minimizando el costo perdido por paradas de máquinas debido a desperfectos y obteniendo un mayor porcentaje de extracción</t>
  </si>
  <si>
    <t>EJERCICIO 6</t>
  </si>
  <si>
    <t>días laborales</t>
  </si>
  <si>
    <t>Venta volúmen [Tn]</t>
  </si>
  <si>
    <t>Anual</t>
  </si>
  <si>
    <t>Mensual</t>
  </si>
  <si>
    <t>meses laborales</t>
  </si>
  <si>
    <t>Mes</t>
  </si>
  <si>
    <t>Ritmo de producción
 al inicio</t>
  </si>
  <si>
    <t>Ritmo de producción
 al final</t>
  </si>
  <si>
    <t>Producción Prom.</t>
  </si>
  <si>
    <t>Producción Mensual Prom.</t>
  </si>
  <si>
    <t>Producción Propuesta</t>
  </si>
  <si>
    <t xml:space="preserve">TOTAL = </t>
  </si>
  <si>
    <t>Resto del año</t>
  </si>
  <si>
    <t>Año 1</t>
  </si>
  <si>
    <t>Año 2 a 10</t>
  </si>
  <si>
    <t xml:space="preserve">Producción </t>
  </si>
  <si>
    <t>RESTO DEL AÑO</t>
  </si>
  <si>
    <t>EJERCICIO 7</t>
  </si>
  <si>
    <t>EJERCICIO 8</t>
  </si>
  <si>
    <t>Venta [Tn]</t>
  </si>
  <si>
    <t>Cuatrimestral</t>
  </si>
  <si>
    <t>Ventas del año 1 =</t>
  </si>
  <si>
    <t>Volumen de produccion cuatrimestral =</t>
  </si>
  <si>
    <t>Tn</t>
  </si>
  <si>
    <t>Ventas del año 2 a 10 =</t>
  </si>
  <si>
    <t>Stock promedio elaborados =</t>
  </si>
  <si>
    <t>Se opera sin la formación de un stock de seguridad</t>
  </si>
  <si>
    <t>EJERCICIO 9</t>
  </si>
  <si>
    <t>Punto A</t>
  </si>
  <si>
    <t>Ciclo de elaboracion =</t>
  </si>
  <si>
    <t>días</t>
  </si>
  <si>
    <t>Ciclos anuales =</t>
  </si>
  <si>
    <t>ciclos</t>
  </si>
  <si>
    <t>Periodo de puesta en marcha (3 meses) =</t>
  </si>
  <si>
    <t>con 17,3% de desperdicio</t>
  </si>
  <si>
    <t>Resto del año =</t>
  </si>
  <si>
    <t>total materia prima para la producción</t>
  </si>
  <si>
    <t>Produccion año 1 =</t>
  </si>
  <si>
    <t>Desperdicio no recuperable =</t>
  </si>
  <si>
    <t>Punto B</t>
  </si>
  <si>
    <t>Cantidad de ciclos productivos =</t>
  </si>
  <si>
    <t>Vol. Anual / días año * longitud proceso =</t>
  </si>
  <si>
    <t>Desglose por ciclo productivo (en régimen)</t>
  </si>
  <si>
    <t xml:space="preserve">Producto elaborado = </t>
  </si>
  <si>
    <t>MP / Coef desperdicio operativo =</t>
  </si>
  <si>
    <t>Coef Desp Operativo (Ej1) = 17.3%</t>
  </si>
  <si>
    <t>MP * % Desperdicio real =</t>
  </si>
  <si>
    <t>Desperdicio Real (Ej1) = 17.3%</t>
  </si>
  <si>
    <t>Desperdicio recuperable =</t>
  </si>
  <si>
    <t>MP * % Recuperable =</t>
  </si>
  <si>
    <t>Recuperable (Ej1) = 0%</t>
  </si>
  <si>
    <t>TOTAL =</t>
  </si>
  <si>
    <t>Punto C</t>
  </si>
  <si>
    <t>Consumo total MP año 1 = MP Produccion + MP Mercaderia en curso y SE =</t>
  </si>
  <si>
    <t>Punto D</t>
  </si>
  <si>
    <t xml:space="preserve">Consumo MP años 2 a 10 = </t>
  </si>
  <si>
    <t>EJERCICIO 10</t>
  </si>
  <si>
    <t>Al final del mes</t>
  </si>
  <si>
    <t>Stock</t>
  </si>
  <si>
    <t>Compras</t>
  </si>
  <si>
    <t>Total de compras anuales=</t>
  </si>
  <si>
    <t>Enero</t>
  </si>
  <si>
    <t>-</t>
  </si>
  <si>
    <t>12 Compras por año=</t>
  </si>
  <si>
    <t>Febrero</t>
  </si>
  <si>
    <t>Consumo mensual=</t>
  </si>
  <si>
    <t>Marzo</t>
  </si>
  <si>
    <t>Abril</t>
  </si>
  <si>
    <t>Mayo</t>
  </si>
  <si>
    <t>El período de tiempo entre siembra y cosecha son 3 meses</t>
  </si>
  <si>
    <t>Junio</t>
  </si>
  <si>
    <t>Julio</t>
  </si>
  <si>
    <t>Agosto</t>
  </si>
  <si>
    <t>Septiembre</t>
  </si>
  <si>
    <t>Octubre</t>
  </si>
  <si>
    <t>Noviembre</t>
  </si>
  <si>
    <t>Diciembre</t>
  </si>
  <si>
    <t>EJERCICIO 11</t>
  </si>
  <si>
    <t>U. de medida</t>
  </si>
  <si>
    <t xml:space="preserve">Período Instalación </t>
  </si>
  <si>
    <t>Ventas</t>
  </si>
  <si>
    <t>t. PT</t>
  </si>
  <si>
    <t>Stock Promedio de elaborados</t>
  </si>
  <si>
    <t>Producción</t>
  </si>
  <si>
    <t>t. MP</t>
  </si>
  <si>
    <t>Desperdicio No Recuperables</t>
  </si>
  <si>
    <t>En Curso y Semielaborados</t>
  </si>
  <si>
    <t>Consumo de MP</t>
  </si>
  <si>
    <t>Stock de MP</t>
  </si>
  <si>
    <t>Compra de MP</t>
  </si>
  <si>
    <t>Tasa porcentual de IVA</t>
  </si>
  <si>
    <t>Tasa porcentual de Impuesto a las Ganancias</t>
  </si>
  <si>
    <t>Honorarios al Directorio</t>
  </si>
  <si>
    <t>Variable sobre Utilidad economica antes de HD e IG</t>
  </si>
  <si>
    <t>Tiempo de Amortización Activos Fijos:</t>
  </si>
  <si>
    <t>Se considera una depreciación lineal y un valor residual nulo</t>
  </si>
  <si>
    <t xml:space="preserve">    edificios y obras complementarias</t>
  </si>
  <si>
    <t>años</t>
  </si>
  <si>
    <t xml:space="preserve">    instalaciones industriales</t>
  </si>
  <si>
    <t xml:space="preserve">    máquinas, equipos y accesorios</t>
  </si>
  <si>
    <t xml:space="preserve">    rodados y equipos auxiliares</t>
  </si>
  <si>
    <t xml:space="preserve">    muebles y útiles</t>
  </si>
  <si>
    <t xml:space="preserve">    repuestos iniciales</t>
  </si>
  <si>
    <t>Otros Activos y Cargos Diferidos</t>
  </si>
  <si>
    <t>Imprevistos sin Especificar</t>
  </si>
  <si>
    <t>Nombre del Producto</t>
  </si>
  <si>
    <t>Harina de Soja</t>
  </si>
  <si>
    <t>Ventas Anuales Promedio</t>
  </si>
  <si>
    <t>en Unidades</t>
  </si>
  <si>
    <t>-&gt; Toneladas</t>
  </si>
  <si>
    <t>Precio Promedio</t>
  </si>
  <si>
    <t>en $</t>
  </si>
  <si>
    <t>https://www.bolsadecereales.com/fob</t>
  </si>
  <si>
    <t xml:space="preserve">Cantidad de personal total </t>
  </si>
  <si>
    <t>en Producción</t>
  </si>
  <si>
    <t>personas</t>
  </si>
  <si>
    <t>en Comercialización</t>
  </si>
  <si>
    <t>en Administración</t>
  </si>
  <si>
    <t>Tamaño de la planta en metros cuadrados</t>
  </si>
  <si>
    <t>m2</t>
  </si>
  <si>
    <t>Periodo de Instalación</t>
  </si>
  <si>
    <t>en meses</t>
  </si>
  <si>
    <t>Período de Puesta en Marcha</t>
  </si>
  <si>
    <t>Tasa de Cambio</t>
  </si>
  <si>
    <t>$ por cada</t>
  </si>
  <si>
    <t>U$S</t>
  </si>
  <si>
    <t>Tasa de Credito Bancario</t>
  </si>
  <si>
    <t>anual</t>
  </si>
  <si>
    <t>Rubro a financiar</t>
  </si>
  <si>
    <t>Activo Fijo</t>
  </si>
  <si>
    <t>% sobre el total del Rubro</t>
  </si>
  <si>
    <t>Dias de Financiación de Proveedores</t>
  </si>
  <si>
    <t>% sobre Compras</t>
  </si>
  <si>
    <t>Tasa de financiación</t>
  </si>
  <si>
    <t xml:space="preserve">Granos </t>
  </si>
  <si>
    <t>Bolsas de Polipropileno</t>
  </si>
  <si>
    <t>Tonelada</t>
  </si>
  <si>
    <t>kg</t>
  </si>
  <si>
    <t>Bolsas</t>
  </si>
  <si>
    <t>Precio x u</t>
  </si>
  <si>
    <t>Total</t>
  </si>
  <si>
    <t>Precio unitario</t>
  </si>
  <si>
    <t>https://articulo.mercadolibre.com.ar/MLA-1297825597-bolsa-de-rafia-blanca-56x97-x50unidades-50-55kg-_JM#polycard_client=search-nordic&amp;position=21&amp;search_layout=stack&amp;type=item&amp;tracking_id=21379e5e-2703-47be-a018-e752532858f4</t>
  </si>
  <si>
    <t>Stock Materia Prima año 0</t>
  </si>
  <si>
    <t>Referencias</t>
  </si>
  <si>
    <t xml:space="preserve">Mantenimiento </t>
  </si>
  <si>
    <t xml:space="preserve">Repuestos </t>
  </si>
  <si>
    <t>Personal</t>
  </si>
  <si>
    <t>PRODUCCIÓN</t>
  </si>
  <si>
    <t>Año</t>
  </si>
  <si>
    <t>TOTAL</t>
  </si>
  <si>
    <t>Produccion año 1</t>
  </si>
  <si>
    <t>Dividimos el valor de gastos del area de fabricacion por la cantidad fabricada en año 1 y año 2 a 10. Luego lo mutliplicamos por la cantidad de semielaborados (Ejercicio 11)</t>
  </si>
  <si>
    <t>Produccion año 2 a 10</t>
  </si>
  <si>
    <t xml:space="preserve">  Materia prima</t>
  </si>
  <si>
    <t xml:space="preserve">  Mano de obra directa</t>
  </si>
  <si>
    <t xml:space="preserve">  Amortizaciones</t>
  </si>
  <si>
    <t xml:space="preserve">  Personal indirecto</t>
  </si>
  <si>
    <t xml:space="preserve">  Materiales</t>
  </si>
  <si>
    <t xml:space="preserve">  Energía eléctrica</t>
  </si>
  <si>
    <t xml:space="preserve">  Combustibles</t>
  </si>
  <si>
    <t xml:space="preserve">  Tasas e impuestos</t>
  </si>
  <si>
    <t xml:space="preserve">  Seguros</t>
  </si>
  <si>
    <t xml:space="preserve">  Imprevistos</t>
  </si>
  <si>
    <t>Bienes de uso</t>
  </si>
  <si>
    <t>Valor original</t>
  </si>
  <si>
    <t>Años 2 a 10</t>
  </si>
  <si>
    <t>Coeficiente</t>
  </si>
  <si>
    <t>Prima</t>
  </si>
  <si>
    <t>Edificio</t>
  </si>
  <si>
    <t>Instalaciones</t>
  </si>
  <si>
    <t>Máquinas</t>
  </si>
  <si>
    <t>Rodados y equipos</t>
  </si>
  <si>
    <t>Muebles y útiles</t>
  </si>
  <si>
    <t>Año 2 al 10</t>
  </si>
  <si>
    <t>Bienes de cambio</t>
  </si>
  <si>
    <t>Stock de materia prima</t>
  </si>
  <si>
    <t>Stock de materiales</t>
  </si>
  <si>
    <t>Mercadería en proceso</t>
  </si>
  <si>
    <t>Resumen:</t>
  </si>
  <si>
    <t xml:space="preserve">Prima </t>
  </si>
  <si>
    <t>Tasa municipal</t>
  </si>
  <si>
    <t>Distribución por Área</t>
  </si>
  <si>
    <t>Impuesto inmobiliario</t>
  </si>
  <si>
    <t>Administración</t>
  </si>
  <si>
    <t>Comercialización</t>
  </si>
  <si>
    <t>Edificio y obras complementarias:</t>
  </si>
  <si>
    <t>total anual año 1 a 10</t>
  </si>
  <si>
    <t>CALCULOS AUXILIARES</t>
  </si>
  <si>
    <t>Muebles Y Utiles</t>
  </si>
  <si>
    <t>Precio x Un.</t>
  </si>
  <si>
    <t>Cantidad</t>
  </si>
  <si>
    <t>Instalaciones industriales</t>
  </si>
  <si>
    <t>Inversión Inicial en Activo Fijo</t>
  </si>
  <si>
    <t>Gasto interno (en $)</t>
  </si>
  <si>
    <t>Gasto Externo (en U$S)</t>
  </si>
  <si>
    <t>Escritorios</t>
  </si>
  <si>
    <t>Circuitos Iluminación</t>
  </si>
  <si>
    <t>Año 0</t>
  </si>
  <si>
    <t>https://inmueble.mercadolibre.com.ar/MLA-1411251467-2500-m2-pacheco-sobre-4200-m2-de-terreno-ubicado-a-300-mts-de-au-panamericana-_JM#position=10&amp;search_layout=grid&amp;type=item&amp;tracking_id=0bfa1e80-f939-4613-b9c2-5152c3262cbb</t>
  </si>
  <si>
    <t>Terreno</t>
  </si>
  <si>
    <t>USD</t>
  </si>
  <si>
    <t>Sillas de oficina</t>
  </si>
  <si>
    <t>Desague</t>
  </si>
  <si>
    <t>Notebooks/PC</t>
  </si>
  <si>
    <t>Bombas</t>
  </si>
  <si>
    <t>a) Bienes de Uso</t>
  </si>
  <si>
    <t>Impresora</t>
  </si>
  <si>
    <t>Tanque de agua</t>
  </si>
  <si>
    <t>Terreno y sus mejoras:</t>
  </si>
  <si>
    <t>Telefonos</t>
  </si>
  <si>
    <t>Sanitarias</t>
  </si>
  <si>
    <t>Rodados y Eq. Aux</t>
  </si>
  <si>
    <t>Set de utiles</t>
  </si>
  <si>
    <t>Deteccion de incendio</t>
  </si>
  <si>
    <t>Instalaciones industriales:</t>
  </si>
  <si>
    <t>Autoelevador</t>
  </si>
  <si>
    <t>Mesas Comedor</t>
  </si>
  <si>
    <t>Sistema Tuberías</t>
  </si>
  <si>
    <t>Máquinas operativas:</t>
  </si>
  <si>
    <t>Zorra hidraulica</t>
  </si>
  <si>
    <t>Sillas Comedor</t>
  </si>
  <si>
    <t>Fuerza motriz</t>
  </si>
  <si>
    <t xml:space="preserve">    importadas, valor FOB, con repuestos:</t>
  </si>
  <si>
    <t>Cinta Transportadora</t>
  </si>
  <si>
    <t>Tachos de basura</t>
  </si>
  <si>
    <t xml:space="preserve">    nacionales, precio en fábrica del proveedor:</t>
  </si>
  <si>
    <t>Medidor digital de humedad para granos de soja</t>
  </si>
  <si>
    <t>Proyectores</t>
  </si>
  <si>
    <t>Medidor digital de humedad para harinas de soja</t>
  </si>
  <si>
    <t>Gastos conexos a la importación de maquinaria:</t>
  </si>
  <si>
    <t>Termómetro infrarojo</t>
  </si>
  <si>
    <t>Mingitorios</t>
  </si>
  <si>
    <t>Transporte y montaje de la maquinaria:</t>
  </si>
  <si>
    <t>Medidor de PH</t>
  </si>
  <si>
    <t>Inodoro</t>
  </si>
  <si>
    <t>Rodados y equipos auxiliares:</t>
  </si>
  <si>
    <t>Pallets de madera normalizados</t>
  </si>
  <si>
    <t>Lavamanos</t>
  </si>
  <si>
    <t>Muebles y útiles:</t>
  </si>
  <si>
    <t>Tubos PVC</t>
  </si>
  <si>
    <t>Dispenser de agua</t>
  </si>
  <si>
    <t>Infraestructura en predio propio:</t>
  </si>
  <si>
    <t>Bomba de agua</t>
  </si>
  <si>
    <t>Aire Acondicionado</t>
  </si>
  <si>
    <t xml:space="preserve">Imprevistos: </t>
  </si>
  <si>
    <t>Matafuegos</t>
  </si>
  <si>
    <t>Total Bienes de uso:</t>
  </si>
  <si>
    <t>Horno Eléctrico</t>
  </si>
  <si>
    <t>Heladera c/freezer</t>
  </si>
  <si>
    <t>b) Gastos asimilables o cargos diferidos:</t>
  </si>
  <si>
    <t>Lavavajillas</t>
  </si>
  <si>
    <t>Investigaciones y estudios:</t>
  </si>
  <si>
    <t>Cafetera</t>
  </si>
  <si>
    <t>Constitución y organización de la empresa:</t>
  </si>
  <si>
    <t>Microondas</t>
  </si>
  <si>
    <t>Gastos de Administración e Ingeniería</t>
  </si>
  <si>
    <t>Mesa de Trabajo</t>
  </si>
  <si>
    <t>durante el período de instalación:</t>
  </si>
  <si>
    <t>Máquinas Operativas</t>
  </si>
  <si>
    <t>Nacional</t>
  </si>
  <si>
    <t>Detector de humo</t>
  </si>
  <si>
    <t>Gastos de puesta en marcha:</t>
  </si>
  <si>
    <t>Separadora</t>
  </si>
  <si>
    <t>x</t>
  </si>
  <si>
    <t>Estanterias</t>
  </si>
  <si>
    <t>Patentes y Licencias:</t>
  </si>
  <si>
    <t>Descascaradora</t>
  </si>
  <si>
    <t>Locker</t>
  </si>
  <si>
    <t>(Locker de 8 puertas la unidad)</t>
  </si>
  <si>
    <t>Infraestructura en predio ajeno:</t>
  </si>
  <si>
    <t>Molino Grueso</t>
  </si>
  <si>
    <t>Ventiladores</t>
  </si>
  <si>
    <t xml:space="preserve">Imprevistos:  </t>
  </si>
  <si>
    <t>Extrusora</t>
  </si>
  <si>
    <t>Total gastos asimilables o cargos diferidos:</t>
  </si>
  <si>
    <t>Prensa</t>
  </si>
  <si>
    <t>Secadora de Granos</t>
  </si>
  <si>
    <t>c) Total Inversiones iniciales Activo Fijo, sin IVA</t>
  </si>
  <si>
    <t>Empaquetadora</t>
  </si>
  <si>
    <t xml:space="preserve">d) IVA: </t>
  </si>
  <si>
    <t>e) TOTAL INVERSIONES INICIALES ACTIVO FIJO</t>
  </si>
  <si>
    <t>http://pa.bibdigital.ucc.edu.ar/3437/1/TM_Bruera%20%282%29.pdf</t>
  </si>
  <si>
    <t>Planta de Acopio y Secado de granos, referencia</t>
  </si>
  <si>
    <t>https://www.moralesyasociados.com.ar/costo-de-constituir-una-srl-o-una-sa/#:~:text=Tanto%20en%20CABA%20como%20en,disponga%20la%20compa%C3%B1ia%20de%20seguros).</t>
  </si>
  <si>
    <t>Estudio de Abogados</t>
  </si>
  <si>
    <t>https://www.uoyepweb.org.ar/escala-salarial/</t>
  </si>
  <si>
    <t>Escala Salarial</t>
  </si>
  <si>
    <t>Rubro</t>
  </si>
  <si>
    <t>Inversión</t>
  </si>
  <si>
    <t>Alícuotas de amortización</t>
  </si>
  <si>
    <t>Valor residual</t>
  </si>
  <si>
    <t>original</t>
  </si>
  <si>
    <t>Años 1/3</t>
  </si>
  <si>
    <t>Años 4/5</t>
  </si>
  <si>
    <t>Años 6/10</t>
  </si>
  <si>
    <t>Bienes de Uso</t>
  </si>
  <si>
    <t>Pallets (3500kg)</t>
  </si>
  <si>
    <t>Lote cuatrimestral en régimen</t>
  </si>
  <si>
    <t>Pallets</t>
  </si>
  <si>
    <t>Es una única compra en el año 1</t>
  </si>
  <si>
    <t>Máquinas operativas: (*)</t>
  </si>
  <si>
    <t>Rodados y equipos auxiliares: (**)</t>
  </si>
  <si>
    <t>https://articulo.mercadolibre.com.ar/MLA-1142588105-pallet-madera-normalizados-_JM?searchVariation=174645647545#searchVariation%3D174645647545%26position%3D4%26search_layout%3Dgrid%26type%3Ditem%26tracking_id%3D4291ee21-22bf-4939-9bf7-413ede7b6573#polycard_client=search-nordic&amp;searchVariation=174645647545&amp;position=4&amp;search_layout=grid&amp;type=item&amp;tracking_id=4291ee21-22bf-4939-9bf7-413ede7b6573</t>
  </si>
  <si>
    <t>Muebles y útiles: (***)</t>
  </si>
  <si>
    <t>Imprevistos</t>
  </si>
  <si>
    <t>Repuestos (****)</t>
  </si>
  <si>
    <t>Subtotal</t>
  </si>
  <si>
    <t>Sistema Hidropónico</t>
  </si>
  <si>
    <t xml:space="preserve">Cantidad Plantas </t>
  </si>
  <si>
    <t xml:space="preserve">Toneladas </t>
  </si>
  <si>
    <t>Tubos</t>
  </si>
  <si>
    <t xml:space="preserve">Cargos Diferidos </t>
  </si>
  <si>
    <t>Totales, s/IVA</t>
  </si>
  <si>
    <t>Tubo (Un)</t>
  </si>
  <si>
    <t>https://www.mercadolibre.com.ar/tubo-de-pvc-cano-rigido-semipesado-20mm-34-genrod-x37-tiras/p/MLA29106841#polycard_client=search-nordic&amp;searchVariation=MLA29106841&amp;position=2&amp;search_layout=grid&amp;type=product&amp;tracking_id=822af6ef-2040-</t>
  </si>
  <si>
    <t>Plantas por tubo</t>
  </si>
  <si>
    <t>Bomba (Un)</t>
  </si>
  <si>
    <t>https://articulo.mercadolibre.com.ar/MLA-1470630360-bomba-rs-932-15-mts-de-manguera-12-pulgada-hidroponia-_JM#polycard_client=search-nordic&amp;position=2&amp;search_layout=stack&amp;type=item&amp;tracking_id=cb55a88d-eba8-458c-a8cf-aad896fb2873</t>
  </si>
  <si>
    <t>Por planta</t>
  </si>
  <si>
    <t>COSTO TOTAL DE PRODUCCION</t>
  </si>
  <si>
    <t>Gastos en el Area de Producción</t>
  </si>
  <si>
    <t>Rubros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</si>
  <si>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</si>
  <si>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</si>
  <si>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</si>
  <si>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</si>
  <si>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</si>
  <si>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</si>
  <si>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</si>
  <si>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</si>
  <si>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</si>
  <si>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Materia prima</t>
  </si>
  <si>
    <t>https://www.boletinoficial.gob.ar/detalleAviso/primera/308813/20240607#:~:text=ART%C3%8DCULO%205.,asciende%20a%2095%2C624%20%24%2FkWh.</t>
  </si>
  <si>
    <t>Tomando de referencia que el valor de KWH es de 95,624$/kwh</t>
  </si>
  <si>
    <t>Mano de obra directa</t>
  </si>
  <si>
    <t>Maquinaria</t>
  </si>
  <si>
    <t>Cant</t>
  </si>
  <si>
    <t>Consumo Unitario (KWh)</t>
  </si>
  <si>
    <t>Hs Activas al Año</t>
  </si>
  <si>
    <t>Consumo Anual (KW)</t>
  </si>
  <si>
    <t>Costo KWH</t>
  </si>
  <si>
    <t>Gastos de fabricación:</t>
  </si>
  <si>
    <t>Separadora de Granos</t>
  </si>
  <si>
    <t>Descascadora</t>
  </si>
  <si>
    <t>Prensadora</t>
  </si>
  <si>
    <t>Gastos Total de Producción</t>
  </si>
  <si>
    <t>Equipo</t>
  </si>
  <si>
    <t>% Gasto Variable</t>
  </si>
  <si>
    <t>% Gasto Constante</t>
  </si>
  <si>
    <t>Computadoras</t>
  </si>
  <si>
    <t>Gastos a activar</t>
  </si>
  <si>
    <t>Mercadería en Curso y Semielaborada</t>
  </si>
  <si>
    <t>Puesta en marcha</t>
  </si>
  <si>
    <t>Luminarias</t>
  </si>
  <si>
    <t>Lavavajilla</t>
  </si>
  <si>
    <t>Heladera</t>
  </si>
  <si>
    <t>Proyector</t>
  </si>
  <si>
    <t>https://www.argentina.gob.ar/transporte/cnrt/transparencia/escalas-salariales</t>
  </si>
  <si>
    <t>https://www.ignacioonline.com.ar/categorias-empleados-de-comercio-de-comercio-cct-130-75/</t>
  </si>
  <si>
    <t>Escalas Salariales</t>
  </si>
  <si>
    <t>Puesto</t>
  </si>
  <si>
    <t>Salario Bruto x Mes</t>
  </si>
  <si>
    <t>Salario Bruto x Año</t>
  </si>
  <si>
    <t>Sub total</t>
  </si>
  <si>
    <t>Cargas Sociales</t>
  </si>
  <si>
    <t>Aguinaldo Anual</t>
  </si>
  <si>
    <t>Jefe de calidad</t>
  </si>
  <si>
    <t>Total gastos a activar</t>
  </si>
  <si>
    <t>Operario</t>
  </si>
  <si>
    <t>Gerente de administracion</t>
  </si>
  <si>
    <t>Costo en el Area de Producción</t>
  </si>
  <si>
    <t>Encargado administrativo</t>
  </si>
  <si>
    <t>Encargado RRHH</t>
  </si>
  <si>
    <t>Encargado de ventas</t>
  </si>
  <si>
    <t>Menos:</t>
  </si>
  <si>
    <t>Gasto de puesta en marcha (-)</t>
  </si>
  <si>
    <t>Mercadería al principio  (+)</t>
  </si>
  <si>
    <t>Mercadería al final  (-)</t>
  </si>
  <si>
    <t>Variación Mercadería en proceso</t>
  </si>
  <si>
    <t>Costo de producción anual</t>
  </si>
  <si>
    <t>Costo de prod. Unitario Promedio ($/Tn)</t>
  </si>
  <si>
    <t>% Costo Variable</t>
  </si>
  <si>
    <t>% Costo Constante</t>
  </si>
  <si>
    <t>Gastos en el Area de Administración</t>
  </si>
  <si>
    <t>Amortizaciones de A. Fijo</t>
  </si>
  <si>
    <t>Materiales</t>
  </si>
  <si>
    <t>Electricidad</t>
  </si>
  <si>
    <t>Combustible</t>
  </si>
  <si>
    <t>Varios</t>
  </si>
  <si>
    <t>Tasas e impuestos</t>
  </si>
  <si>
    <t>Seguros</t>
  </si>
  <si>
    <t>Total acumulado:</t>
  </si>
  <si>
    <t>Imprevistos aprox. 2%:</t>
  </si>
  <si>
    <t>Costo total de Admistración</t>
  </si>
  <si>
    <t>Gastos en el Area de Comercialización</t>
  </si>
  <si>
    <t>Energía Eléctrica</t>
  </si>
  <si>
    <t>Costo total de Comercialización</t>
  </si>
  <si>
    <t>COSTO TOTAL Y RESULTADO A NIVEL ECONOMICO</t>
  </si>
  <si>
    <t>Venta anual, en toneladas Producto 1</t>
  </si>
  <si>
    <t>Precio de venta Producto 1</t>
  </si>
  <si>
    <t>VENTAS ANUALES</t>
  </si>
  <si>
    <t xml:space="preserve">Consumo de materia prima </t>
  </si>
  <si>
    <t>Gastos de fabricación</t>
  </si>
  <si>
    <t>Gastos de Producción</t>
  </si>
  <si>
    <t>COSTO DE PRODUCCION ANUAL</t>
  </si>
  <si>
    <t>Producción anual en Unidades (Tn)</t>
  </si>
  <si>
    <t>Costo de producción unitario Promedio</t>
  </si>
  <si>
    <t>Variación de Stock de Elaborado</t>
  </si>
  <si>
    <t>COSTO DE PRODUCCION DE LO VENDIDO</t>
  </si>
  <si>
    <t>GASTO DE ADMINISTRACION</t>
  </si>
  <si>
    <t xml:space="preserve">GASTO DE COMERCIALIZACION </t>
  </si>
  <si>
    <t>COSTO ANUAL DE LO VENDIDO</t>
  </si>
  <si>
    <t>Costo total unitario promedio</t>
  </si>
  <si>
    <t>UTILIDAD ECONOMICA (a/H. D. e Impuesto)</t>
  </si>
  <si>
    <t xml:space="preserve">Impuesto a la ganancia </t>
  </si>
  <si>
    <t>UTILIDAD ECONOMICA (d/H.D. e Impuesto)</t>
  </si>
  <si>
    <t>% sobre VENTAS</t>
  </si>
  <si>
    <t>FONDOS AUTOGENERADOS</t>
  </si>
  <si>
    <t>Utilidad Económica (d/H.D. e Impuesto)</t>
  </si>
  <si>
    <t>Amortización anual</t>
  </si>
  <si>
    <t>Costo Variable Sector de Producción</t>
  </si>
  <si>
    <t>Costo Constante Sector de Producción</t>
  </si>
  <si>
    <t>Costo Variable Sector de Administración</t>
  </si>
  <si>
    <t>Costo Constante Sector de Administración</t>
  </si>
  <si>
    <t>Costo Variable Sector de Comercialización</t>
  </si>
  <si>
    <t>Costo Constante Sector de Comercialización</t>
  </si>
  <si>
    <t>UTILIDAD MARGINAL</t>
  </si>
  <si>
    <t>PUNTO DE EQUILIBRIO</t>
  </si>
  <si>
    <t>HACER DIAGRAMA DE PUNTO DE EQUILIBRIO PARA EL AÑO 1 Y PARA EL AÑO 10</t>
  </si>
  <si>
    <t>Volumen de ventas año 1 (Tn)</t>
  </si>
  <si>
    <t>Precio de venta unitario</t>
  </si>
  <si>
    <t>Costos fijos</t>
  </si>
  <si>
    <t>Costo variable unitario</t>
  </si>
  <si>
    <t>Punto de Equilibrio</t>
  </si>
  <si>
    <t>Q</t>
  </si>
  <si>
    <t xml:space="preserve">% C.I. </t>
  </si>
  <si>
    <t>Costo Total</t>
  </si>
  <si>
    <t>Volumen de ventas año 10 (Tn)</t>
  </si>
  <si>
    <t>INVERSIONES EN ACTIVO DE TRABAJO</t>
  </si>
  <si>
    <r>
      <rPr>
        <b/>
        <sz val="10"/>
        <color theme="1"/>
        <rFont val="Arial"/>
      </rPr>
      <t xml:space="preserve">1. Activo de Trabajo: </t>
    </r>
    <r>
      <rPr>
        <sz val="10"/>
        <color theme="1"/>
        <rFont val="Arial"/>
      </rPr>
      <t>(valor contable)</t>
    </r>
  </si>
  <si>
    <t xml:space="preserve">   a) Disponibilidad Mínima en Caja y Bancos:</t>
  </si>
  <si>
    <t xml:space="preserve">   b) Crédito por Ventas</t>
  </si>
  <si>
    <t>El plazo promedio de financiación a clientes es de 30 días</t>
  </si>
  <si>
    <t xml:space="preserve">   c) Bienes de cambio:</t>
  </si>
  <si>
    <t xml:space="preserve">    Stock de materias prima:</t>
  </si>
  <si>
    <t xml:space="preserve">   Stock de materiales:</t>
  </si>
  <si>
    <t xml:space="preserve">   Mercadería en curso y semielaborada</t>
  </si>
  <si>
    <t xml:space="preserve">   Stock de elaborados</t>
  </si>
  <si>
    <t xml:space="preserve">   d) Total Activo de Trabajo, sin IVA:</t>
  </si>
  <si>
    <t>2. Menos:</t>
  </si>
  <si>
    <t xml:space="preserve">    Amortizaciones en Mercadería en proceso</t>
  </si>
  <si>
    <t xml:space="preserve">    Amortizaciones en Stock de elaborado</t>
  </si>
  <si>
    <t xml:space="preserve">    Utilidades en Crédito por ventas</t>
  </si>
  <si>
    <t xml:space="preserve">    Amortizaciones en Crédito por ventas</t>
  </si>
  <si>
    <t>3. Inversiones en Activo de Trabajo, sin IVA</t>
  </si>
  <si>
    <t>4. Incrementos de Activo de Trabajo</t>
  </si>
  <si>
    <t xml:space="preserve">    Incrementos de Inversión en Activo de Trabajo</t>
  </si>
  <si>
    <t>5. Incrementos IVA sobre Inversiones</t>
  </si>
  <si>
    <t xml:space="preserve">    Crédito por Ventas                             </t>
  </si>
  <si>
    <t xml:space="preserve">    Bienes de cambio:</t>
  </si>
  <si>
    <t xml:space="preserve">               Stock de materia prima</t>
  </si>
  <si>
    <t xml:space="preserve">               Stock de materiales</t>
  </si>
  <si>
    <t xml:space="preserve">               Mercadería en proceso</t>
  </si>
  <si>
    <t xml:space="preserve">               Stock de elaborados</t>
  </si>
  <si>
    <t xml:space="preserve">   Total incrementos IVA sobre inversiones</t>
  </si>
  <si>
    <t>6. Incrementos Inversiones en Activo de Trabajo</t>
  </si>
  <si>
    <t>Calendario de Inversiones</t>
  </si>
  <si>
    <t>Año 0: Preinversion</t>
  </si>
  <si>
    <t>Año 0: Instalación</t>
  </si>
  <si>
    <t>Inversiones en Activo Fijo</t>
  </si>
  <si>
    <t xml:space="preserve">    Bienes de uso</t>
  </si>
  <si>
    <t xml:space="preserve">    Asimilables</t>
  </si>
  <si>
    <t xml:space="preserve">    Subtotal Activo Fijo</t>
  </si>
  <si>
    <t>Inversiones en A. de Trabajo</t>
  </si>
  <si>
    <t xml:space="preserve">   Disp. mínimas C y B</t>
  </si>
  <si>
    <t xml:space="preserve">   Crédito por ventas</t>
  </si>
  <si>
    <t xml:space="preserve">   Bienes de cambio:</t>
  </si>
  <si>
    <t xml:space="preserve">     Stock de Materia Prima</t>
  </si>
  <si>
    <t xml:space="preserve">     Stock de Materiales</t>
  </si>
  <si>
    <t xml:space="preserve">     Mercadería en proceso</t>
  </si>
  <si>
    <t xml:space="preserve">     Stock de Elaborados</t>
  </si>
  <si>
    <t xml:space="preserve">    Subtotal Activo Trabajo</t>
  </si>
  <si>
    <t>IVA:</t>
  </si>
  <si>
    <t xml:space="preserve">    por inversión A. Fijo</t>
  </si>
  <si>
    <t xml:space="preserve">    por inversión A. T.</t>
  </si>
  <si>
    <t xml:space="preserve">   Subtotal IVA Inversión</t>
  </si>
  <si>
    <t>Inversiones Totales</t>
  </si>
  <si>
    <t>IVA plan de Explotación, Cancelación del Credito Fiscal y pago al Fisco por IVA</t>
  </si>
  <si>
    <t>TOTALES PARA LAS TRES AREAS</t>
  </si>
  <si>
    <t>Rubros que abonan IVA</t>
  </si>
  <si>
    <t>Materia Prima</t>
  </si>
  <si>
    <t>Energía eléctrica</t>
  </si>
  <si>
    <t>Combustibles</t>
  </si>
  <si>
    <t>Menos: Puesta en marcha</t>
  </si>
  <si>
    <t xml:space="preserve">   (s/mano de obra directa)</t>
  </si>
  <si>
    <t>Merc. en proceso</t>
  </si>
  <si>
    <t>Stock elaborados</t>
  </si>
  <si>
    <t>Total Area Producción</t>
  </si>
  <si>
    <t>Total Area Administración</t>
  </si>
  <si>
    <t>Total Area Comercialización</t>
  </si>
  <si>
    <t>IVA total abonado por insumos</t>
  </si>
  <si>
    <t>IVA total cobrado por ventas</t>
  </si>
  <si>
    <t>a) IVA diferencia</t>
  </si>
  <si>
    <t>b) Crédito Fiscal Anterior</t>
  </si>
  <si>
    <t>c) Crédito Fiscal del Año</t>
  </si>
  <si>
    <t>d) Crédito Fiscal Final Año</t>
  </si>
  <si>
    <t>e) Recuepro de Credito Fiscal</t>
  </si>
  <si>
    <t xml:space="preserve">    Pago al Fisco por IVA</t>
  </si>
  <si>
    <t>Formulación del Proyecto a Nivel Económico</t>
  </si>
  <si>
    <t>Inversión en Activo Fijo</t>
  </si>
  <si>
    <t>Inversión en Activo de Trabajo</t>
  </si>
  <si>
    <t>Credito Fiscal</t>
  </si>
  <si>
    <t>Impuesto a las Ganancias</t>
  </si>
  <si>
    <t>Total Egresos</t>
  </si>
  <si>
    <t>Utilidad Economica Antes  HD e IG</t>
  </si>
  <si>
    <t>Amortizaciones</t>
  </si>
  <si>
    <t>Cobro Credito Fiscal</t>
  </si>
  <si>
    <t>Total Ingresos</t>
  </si>
  <si>
    <t>Saldo Anual</t>
  </si>
  <si>
    <t>Saldo Acumulado</t>
  </si>
  <si>
    <t>Suma.</t>
  </si>
  <si>
    <t>Beneficio Neto</t>
  </si>
  <si>
    <t>Periodo de Recupero de la Inversión</t>
  </si>
  <si>
    <t>años       y</t>
  </si>
  <si>
    <t>TIR</t>
  </si>
  <si>
    <t>SEGUNDA ESTRUCTURA FINANCIERA</t>
  </si>
  <si>
    <t>a) Inversión y calendario de activo fijo: incrementos</t>
  </si>
  <si>
    <t>Cargos diferidos:</t>
  </si>
  <si>
    <t>Totales de activo fijo, sin IVA</t>
  </si>
  <si>
    <t xml:space="preserve">IVA   </t>
  </si>
  <si>
    <t>Totales de activo fijo, con IVA</t>
  </si>
  <si>
    <t>b) Inversión y calendario de activo de trabajo: incrementos</t>
  </si>
  <si>
    <t>Disponibilidad mínima</t>
  </si>
  <si>
    <t>Crédito por ventas (valor contable)</t>
  </si>
  <si>
    <t>Bienes de cambio (valor contable)</t>
  </si>
  <si>
    <t>Totales activo de trabajo, sin IVA</t>
  </si>
  <si>
    <t>Amortizaciones en inventarios</t>
  </si>
  <si>
    <t>Amortizaciones en crédito</t>
  </si>
  <si>
    <t>Utilidades en crédito</t>
  </si>
  <si>
    <t>Inversión activo de trabajo, s/IVA</t>
  </si>
  <si>
    <t>IVA</t>
  </si>
  <si>
    <t>Totales activo de trabajo (v. contable), c/IVA</t>
  </si>
  <si>
    <t>Inversión activo de trabajo, con IVA</t>
  </si>
  <si>
    <t>c) Inversión y calendario totales: incrementos</t>
  </si>
  <si>
    <t>Activo fijo, con IVA</t>
  </si>
  <si>
    <t>Inversión activo de trabajo, c/IVA</t>
  </si>
  <si>
    <t>Inversiones Totales, con IVA</t>
  </si>
  <si>
    <t>d) Financiación global (segunda y definitiva):</t>
  </si>
  <si>
    <t>Porcentaje</t>
  </si>
  <si>
    <t>Crédito renovable</t>
  </si>
  <si>
    <t>Crédito no renovable</t>
  </si>
  <si>
    <t>Capital propio</t>
  </si>
  <si>
    <t>PUNTO DE EQUILIBRIO ECONOMICO FINANCIERO</t>
  </si>
  <si>
    <t>Gasto Financiero</t>
  </si>
  <si>
    <t>Costos variables Totales</t>
  </si>
  <si>
    <t>Costos contantes Totales</t>
  </si>
  <si>
    <t>Ventas Anuales =</t>
  </si>
  <si>
    <t>PRIMERA ESTRUCTURA FINANCIERA</t>
  </si>
  <si>
    <t>Total Inversión</t>
  </si>
  <si>
    <t>Créditos</t>
  </si>
  <si>
    <t>Capital Propio</t>
  </si>
  <si>
    <t>monto</t>
  </si>
  <si>
    <t>%</t>
  </si>
  <si>
    <t xml:space="preserve">Activo Fijo </t>
  </si>
  <si>
    <t>Comisiones y gastos bancarios:</t>
  </si>
  <si>
    <t>A. Fijo</t>
  </si>
  <si>
    <t xml:space="preserve">Activo de Trabajo </t>
  </si>
  <si>
    <t xml:space="preserve">IVA </t>
  </si>
  <si>
    <t>Interreses y gastos bancarios preoperativos</t>
  </si>
  <si>
    <t>CUADRO RESUMEN DE CREDITOS</t>
  </si>
  <si>
    <t>día/mes/año</t>
  </si>
  <si>
    <t>deuda</t>
  </si>
  <si>
    <t>amortización</t>
  </si>
  <si>
    <t>interés</t>
  </si>
  <si>
    <t xml:space="preserve">deuda </t>
  </si>
  <si>
    <t>gasto</t>
  </si>
  <si>
    <t>Crédito No Renovable</t>
  </si>
  <si>
    <t>Cuota Semestral</t>
  </si>
  <si>
    <t>semestral</t>
  </si>
  <si>
    <t>prom. anual</t>
  </si>
  <si>
    <t>kd</t>
  </si>
  <si>
    <t>bancario</t>
  </si>
  <si>
    <t>Activo FIjo</t>
  </si>
  <si>
    <t>gastos preoperativos:</t>
  </si>
  <si>
    <t>Crédito Renovable</t>
  </si>
  <si>
    <t>Activo de Trabajo</t>
  </si>
  <si>
    <t>Totales:</t>
  </si>
  <si>
    <t>CUADRO DE RESULTADOS PROFORMA</t>
  </si>
  <si>
    <t>Ventas netas</t>
  </si>
  <si>
    <t>(-) Costo de producción de lo Vendido</t>
  </si>
  <si>
    <t>Resultado operativo</t>
  </si>
  <si>
    <t>Gastos de Administración</t>
  </si>
  <si>
    <t>Gastos de Comercialización</t>
  </si>
  <si>
    <t>Gastos Financieros</t>
  </si>
  <si>
    <t>RESULTADO (a/Hon. e Imp.)</t>
  </si>
  <si>
    <t>Menos: Honorarios al Direct.</t>
  </si>
  <si>
    <t>Menos: Impuesto a la Ganancia</t>
  </si>
  <si>
    <t>RESULTADO (d/Hon. e Imp.)</t>
  </si>
  <si>
    <t>= BN Inversor</t>
  </si>
  <si>
    <t>Am Int. y g op.</t>
  </si>
  <si>
    <t>Intereses Créd NO Renov</t>
  </si>
  <si>
    <t>Intereses Créd Renov</t>
  </si>
  <si>
    <t>TOTAL GASTO FINANCIERO</t>
  </si>
  <si>
    <t>a) IVA pagado en el Costo Total de lo Vendido:</t>
  </si>
  <si>
    <t xml:space="preserve">   Total pagado en el Area de Producción</t>
  </si>
  <si>
    <t xml:space="preserve">  Total pagado en el Area Administrativa</t>
  </si>
  <si>
    <t xml:space="preserve">  Total pagado en el Area Comercial </t>
  </si>
  <si>
    <t xml:space="preserve">  Total pagado por Financiación</t>
  </si>
  <si>
    <t xml:space="preserve">  IVA abonado en Costo Total de lo Vendido:</t>
  </si>
  <si>
    <t>b) IVA diferencia</t>
  </si>
  <si>
    <t>c) Crédito Fiscal Anterior (incrementado)</t>
  </si>
  <si>
    <t>d) Crédito Fiscal del Año (incrementado)</t>
  </si>
  <si>
    <t>e) Crédito Fiscal Final Año</t>
  </si>
  <si>
    <t>f) Recupero Credito Fiscal</t>
  </si>
  <si>
    <t>CUADRO DE FUENTES Y USOS</t>
  </si>
  <si>
    <t>FUENTES: Totales</t>
  </si>
  <si>
    <t>Saldo ejercicio anterior</t>
  </si>
  <si>
    <t>Aporte de capital propio</t>
  </si>
  <si>
    <t xml:space="preserve">Créditos renovables </t>
  </si>
  <si>
    <t xml:space="preserve">Créditos no renovables </t>
  </si>
  <si>
    <t xml:space="preserve">Ventas del ejercicio </t>
  </si>
  <si>
    <t>Recupero Crédito Fiscal</t>
  </si>
  <si>
    <t>Otros ingresos</t>
  </si>
  <si>
    <t>USOS: Totales</t>
  </si>
  <si>
    <t>Costo de lo Vendido</t>
  </si>
  <si>
    <t>Impuesto a la Ganancia</t>
  </si>
  <si>
    <t>Cancelación de deudas</t>
  </si>
  <si>
    <t xml:space="preserve">Honorarios del Directorio </t>
  </si>
  <si>
    <t>Dividendos en efectivo</t>
  </si>
  <si>
    <t xml:space="preserve">IVA inversión </t>
  </si>
  <si>
    <t>Otros egresos</t>
  </si>
  <si>
    <t>FUENTES - USOS</t>
  </si>
  <si>
    <t xml:space="preserve">Más: Amortizaciones del ejercicio </t>
  </si>
  <si>
    <t>Saldo al ejercicio siguiente (acumulado)</t>
  </si>
  <si>
    <t>Saldo Propio del Ejercicio</t>
  </si>
  <si>
    <t xml:space="preserve">Valor Residual AF = </t>
  </si>
  <si>
    <t>BN Inversor =</t>
  </si>
  <si>
    <t>Mal BN inversor implícito</t>
  </si>
  <si>
    <t>BALANCES PROFORMAS</t>
  </si>
  <si>
    <t>ACTIVO CORRIENTE: Total</t>
  </si>
  <si>
    <t xml:space="preserve">Caja y Bancos: </t>
  </si>
  <si>
    <t xml:space="preserve">   - mínimo </t>
  </si>
  <si>
    <t xml:space="preserve">   - saldo acumulado de Fuentes y Usos </t>
  </si>
  <si>
    <t>Crédito por ventas</t>
  </si>
  <si>
    <t>Crédito Fiscal</t>
  </si>
  <si>
    <t>ACTIVO NO CORRIENTE: Total</t>
  </si>
  <si>
    <t>Cargos Diferidos:</t>
  </si>
  <si>
    <t xml:space="preserve">   - valor inicial </t>
  </si>
  <si>
    <t xml:space="preserve">     más inversiones del ejercicio </t>
  </si>
  <si>
    <t xml:space="preserve">     menos amortizaciones del ejerc.</t>
  </si>
  <si>
    <t xml:space="preserve">   - valor final del ejercicio</t>
  </si>
  <si>
    <t xml:space="preserve">     más inversiones del ejercicio</t>
  </si>
  <si>
    <t xml:space="preserve">     menos amortizaciones del ejerc</t>
  </si>
  <si>
    <t xml:space="preserve">= Valor Residual AF </t>
  </si>
  <si>
    <t xml:space="preserve">Crédito Fiscal </t>
  </si>
  <si>
    <t>ACTIVO TOTAL:</t>
  </si>
  <si>
    <t>PASIVO CORRIENTE: Total</t>
  </si>
  <si>
    <t>Deudas comerciales</t>
  </si>
  <si>
    <t>Deudas bancarias</t>
  </si>
  <si>
    <t>PASIVO NO CORRIENTE: Total</t>
  </si>
  <si>
    <t>PASIVO TOTAL:</t>
  </si>
  <si>
    <t>PATRIMONIO NETO:</t>
  </si>
  <si>
    <t>Capital societario</t>
  </si>
  <si>
    <t>Utilidad del ejercicio</t>
  </si>
  <si>
    <t>Utilidad acumulada</t>
  </si>
  <si>
    <t>PASIVO + PATRIMONIO NETO</t>
  </si>
  <si>
    <t>Formulación del Proyecto a Nivel Financiero</t>
  </si>
  <si>
    <t>Utilidad  Antes  HD e IG</t>
  </si>
  <si>
    <t>Intereses Pagados</t>
  </si>
  <si>
    <t xml:space="preserve">años y </t>
  </si>
  <si>
    <t>BN mod = Ut a/ IHG y HD + Int pag - (HD + IG)</t>
  </si>
  <si>
    <t>TIR modificada</t>
  </si>
  <si>
    <t>Formulación para el Inversor</t>
  </si>
  <si>
    <t>Aporte de Capital</t>
  </si>
  <si>
    <t>Saldo propio de Fuentes y Usos</t>
  </si>
  <si>
    <t>para el inversor</t>
  </si>
  <si>
    <t>TOR</t>
  </si>
  <si>
    <t>VR aporte K propio</t>
  </si>
  <si>
    <t>= VR AF + AL -C Renov</t>
  </si>
  <si>
    <t>VAN mod = 0</t>
  </si>
  <si>
    <t>Info inicial</t>
  </si>
  <si>
    <t>Wacc</t>
  </si>
  <si>
    <t xml:space="preserve">= Kd </t>
  </si>
  <si>
    <t>Deuda (0 y 1)</t>
  </si>
  <si>
    <t xml:space="preserve"> +</t>
  </si>
  <si>
    <t>Kcapm</t>
  </si>
  <si>
    <t>Capital</t>
  </si>
  <si>
    <t>Inv. (0 y 1)</t>
  </si>
  <si>
    <t xml:space="preserve">Kd = </t>
  </si>
  <si>
    <t>Año 1 (Mayor riesgo)</t>
  </si>
  <si>
    <t xml:space="preserve">Kc = </t>
  </si>
  <si>
    <t>WACC =</t>
  </si>
  <si>
    <t xml:space="preserve"> BN Inversor =</t>
  </si>
  <si>
    <t xml:space="preserve">BN Inversor </t>
  </si>
  <si>
    <t>= BN mod - Int Pagados</t>
  </si>
  <si>
    <t>Apalancamiento =</t>
  </si>
  <si>
    <t xml:space="preserve">= BN inv </t>
  </si>
  <si>
    <t>VR AF =</t>
  </si>
  <si>
    <t xml:space="preserve">AL = </t>
  </si>
  <si>
    <t>C Renov =</t>
  </si>
  <si>
    <t>Aporte de K (10) =</t>
  </si>
  <si>
    <t>AT (0 y 1) =</t>
  </si>
  <si>
    <t>PT (0 y 1) =</t>
  </si>
  <si>
    <t>PN (0 y 1) =</t>
  </si>
  <si>
    <t>Unidades vendidas (un)</t>
  </si>
  <si>
    <t>Precio unitario ($)</t>
  </si>
  <si>
    <t>&lt; 1  --&gt; No es conveniente financiarse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</si>
</sst>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d/m"/>
    <numFmt numFmtId="166" formatCode="[$ $]#,##0"/>
    <numFmt numFmtId="167" formatCode="_-&quot;$&quot;* #,##0.00_-;\-&quot;$&quot;* #,##0.00_-;_-&quot;$&quot;* &quot;-&quot;??_-;_-@"/>
    <numFmt numFmtId="168" formatCode="[$ $]#,##0.00"/>
    <numFmt numFmtId="169" formatCode="&quot;$&quot;\ #,##0"/>
    <numFmt numFmtId="170" formatCode="0.0"/>
    <numFmt numFmtId="171" formatCode="0.000"/>
    <numFmt numFmtId="172" formatCode="d/m/yy"/>
    <numFmt numFmtId="173" formatCode="dd/mm/yy"/>
    <numFmt numFmtId="174" formatCode="&quot;$&quot;\ #,##0.00"/>
  </numFmts>
  <fonts count="43">
    <font>
      <sz val="10"/>
      <color rgb="FF000000"/>
      <name val="Arial"/>
      <scheme val="minor"/>
    </font>
    <font>
      <sz val="11"/>
      <color rgb="FF000000"/>
      <name val="Arial"/>
    </font>
    <font>
      <sz val="1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rgb="FF000000"/>
      <name val="Calibri"/>
    </font>
    <font>
      <b/>
      <sz val="10"/>
      <color theme="1"/>
      <name val="Arial"/>
    </font>
    <font>
      <sz val="10"/>
      <color rgb="FF000000"/>
      <name val="Arial"/>
    </font>
    <font>
      <sz val="12"/>
      <color rgb="FF7F7F7F"/>
      <name val="Arial"/>
    </font>
    <font>
      <u/>
      <sz val="10"/>
      <color theme="10"/>
      <name val="Arial"/>
    </font>
    <font>
      <sz val="10"/>
      <color rgb="FFFF0000"/>
      <name val="Arial"/>
    </font>
    <font>
      <b/>
      <i/>
      <sz val="10"/>
      <color rgb="FF000000"/>
      <name val="Arial"/>
    </font>
    <font>
      <sz val="10"/>
      <color rgb="FF3C78D8"/>
      <name val="Arial"/>
    </font>
    <font>
      <b/>
      <sz val="11"/>
      <color rgb="FFFF0000"/>
      <name val="Calibri"/>
    </font>
    <font>
      <b/>
      <i/>
      <sz val="10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sz val="11"/>
      <color rgb="FF1F1F1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3"/>
      <color rgb="FFFF0000"/>
      <name val="Arial"/>
    </font>
    <font>
      <sz val="11"/>
      <color theme="1"/>
      <name val="Calibri"/>
    </font>
    <font>
      <b/>
      <sz val="11"/>
      <color theme="1"/>
      <name val="Calibri"/>
    </font>
    <font>
      <strike/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FF0000"/>
      <name val="Arial"/>
    </font>
    <font>
      <b/>
      <sz val="12"/>
      <color theme="1"/>
      <name val="Arial"/>
    </font>
    <font>
      <sz val="10"/>
      <color theme="1"/>
      <name val="Aptos Narrow"/>
    </font>
    <font>
      <sz val="11"/>
      <color theme="1"/>
      <name val="Aptos Narrow"/>
    </font>
    <font>
      <sz val="11"/>
      <color rgb="FF222222"/>
      <name val="Calibri"/>
    </font>
    <font>
      <sz val="12"/>
      <color theme="1"/>
      <name val="Noto Sans Symbols"/>
    </font>
    <font>
      <b/>
      <sz val="12"/>
      <color rgb="FF000000"/>
      <name val="Arial"/>
    </font>
    <font>
      <b/>
      <sz val="10"/>
      <color theme="1"/>
      <name val="Arial"/>
      <scheme val="minor"/>
    </font>
    <font>
      <b/>
      <sz val="12"/>
      <color rgb="FFFF0000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BE5F1"/>
        <bgColor rgb="FFDBE5F1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rgb="FFB7E1CD"/>
        <bgColor rgb="FFB7E1CD"/>
      </patternFill>
    </fill>
    <fill>
      <patternFill patternType="solid">
        <fgColor rgb="FF9CC2E5"/>
        <bgColor rgb="FF9CC2E5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BDD7EE"/>
        <bgColor rgb="FFBDD7EE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CE5CD"/>
        <bgColor rgb="FFFCE5CD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rgb="FF92D050"/>
      </patternFill>
    </fill>
  </fills>
  <borders count="1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6">
    <xf numFmtId="0" fontId="0" fillId="0" borderId="0" xfId="0"/>
    <xf numFmtId="0" fontId="4" fillId="3" borderId="7" xfId="0" applyFont="1" applyFill="1" applyBorder="1"/>
    <xf numFmtId="0" fontId="5" fillId="2" borderId="22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/>
    <xf numFmtId="0" fontId="4" fillId="0" borderId="0" xfId="0" applyFont="1"/>
    <xf numFmtId="0" fontId="6" fillId="6" borderId="36" xfId="0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6" xfId="0" applyFont="1" applyBorder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0" fillId="0" borderId="0" xfId="0" applyFont="1"/>
    <xf numFmtId="0" fontId="6" fillId="5" borderId="36" xfId="0" applyFont="1" applyFill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35" xfId="0" applyFont="1" applyBorder="1"/>
    <xf numFmtId="0" fontId="4" fillId="0" borderId="4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49" xfId="0" applyFont="1" applyBorder="1"/>
    <xf numFmtId="0" fontId="4" fillId="0" borderId="49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4" fillId="0" borderId="36" xfId="0" applyFont="1" applyBorder="1" applyAlignment="1">
      <alignment horizontal="right"/>
    </xf>
    <xf numFmtId="0" fontId="6" fillId="0" borderId="36" xfId="0" applyFont="1" applyBorder="1" applyAlignment="1">
      <alignment horizontal="right"/>
    </xf>
    <xf numFmtId="0" fontId="6" fillId="0" borderId="36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5" fillId="7" borderId="36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5" borderId="55" xfId="0" applyFont="1" applyFill="1" applyBorder="1" applyAlignment="1">
      <alignment horizontal="center" vertical="center" wrapText="1"/>
    </xf>
    <xf numFmtId="0" fontId="4" fillId="0" borderId="44" xfId="0" applyFont="1" applyBorder="1"/>
    <xf numFmtId="3" fontId="4" fillId="0" borderId="44" xfId="0" applyNumberFormat="1" applyFont="1" applyBorder="1" applyAlignment="1">
      <alignment horizontal="center"/>
    </xf>
    <xf numFmtId="3" fontId="4" fillId="0" borderId="36" xfId="0" applyNumberFormat="1" applyFont="1" applyBorder="1" applyAlignment="1">
      <alignment horizontal="center"/>
    </xf>
    <xf numFmtId="2" fontId="11" fillId="0" borderId="36" xfId="0" applyNumberFormat="1" applyFont="1" applyBorder="1" applyAlignment="1">
      <alignment horizontal="center"/>
    </xf>
    <xf numFmtId="0" fontId="1" fillId="0" borderId="0" xfId="0" applyFont="1"/>
    <xf numFmtId="0" fontId="12" fillId="0" borderId="0" xfId="0" applyFont="1"/>
    <xf numFmtId="0" fontId="5" fillId="0" borderId="44" xfId="0" applyFont="1" applyBorder="1" applyAlignment="1">
      <alignment horizontal="center"/>
    </xf>
    <xf numFmtId="3" fontId="4" fillId="0" borderId="49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9" fontId="3" fillId="2" borderId="57" xfId="0" applyNumberFormat="1" applyFont="1" applyFill="1" applyBorder="1" applyAlignment="1">
      <alignment horizontal="center"/>
    </xf>
    <xf numFmtId="9" fontId="13" fillId="2" borderId="57" xfId="0" applyNumberFormat="1" applyFont="1" applyFill="1" applyBorder="1" applyAlignment="1">
      <alignment horizontal="center"/>
    </xf>
    <xf numFmtId="0" fontId="13" fillId="0" borderId="0" xfId="0" applyFont="1"/>
    <xf numFmtId="0" fontId="6" fillId="0" borderId="0" xfId="0" applyFont="1"/>
    <xf numFmtId="165" fontId="4" fillId="0" borderId="0" xfId="0" applyNumberFormat="1" applyFont="1"/>
    <xf numFmtId="0" fontId="5" fillId="7" borderId="36" xfId="0" applyFont="1" applyFill="1" applyBorder="1" applyAlignment="1">
      <alignment horizontal="center" vertical="center"/>
    </xf>
    <xf numFmtId="0" fontId="5" fillId="7" borderId="57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10" fontId="3" fillId="0" borderId="36" xfId="0" applyNumberFormat="1" applyFont="1" applyBorder="1" applyAlignment="1">
      <alignment horizontal="center"/>
    </xf>
    <xf numFmtId="1" fontId="4" fillId="3" borderId="36" xfId="0" applyNumberFormat="1" applyFont="1" applyFill="1" applyBorder="1" applyAlignment="1">
      <alignment horizontal="center"/>
    </xf>
    <xf numFmtId="2" fontId="3" fillId="0" borderId="36" xfId="0" applyNumberFormat="1" applyFont="1" applyBorder="1" applyAlignment="1">
      <alignment horizontal="center"/>
    </xf>
    <xf numFmtId="1" fontId="4" fillId="3" borderId="58" xfId="0" applyNumberFormat="1" applyFont="1" applyFill="1" applyBorder="1" applyAlignment="1">
      <alignment horizontal="center"/>
    </xf>
    <xf numFmtId="2" fontId="3" fillId="0" borderId="49" xfId="0" applyNumberFormat="1" applyFont="1" applyBorder="1" applyAlignment="1">
      <alignment horizontal="center"/>
    </xf>
    <xf numFmtId="0" fontId="14" fillId="0" borderId="51" xfId="0" applyFont="1" applyBorder="1" applyAlignment="1">
      <alignment horizontal="right"/>
    </xf>
    <xf numFmtId="2" fontId="6" fillId="0" borderId="59" xfId="0" applyNumberFormat="1" applyFont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15" fillId="7" borderId="36" xfId="0" applyFont="1" applyFill="1" applyBorder="1" applyAlignment="1">
      <alignment horizontal="center"/>
    </xf>
    <xf numFmtId="0" fontId="6" fillId="7" borderId="36" xfId="0" applyFont="1" applyFill="1" applyBorder="1" applyAlignment="1">
      <alignment horizontal="center"/>
    </xf>
    <xf numFmtId="1" fontId="4" fillId="8" borderId="55" xfId="0" applyNumberFormat="1" applyFont="1" applyFill="1" applyBorder="1" applyAlignment="1">
      <alignment horizontal="center"/>
    </xf>
    <xf numFmtId="0" fontId="11" fillId="3" borderId="36" xfId="0" applyFont="1" applyFill="1" applyBorder="1"/>
    <xf numFmtId="1" fontId="4" fillId="0" borderId="36" xfId="0" applyNumberFormat="1" applyFont="1" applyBorder="1" applyAlignment="1">
      <alignment horizontal="center"/>
    </xf>
    <xf numFmtId="0" fontId="15" fillId="5" borderId="36" xfId="0" applyFont="1" applyFill="1" applyBorder="1" applyAlignment="1">
      <alignment horizontal="center"/>
    </xf>
    <xf numFmtId="0" fontId="15" fillId="5" borderId="36" xfId="0" applyFont="1" applyFill="1" applyBorder="1"/>
    <xf numFmtId="0" fontId="6" fillId="0" borderId="33" xfId="0" applyFont="1" applyBorder="1" applyAlignment="1">
      <alignment horizontal="right"/>
    </xf>
    <xf numFmtId="1" fontId="6" fillId="0" borderId="6" xfId="0" applyNumberFormat="1" applyFont="1" applyBorder="1" applyAlignment="1">
      <alignment horizontal="center"/>
    </xf>
    <xf numFmtId="0" fontId="6" fillId="0" borderId="24" xfId="0" applyFont="1" applyBorder="1" applyAlignment="1">
      <alignment horizontal="right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8" xfId="0" applyFont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2" fontId="6" fillId="0" borderId="25" xfId="0" applyNumberFormat="1" applyFont="1" applyBorder="1" applyAlignment="1">
      <alignment horizontal="center"/>
    </xf>
    <xf numFmtId="0" fontId="6" fillId="0" borderId="25" xfId="0" applyFont="1" applyBorder="1"/>
    <xf numFmtId="0" fontId="6" fillId="0" borderId="6" xfId="0" applyFont="1" applyBorder="1"/>
    <xf numFmtId="2" fontId="6" fillId="0" borderId="5" xfId="0" applyNumberFormat="1" applyFont="1" applyBorder="1" applyAlignment="1">
      <alignment horizontal="center"/>
    </xf>
    <xf numFmtId="2" fontId="6" fillId="0" borderId="28" xfId="0" applyNumberFormat="1" applyFont="1" applyBorder="1" applyAlignment="1">
      <alignment horizontal="center"/>
    </xf>
    <xf numFmtId="0" fontId="17" fillId="0" borderId="0" xfId="0" applyFont="1"/>
    <xf numFmtId="0" fontId="6" fillId="0" borderId="34" xfId="0" applyFont="1" applyBorder="1" applyAlignment="1">
      <alignment horizontal="right"/>
    </xf>
    <xf numFmtId="1" fontId="6" fillId="0" borderId="35" xfId="0" applyNumberFormat="1" applyFont="1" applyBorder="1" applyAlignment="1">
      <alignment horizontal="center"/>
    </xf>
    <xf numFmtId="3" fontId="6" fillId="0" borderId="2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" fontId="6" fillId="0" borderId="28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3" fontId="6" fillId="0" borderId="28" xfId="0" applyNumberFormat="1" applyFont="1" applyBorder="1" applyAlignment="1">
      <alignment horizontal="center"/>
    </xf>
    <xf numFmtId="0" fontId="7" fillId="3" borderId="7" xfId="0" applyFont="1" applyFill="1" applyBorder="1" applyAlignment="1">
      <alignment horizontal="right"/>
    </xf>
    <xf numFmtId="2" fontId="4" fillId="0" borderId="0" xfId="0" applyNumberFormat="1" applyFont="1"/>
    <xf numFmtId="0" fontId="7" fillId="3" borderId="36" xfId="0" applyFont="1" applyFill="1" applyBorder="1" applyAlignment="1">
      <alignment horizontal="right"/>
    </xf>
    <xf numFmtId="2" fontId="4" fillId="0" borderId="36" xfId="0" applyNumberFormat="1" applyFont="1" applyBorder="1"/>
    <xf numFmtId="2" fontId="4" fillId="0" borderId="36" xfId="0" applyNumberFormat="1" applyFont="1" applyBorder="1" applyAlignment="1">
      <alignment horizontal="center"/>
    </xf>
    <xf numFmtId="0" fontId="6" fillId="0" borderId="36" xfId="0" applyFont="1" applyBorder="1"/>
    <xf numFmtId="4" fontId="4" fillId="0" borderId="36" xfId="0" applyNumberFormat="1" applyFont="1" applyBorder="1" applyAlignment="1">
      <alignment horizontal="center"/>
    </xf>
    <xf numFmtId="0" fontId="18" fillId="3" borderId="7" xfId="0" applyFont="1" applyFill="1" applyBorder="1"/>
    <xf numFmtId="9" fontId="6" fillId="9" borderId="36" xfId="0" applyNumberFormat="1" applyFont="1" applyFill="1" applyBorder="1"/>
    <xf numFmtId="0" fontId="6" fillId="9" borderId="36" xfId="0" applyFont="1" applyFill="1" applyBorder="1" applyAlignment="1">
      <alignment horizontal="center"/>
    </xf>
    <xf numFmtId="10" fontId="6" fillId="9" borderId="36" xfId="0" applyNumberFormat="1" applyFont="1" applyFill="1" applyBorder="1" applyAlignment="1">
      <alignment horizontal="center"/>
    </xf>
    <xf numFmtId="0" fontId="4" fillId="10" borderId="60" xfId="0" applyFont="1" applyFill="1" applyBorder="1"/>
    <xf numFmtId="0" fontId="4" fillId="10" borderId="61" xfId="0" applyFont="1" applyFill="1" applyBorder="1"/>
    <xf numFmtId="0" fontId="4" fillId="10" borderId="57" xfId="0" applyFont="1" applyFill="1" applyBorder="1"/>
    <xf numFmtId="0" fontId="4" fillId="10" borderId="36" xfId="0" applyFont="1" applyFill="1" applyBorder="1"/>
    <xf numFmtId="0" fontId="19" fillId="0" borderId="0" xfId="0" applyFont="1"/>
    <xf numFmtId="10" fontId="4" fillId="10" borderId="58" xfId="0" applyNumberFormat="1" applyFont="1" applyFill="1" applyBorder="1"/>
    <xf numFmtId="0" fontId="20" fillId="0" borderId="0" xfId="0" applyFont="1"/>
    <xf numFmtId="10" fontId="4" fillId="10" borderId="55" xfId="0" applyNumberFormat="1" applyFont="1" applyFill="1" applyBorder="1"/>
    <xf numFmtId="0" fontId="21" fillId="0" borderId="0" xfId="0" applyFont="1"/>
    <xf numFmtId="0" fontId="22" fillId="12" borderId="36" xfId="0" applyFont="1" applyFill="1" applyBorder="1" applyAlignment="1">
      <alignment horizontal="center"/>
    </xf>
    <xf numFmtId="0" fontId="4" fillId="13" borderId="36" xfId="0" applyFont="1" applyFill="1" applyBorder="1" applyAlignment="1">
      <alignment horizontal="center"/>
    </xf>
    <xf numFmtId="0" fontId="4" fillId="0" borderId="24" xfId="0" applyFont="1" applyBorder="1"/>
    <xf numFmtId="0" fontId="4" fillId="0" borderId="33" xfId="0" applyFont="1" applyBorder="1"/>
    <xf numFmtId="0" fontId="4" fillId="0" borderId="6" xfId="0" applyFont="1" applyBorder="1"/>
    <xf numFmtId="166" fontId="4" fillId="0" borderId="28" xfId="0" applyNumberFormat="1" applyFont="1" applyBorder="1"/>
    <xf numFmtId="167" fontId="22" fillId="0" borderId="36" xfId="0" applyNumberFormat="1" applyFont="1" applyBorder="1" applyAlignment="1">
      <alignment horizontal="center"/>
    </xf>
    <xf numFmtId="0" fontId="4" fillId="0" borderId="34" xfId="0" applyFont="1" applyBorder="1"/>
    <xf numFmtId="0" fontId="22" fillId="12" borderId="36" xfId="0" applyFont="1" applyFill="1" applyBorder="1"/>
    <xf numFmtId="166" fontId="22" fillId="0" borderId="36" xfId="0" applyNumberFormat="1" applyFont="1" applyBorder="1" applyAlignment="1">
      <alignment horizontal="right"/>
    </xf>
    <xf numFmtId="166" fontId="4" fillId="0" borderId="0" xfId="0" applyNumberFormat="1" applyFont="1"/>
    <xf numFmtId="0" fontId="22" fillId="0" borderId="36" xfId="0" applyFont="1" applyBorder="1"/>
    <xf numFmtId="9" fontId="22" fillId="0" borderId="36" xfId="0" applyNumberFormat="1" applyFont="1" applyBorder="1" applyAlignment="1">
      <alignment horizontal="right"/>
    </xf>
    <xf numFmtId="10" fontId="3" fillId="0" borderId="36" xfId="0" applyNumberFormat="1" applyFont="1" applyBorder="1" applyAlignment="1">
      <alignment horizontal="right"/>
    </xf>
    <xf numFmtId="10" fontId="22" fillId="0" borderId="36" xfId="0" applyNumberFormat="1" applyFont="1" applyBorder="1" applyAlignment="1">
      <alignment horizontal="right"/>
    </xf>
    <xf numFmtId="0" fontId="22" fillId="15" borderId="36" xfId="0" applyFont="1" applyFill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167" fontId="23" fillId="0" borderId="36" xfId="0" applyNumberFormat="1" applyFont="1" applyBorder="1" applyAlignment="1">
      <alignment horizontal="center"/>
    </xf>
    <xf numFmtId="4" fontId="4" fillId="0" borderId="0" xfId="0" applyNumberFormat="1" applyFont="1"/>
    <xf numFmtId="166" fontId="24" fillId="0" borderId="0" xfId="0" applyNumberFormat="1" applyFont="1"/>
    <xf numFmtId="0" fontId="25" fillId="0" borderId="36" xfId="0" applyFont="1" applyBorder="1"/>
    <xf numFmtId="3" fontId="25" fillId="0" borderId="36" xfId="0" applyNumberFormat="1" applyFont="1" applyBorder="1"/>
    <xf numFmtId="0" fontId="25" fillId="0" borderId="0" xfId="0" applyFont="1"/>
    <xf numFmtId="3" fontId="25" fillId="0" borderId="49" xfId="0" applyNumberFormat="1" applyFont="1" applyBorder="1"/>
    <xf numFmtId="4" fontId="25" fillId="0" borderId="5" xfId="0" applyNumberFormat="1" applyFont="1" applyBorder="1"/>
    <xf numFmtId="0" fontId="25" fillId="0" borderId="0" xfId="0" applyFont="1" applyAlignment="1">
      <alignment horizontal="left"/>
    </xf>
    <xf numFmtId="0" fontId="6" fillId="12" borderId="36" xfId="0" applyFont="1" applyFill="1" applyBorder="1" applyAlignment="1">
      <alignment horizontal="center"/>
    </xf>
    <xf numFmtId="0" fontId="25" fillId="0" borderId="36" xfId="0" applyFont="1" applyBorder="1" applyAlignment="1">
      <alignment horizontal="left"/>
    </xf>
    <xf numFmtId="168" fontId="1" fillId="0" borderId="36" xfId="0" applyNumberFormat="1" applyFont="1" applyBorder="1"/>
    <xf numFmtId="0" fontId="25" fillId="12" borderId="36" xfId="0" applyFont="1" applyFill="1" applyBorder="1" applyAlignment="1">
      <alignment horizontal="center"/>
    </xf>
    <xf numFmtId="167" fontId="25" fillId="0" borderId="36" xfId="0" applyNumberFormat="1" applyFont="1" applyBorder="1"/>
    <xf numFmtId="9" fontId="25" fillId="0" borderId="36" xfId="0" applyNumberFormat="1" applyFont="1" applyBorder="1" applyAlignment="1">
      <alignment horizontal="center"/>
    </xf>
    <xf numFmtId="167" fontId="25" fillId="0" borderId="36" xfId="0" applyNumberFormat="1" applyFont="1" applyBorder="1" applyAlignment="1">
      <alignment horizontal="right"/>
    </xf>
    <xf numFmtId="10" fontId="25" fillId="0" borderId="36" xfId="0" applyNumberFormat="1" applyFont="1" applyBorder="1" applyAlignment="1">
      <alignment horizontal="center"/>
    </xf>
    <xf numFmtId="167" fontId="25" fillId="0" borderId="49" xfId="0" applyNumberFormat="1" applyFont="1" applyBorder="1" applyAlignment="1">
      <alignment horizontal="right"/>
    </xf>
    <xf numFmtId="0" fontId="26" fillId="0" borderId="63" xfId="0" applyFont="1" applyBorder="1"/>
    <xf numFmtId="0" fontId="26" fillId="0" borderId="0" xfId="0" applyFont="1"/>
    <xf numFmtId="167" fontId="26" fillId="0" borderId="63" xfId="0" applyNumberFormat="1" applyFont="1" applyBorder="1" applyAlignment="1">
      <alignment horizontal="right"/>
    </xf>
    <xf numFmtId="0" fontId="26" fillId="12" borderId="36" xfId="0" applyFont="1" applyFill="1" applyBorder="1" applyAlignment="1">
      <alignment horizontal="left"/>
    </xf>
    <xf numFmtId="0" fontId="25" fillId="0" borderId="36" xfId="0" applyFont="1" applyBorder="1" applyAlignment="1">
      <alignment horizontal="center"/>
    </xf>
    <xf numFmtId="9" fontId="25" fillId="0" borderId="49" xfId="0" applyNumberFormat="1" applyFont="1" applyBorder="1" applyAlignment="1">
      <alignment horizontal="center"/>
    </xf>
    <xf numFmtId="0" fontId="25" fillId="0" borderId="33" xfId="0" applyFont="1" applyBorder="1" applyAlignment="1">
      <alignment horizontal="left"/>
    </xf>
    <xf numFmtId="167" fontId="25" fillId="0" borderId="5" xfId="0" applyNumberFormat="1" applyFont="1" applyBorder="1" applyAlignment="1">
      <alignment horizontal="right"/>
    </xf>
    <xf numFmtId="167" fontId="25" fillId="0" borderId="6" xfId="0" applyNumberFormat="1" applyFont="1" applyBorder="1" applyAlignment="1">
      <alignment horizontal="right"/>
    </xf>
    <xf numFmtId="167" fontId="26" fillId="0" borderId="63" xfId="0" applyNumberFormat="1" applyFont="1" applyBorder="1" applyAlignment="1">
      <alignment horizontal="center"/>
    </xf>
    <xf numFmtId="10" fontId="10" fillId="0" borderId="0" xfId="0" applyNumberFormat="1" applyFont="1"/>
    <xf numFmtId="0" fontId="27" fillId="0" borderId="0" xfId="0" applyFont="1"/>
    <xf numFmtId="0" fontId="25" fillId="0" borderId="64" xfId="0" applyFont="1" applyBorder="1"/>
    <xf numFmtId="10" fontId="7" fillId="0" borderId="64" xfId="0" applyNumberFormat="1" applyFont="1" applyBorder="1"/>
    <xf numFmtId="0" fontId="26" fillId="0" borderId="65" xfId="0" applyFont="1" applyBorder="1" applyAlignment="1">
      <alignment horizontal="center"/>
    </xf>
    <xf numFmtId="0" fontId="26" fillId="12" borderId="22" xfId="0" applyFont="1" applyFill="1" applyBorder="1" applyAlignment="1">
      <alignment horizontal="center"/>
    </xf>
    <xf numFmtId="167" fontId="26" fillId="12" borderId="55" xfId="0" applyNumberFormat="1" applyFont="1" applyFill="1" applyBorder="1" applyAlignment="1">
      <alignment horizontal="center"/>
    </xf>
    <xf numFmtId="0" fontId="26" fillId="12" borderId="55" xfId="0" applyFont="1" applyFill="1" applyBorder="1" applyAlignment="1">
      <alignment horizontal="center"/>
    </xf>
    <xf numFmtId="0" fontId="25" fillId="0" borderId="65" xfId="0" applyFont="1" applyBorder="1"/>
    <xf numFmtId="0" fontId="25" fillId="0" borderId="28" xfId="0" applyFont="1" applyBorder="1"/>
    <xf numFmtId="167" fontId="25" fillId="0" borderId="36" xfId="0" applyNumberFormat="1" applyFont="1" applyBorder="1" applyAlignment="1">
      <alignment horizontal="center"/>
    </xf>
    <xf numFmtId="0" fontId="26" fillId="0" borderId="28" xfId="0" applyFont="1" applyBorder="1"/>
    <xf numFmtId="167" fontId="26" fillId="0" borderId="36" xfId="0" applyNumberFormat="1" applyFont="1" applyBorder="1" applyAlignment="1">
      <alignment horizontal="right"/>
    </xf>
    <xf numFmtId="167" fontId="26" fillId="0" borderId="36" xfId="0" applyNumberFormat="1" applyFont="1" applyBorder="1" applyAlignment="1">
      <alignment horizontal="center"/>
    </xf>
    <xf numFmtId="0" fontId="1" fillId="12" borderId="7" xfId="0" applyFont="1" applyFill="1" applyBorder="1"/>
    <xf numFmtId="10" fontId="1" fillId="0" borderId="36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right"/>
    </xf>
    <xf numFmtId="0" fontId="1" fillId="12" borderId="36" xfId="0" applyFont="1" applyFill="1" applyBorder="1"/>
    <xf numFmtId="9" fontId="1" fillId="0" borderId="35" xfId="0" applyNumberFormat="1" applyFont="1" applyBorder="1" applyAlignment="1">
      <alignment horizontal="center"/>
    </xf>
    <xf numFmtId="0" fontId="1" fillId="13" borderId="36" xfId="0" applyFont="1" applyFill="1" applyBorder="1"/>
    <xf numFmtId="0" fontId="1" fillId="13" borderId="36" xfId="0" applyFont="1" applyFill="1" applyBorder="1" applyAlignment="1">
      <alignment horizontal="right"/>
    </xf>
    <xf numFmtId="0" fontId="4" fillId="13" borderId="36" xfId="0" applyFont="1" applyFill="1" applyBorder="1"/>
    <xf numFmtId="10" fontId="4" fillId="0" borderId="36" xfId="0" applyNumberFormat="1" applyFont="1" applyBorder="1" applyAlignment="1">
      <alignment horizontal="center"/>
    </xf>
    <xf numFmtId="0" fontId="1" fillId="12" borderId="55" xfId="0" applyFont="1" applyFill="1" applyBorder="1"/>
    <xf numFmtId="44" fontId="1" fillId="0" borderId="36" xfId="0" applyNumberFormat="1" applyFont="1" applyBorder="1" applyAlignment="1">
      <alignment horizontal="right"/>
    </xf>
    <xf numFmtId="0" fontId="1" fillId="0" borderId="44" xfId="0" applyFont="1" applyBorder="1"/>
    <xf numFmtId="0" fontId="1" fillId="12" borderId="57" xfId="0" applyFont="1" applyFill="1" applyBorder="1" applyAlignment="1">
      <alignment horizontal="center"/>
    </xf>
    <xf numFmtId="168" fontId="1" fillId="0" borderId="35" xfId="0" applyNumberFormat="1" applyFont="1" applyBorder="1" applyAlignment="1">
      <alignment horizontal="right"/>
    </xf>
    <xf numFmtId="0" fontId="4" fillId="16" borderId="7" xfId="0" applyFont="1" applyFill="1" applyBorder="1"/>
    <xf numFmtId="0" fontId="6" fillId="17" borderId="36" xfId="0" applyFont="1" applyFill="1" applyBorder="1"/>
    <xf numFmtId="0" fontId="6" fillId="17" borderId="36" xfId="0" applyFont="1" applyFill="1" applyBorder="1" applyAlignment="1">
      <alignment horizontal="center"/>
    </xf>
    <xf numFmtId="0" fontId="28" fillId="5" borderId="66" xfId="0" applyFont="1" applyFill="1" applyBorder="1"/>
    <xf numFmtId="0" fontId="7" fillId="0" borderId="36" xfId="0" applyFont="1" applyBorder="1"/>
    <xf numFmtId="0" fontId="28" fillId="5" borderId="70" xfId="0" applyFont="1" applyFill="1" applyBorder="1"/>
    <xf numFmtId="0" fontId="6" fillId="5" borderId="71" xfId="0" applyFont="1" applyFill="1" applyBorder="1" applyAlignment="1">
      <alignment horizontal="center"/>
    </xf>
    <xf numFmtId="0" fontId="6" fillId="5" borderId="72" xfId="0" applyFont="1" applyFill="1" applyBorder="1" applyAlignment="1">
      <alignment horizontal="center"/>
    </xf>
    <xf numFmtId="3" fontId="4" fillId="0" borderId="0" xfId="0" applyNumberFormat="1" applyFont="1"/>
    <xf numFmtId="0" fontId="4" fillId="0" borderId="73" xfId="0" applyFont="1" applyBorder="1"/>
    <xf numFmtId="0" fontId="4" fillId="0" borderId="74" xfId="0" applyFont="1" applyBorder="1"/>
    <xf numFmtId="0" fontId="6" fillId="0" borderId="75" xfId="0" applyFont="1" applyBorder="1"/>
    <xf numFmtId="0" fontId="4" fillId="0" borderId="76" xfId="0" applyFont="1" applyBorder="1"/>
    <xf numFmtId="0" fontId="4" fillId="0" borderId="75" xfId="0" applyFont="1" applyBorder="1"/>
    <xf numFmtId="44" fontId="4" fillId="0" borderId="76" xfId="0" applyNumberFormat="1" applyFont="1" applyBorder="1"/>
    <xf numFmtId="44" fontId="4" fillId="3" borderId="76" xfId="0" applyNumberFormat="1" applyFont="1" applyFill="1" applyBorder="1"/>
    <xf numFmtId="0" fontId="4" fillId="0" borderId="36" xfId="0" applyFont="1" applyBorder="1" applyAlignment="1">
      <alignment horizontal="left"/>
    </xf>
    <xf numFmtId="166" fontId="4" fillId="0" borderId="36" xfId="0" applyNumberFormat="1" applyFont="1" applyBorder="1" applyAlignment="1">
      <alignment horizontal="center"/>
    </xf>
    <xf numFmtId="0" fontId="7" fillId="0" borderId="36" xfId="0" applyFont="1" applyBorder="1" applyAlignment="1">
      <alignment horizontal="left"/>
    </xf>
    <xf numFmtId="0" fontId="4" fillId="0" borderId="75" xfId="0" applyFont="1" applyBorder="1" applyAlignment="1">
      <alignment horizontal="left"/>
    </xf>
    <xf numFmtId="169" fontId="4" fillId="0" borderId="36" xfId="0" applyNumberFormat="1" applyFont="1" applyBorder="1" applyAlignment="1">
      <alignment horizontal="center"/>
    </xf>
    <xf numFmtId="0" fontId="6" fillId="0" borderId="70" xfId="0" applyFont="1" applyBorder="1" applyAlignment="1">
      <alignment horizontal="left"/>
    </xf>
    <xf numFmtId="44" fontId="4" fillId="0" borderId="71" xfId="0" applyNumberFormat="1" applyFont="1" applyBorder="1"/>
    <xf numFmtId="0" fontId="6" fillId="5" borderId="66" xfId="0" applyFont="1" applyFill="1" applyBorder="1" applyAlignment="1">
      <alignment horizontal="center"/>
    </xf>
    <xf numFmtId="0" fontId="6" fillId="5" borderId="77" xfId="0" applyFont="1" applyFill="1" applyBorder="1" applyAlignment="1">
      <alignment horizontal="center"/>
    </xf>
    <xf numFmtId="0" fontId="6" fillId="5" borderId="79" xfId="0" applyFont="1" applyFill="1" applyBorder="1"/>
    <xf numFmtId="0" fontId="6" fillId="5" borderId="70" xfId="0" applyFont="1" applyFill="1" applyBorder="1"/>
    <xf numFmtId="0" fontId="6" fillId="5" borderId="72" xfId="0" applyFont="1" applyFill="1" applyBorder="1"/>
    <xf numFmtId="0" fontId="6" fillId="0" borderId="66" xfId="0" applyFont="1" applyBorder="1"/>
    <xf numFmtId="44" fontId="4" fillId="0" borderId="77" xfId="0" applyNumberFormat="1" applyFont="1" applyBorder="1"/>
    <xf numFmtId="0" fontId="4" fillId="0" borderId="77" xfId="0" applyFont="1" applyBorder="1" applyAlignment="1">
      <alignment horizontal="center"/>
    </xf>
    <xf numFmtId="0" fontId="4" fillId="0" borderId="79" xfId="0" applyFont="1" applyBorder="1"/>
    <xf numFmtId="44" fontId="4" fillId="0" borderId="80" xfId="0" applyNumberFormat="1" applyFont="1" applyBorder="1"/>
    <xf numFmtId="4" fontId="4" fillId="0" borderId="76" xfId="0" applyNumberFormat="1" applyFont="1" applyBorder="1" applyAlignment="1">
      <alignment horizontal="center"/>
    </xf>
    <xf numFmtId="4" fontId="4" fillId="0" borderId="24" xfId="0" applyNumberFormat="1" applyFont="1" applyBorder="1"/>
    <xf numFmtId="0" fontId="4" fillId="0" borderId="28" xfId="0" applyFont="1" applyBorder="1"/>
    <xf numFmtId="166" fontId="4" fillId="0" borderId="36" xfId="0" applyNumberFormat="1" applyFont="1" applyBorder="1"/>
    <xf numFmtId="0" fontId="6" fillId="0" borderId="75" xfId="0" applyFont="1" applyBorder="1" applyAlignment="1">
      <alignment horizontal="left"/>
    </xf>
    <xf numFmtId="44" fontId="4" fillId="0" borderId="76" xfId="0" applyNumberFormat="1" applyFont="1" applyBorder="1" applyAlignment="1">
      <alignment horizontal="center"/>
    </xf>
    <xf numFmtId="170" fontId="4" fillId="0" borderId="76" xfId="0" applyNumberFormat="1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170" fontId="4" fillId="0" borderId="76" xfId="0" applyNumberFormat="1" applyFont="1" applyBorder="1"/>
    <xf numFmtId="170" fontId="4" fillId="0" borderId="80" xfId="0" applyNumberFormat="1" applyFont="1" applyBorder="1"/>
    <xf numFmtId="170" fontId="6" fillId="0" borderId="76" xfId="0" applyNumberFormat="1" applyFont="1" applyBorder="1" applyAlignment="1">
      <alignment horizontal="center"/>
    </xf>
    <xf numFmtId="2" fontId="4" fillId="0" borderId="76" xfId="0" applyNumberFormat="1" applyFont="1" applyBorder="1" applyAlignment="1">
      <alignment horizontal="center"/>
    </xf>
    <xf numFmtId="2" fontId="4" fillId="0" borderId="80" xfId="0" applyNumberFormat="1" applyFont="1" applyBorder="1" applyAlignment="1">
      <alignment horizontal="center"/>
    </xf>
    <xf numFmtId="170" fontId="4" fillId="0" borderId="0" xfId="0" applyNumberFormat="1" applyFont="1"/>
    <xf numFmtId="170" fontId="4" fillId="16" borderId="7" xfId="0" applyNumberFormat="1" applyFont="1" applyFill="1" applyBorder="1"/>
    <xf numFmtId="44" fontId="4" fillId="0" borderId="72" xfId="0" applyNumberFormat="1" applyFont="1" applyBorder="1"/>
    <xf numFmtId="170" fontId="6" fillId="0" borderId="0" xfId="0" applyNumberFormat="1" applyFont="1" applyAlignment="1">
      <alignment horizontal="center"/>
    </xf>
    <xf numFmtId="170" fontId="6" fillId="16" borderId="7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169" fontId="29" fillId="0" borderId="0" xfId="0" applyNumberFormat="1" applyFont="1" applyAlignment="1">
      <alignment horizontal="center"/>
    </xf>
    <xf numFmtId="0" fontId="4" fillId="18" borderId="7" xfId="0" applyFont="1" applyFill="1" applyBorder="1"/>
    <xf numFmtId="0" fontId="6" fillId="5" borderId="75" xfId="0" applyFont="1" applyFill="1" applyBorder="1" applyAlignment="1">
      <alignment horizontal="center"/>
    </xf>
    <xf numFmtId="44" fontId="4" fillId="3" borderId="85" xfId="0" applyNumberFormat="1" applyFont="1" applyFill="1" applyBorder="1" applyAlignment="1">
      <alignment horizontal="center"/>
    </xf>
    <xf numFmtId="44" fontId="4" fillId="0" borderId="80" xfId="0" applyNumberFormat="1" applyFont="1" applyBorder="1" applyAlignment="1">
      <alignment horizontal="center"/>
    </xf>
    <xf numFmtId="0" fontId="5" fillId="19" borderId="36" xfId="0" applyFont="1" applyFill="1" applyBorder="1" applyAlignment="1">
      <alignment horizontal="center"/>
    </xf>
    <xf numFmtId="0" fontId="5" fillId="19" borderId="57" xfId="0" applyFont="1" applyFill="1" applyBorder="1" applyAlignment="1">
      <alignment horizontal="center"/>
    </xf>
    <xf numFmtId="0" fontId="5" fillId="19" borderId="86" xfId="0" applyFont="1" applyFill="1" applyBorder="1" applyAlignment="1">
      <alignment horizontal="center" wrapText="1"/>
    </xf>
    <xf numFmtId="0" fontId="3" fillId="0" borderId="44" xfId="0" applyFont="1" applyBorder="1" applyAlignment="1">
      <alignment wrapText="1"/>
    </xf>
    <xf numFmtId="0" fontId="3" fillId="0" borderId="35" xfId="0" applyFont="1" applyBorder="1" applyAlignment="1">
      <alignment horizontal="center" wrapText="1"/>
    </xf>
    <xf numFmtId="44" fontId="4" fillId="3" borderId="76" xfId="0" applyNumberFormat="1" applyFont="1" applyFill="1" applyBorder="1" applyAlignment="1">
      <alignment horizontal="center"/>
    </xf>
    <xf numFmtId="44" fontId="6" fillId="0" borderId="76" xfId="0" applyNumberFormat="1" applyFont="1" applyBorder="1" applyAlignment="1">
      <alignment horizontal="center"/>
    </xf>
    <xf numFmtId="44" fontId="6" fillId="0" borderId="80" xfId="0" applyNumberFormat="1" applyFont="1" applyBorder="1" applyAlignment="1">
      <alignment horizontal="center"/>
    </xf>
    <xf numFmtId="0" fontId="4" fillId="0" borderId="87" xfId="0" applyFont="1" applyBorder="1"/>
    <xf numFmtId="170" fontId="4" fillId="0" borderId="88" xfId="0" applyNumberFormat="1" applyFont="1" applyBorder="1" applyAlignment="1">
      <alignment horizontal="center"/>
    </xf>
    <xf numFmtId="170" fontId="4" fillId="0" borderId="88" xfId="0" applyNumberFormat="1" applyFont="1" applyBorder="1"/>
    <xf numFmtId="170" fontId="4" fillId="0" borderId="89" xfId="0" applyNumberFormat="1" applyFont="1" applyBorder="1"/>
    <xf numFmtId="0" fontId="5" fillId="19" borderId="57" xfId="0" applyFont="1" applyFill="1" applyBorder="1" applyAlignment="1">
      <alignment horizontal="center" wrapText="1"/>
    </xf>
    <xf numFmtId="0" fontId="6" fillId="0" borderId="87" xfId="0" applyFont="1" applyBorder="1"/>
    <xf numFmtId="10" fontId="4" fillId="0" borderId="88" xfId="0" applyNumberFormat="1" applyFont="1" applyBorder="1" applyAlignment="1">
      <alignment horizontal="center"/>
    </xf>
    <xf numFmtId="10" fontId="4" fillId="0" borderId="89" xfId="0" applyNumberFormat="1" applyFont="1" applyBorder="1" applyAlignment="1">
      <alignment horizontal="center"/>
    </xf>
    <xf numFmtId="0" fontId="3" fillId="0" borderId="64" xfId="0" applyFont="1" applyBorder="1" applyAlignment="1">
      <alignment horizontal="center" wrapText="1"/>
    </xf>
    <xf numFmtId="168" fontId="4" fillId="0" borderId="36" xfId="0" applyNumberFormat="1" applyFont="1" applyBorder="1" applyAlignment="1">
      <alignment horizontal="center"/>
    </xf>
    <xf numFmtId="0" fontId="6" fillId="0" borderId="70" xfId="0" applyFont="1" applyBorder="1"/>
    <xf numFmtId="10" fontId="4" fillId="0" borderId="71" xfId="0" applyNumberFormat="1" applyFont="1" applyBorder="1" applyAlignment="1">
      <alignment horizontal="center"/>
    </xf>
    <xf numFmtId="10" fontId="4" fillId="0" borderId="72" xfId="0" applyNumberFormat="1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4" fillId="5" borderId="66" xfId="0" applyFont="1" applyFill="1" applyBorder="1"/>
    <xf numFmtId="0" fontId="6" fillId="5" borderId="80" xfId="0" applyFont="1" applyFill="1" applyBorder="1" applyAlignment="1">
      <alignment horizontal="center"/>
    </xf>
    <xf numFmtId="0" fontId="4" fillId="5" borderId="71" xfId="0" applyFont="1" applyFill="1" applyBorder="1" applyAlignment="1">
      <alignment horizontal="center"/>
    </xf>
    <xf numFmtId="0" fontId="4" fillId="5" borderId="72" xfId="0" applyFont="1" applyFill="1" applyBorder="1" applyAlignment="1">
      <alignment horizontal="center"/>
    </xf>
    <xf numFmtId="44" fontId="4" fillId="0" borderId="74" xfId="0" applyNumberFormat="1" applyFont="1" applyBorder="1" applyAlignment="1">
      <alignment horizontal="center"/>
    </xf>
    <xf numFmtId="44" fontId="4" fillId="0" borderId="91" xfId="0" applyNumberFormat="1" applyFont="1" applyBorder="1" applyAlignment="1">
      <alignment horizontal="center"/>
    </xf>
    <xf numFmtId="0" fontId="6" fillId="7" borderId="36" xfId="0" applyFont="1" applyFill="1" applyBorder="1"/>
    <xf numFmtId="0" fontId="6" fillId="7" borderId="60" xfId="0" applyFont="1" applyFill="1" applyBorder="1"/>
    <xf numFmtId="44" fontId="4" fillId="0" borderId="88" xfId="0" applyNumberFormat="1" applyFont="1" applyBorder="1" applyAlignment="1">
      <alignment horizontal="center"/>
    </xf>
    <xf numFmtId="44" fontId="4" fillId="0" borderId="36" xfId="0" applyNumberFormat="1" applyFont="1" applyBorder="1" applyAlignment="1">
      <alignment horizontal="center"/>
    </xf>
    <xf numFmtId="44" fontId="4" fillId="0" borderId="36" xfId="0" applyNumberFormat="1" applyFont="1" applyBorder="1" applyAlignment="1">
      <alignment horizontal="right"/>
    </xf>
    <xf numFmtId="0" fontId="6" fillId="0" borderId="92" xfId="0" applyFont="1" applyBorder="1"/>
    <xf numFmtId="44" fontId="6" fillId="0" borderId="53" xfId="0" applyNumberFormat="1" applyFont="1" applyBorder="1" applyAlignment="1">
      <alignment horizontal="center"/>
    </xf>
    <xf numFmtId="44" fontId="6" fillId="0" borderId="54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/>
    </xf>
    <xf numFmtId="0" fontId="6" fillId="5" borderId="66" xfId="0" applyFont="1" applyFill="1" applyBorder="1"/>
    <xf numFmtId="0" fontId="6" fillId="0" borderId="73" xfId="0" applyFont="1" applyBorder="1"/>
    <xf numFmtId="44" fontId="6" fillId="0" borderId="74" xfId="0" applyNumberFormat="1" applyFont="1" applyBorder="1" applyAlignment="1">
      <alignment horizontal="center"/>
    </xf>
    <xf numFmtId="44" fontId="6" fillId="0" borderId="91" xfId="0" applyNumberFormat="1" applyFont="1" applyBorder="1" applyAlignment="1">
      <alignment horizontal="center"/>
    </xf>
    <xf numFmtId="44" fontId="6" fillId="0" borderId="80" xfId="0" applyNumberFormat="1" applyFont="1" applyBorder="1"/>
    <xf numFmtId="44" fontId="6" fillId="0" borderId="88" xfId="0" applyNumberFormat="1" applyFont="1" applyBorder="1" applyAlignment="1">
      <alignment horizontal="center"/>
    </xf>
    <xf numFmtId="44" fontId="4" fillId="0" borderId="89" xfId="0" applyNumberFormat="1" applyFont="1" applyBorder="1" applyAlignment="1">
      <alignment horizontal="center"/>
    </xf>
    <xf numFmtId="0" fontId="6" fillId="5" borderId="70" xfId="0" applyFont="1" applyFill="1" applyBorder="1" applyAlignment="1">
      <alignment horizontal="center"/>
    </xf>
    <xf numFmtId="0" fontId="4" fillId="0" borderId="66" xfId="0" applyFont="1" applyBorder="1"/>
    <xf numFmtId="44" fontId="4" fillId="0" borderId="77" xfId="0" applyNumberFormat="1" applyFont="1" applyBorder="1" applyAlignment="1">
      <alignment horizontal="center"/>
    </xf>
    <xf numFmtId="44" fontId="4" fillId="0" borderId="0" xfId="0" applyNumberFormat="1" applyFont="1"/>
    <xf numFmtId="10" fontId="4" fillId="0" borderId="76" xfId="0" applyNumberFormat="1" applyFont="1" applyBorder="1" applyAlignment="1">
      <alignment horizontal="center"/>
    </xf>
    <xf numFmtId="0" fontId="4" fillId="5" borderId="75" xfId="0" applyFont="1" applyFill="1" applyBorder="1"/>
    <xf numFmtId="0" fontId="6" fillId="0" borderId="76" xfId="0" applyFont="1" applyBorder="1" applyAlignment="1">
      <alignment horizontal="center"/>
    </xf>
    <xf numFmtId="0" fontId="6" fillId="0" borderId="80" xfId="0" applyFont="1" applyBorder="1" applyAlignment="1">
      <alignment horizontal="center"/>
    </xf>
    <xf numFmtId="3" fontId="4" fillId="0" borderId="76" xfId="0" applyNumberFormat="1" applyFont="1" applyBorder="1" applyAlignment="1">
      <alignment horizontal="center"/>
    </xf>
    <xf numFmtId="3" fontId="4" fillId="0" borderId="80" xfId="0" applyNumberFormat="1" applyFont="1" applyBorder="1" applyAlignment="1">
      <alignment horizontal="center"/>
    </xf>
    <xf numFmtId="3" fontId="4" fillId="0" borderId="76" xfId="0" applyNumberFormat="1" applyFont="1" applyBorder="1" applyAlignment="1">
      <alignment horizontal="right"/>
    </xf>
    <xf numFmtId="9" fontId="4" fillId="0" borderId="76" xfId="0" applyNumberFormat="1" applyFont="1" applyBorder="1"/>
    <xf numFmtId="10" fontId="4" fillId="0" borderId="89" xfId="0" applyNumberFormat="1" applyFont="1" applyBorder="1" applyAlignment="1">
      <alignment horizontal="right"/>
    </xf>
    <xf numFmtId="9" fontId="4" fillId="0" borderId="80" xfId="0" applyNumberFormat="1" applyFont="1" applyBorder="1"/>
    <xf numFmtId="10" fontId="4" fillId="0" borderId="71" xfId="0" applyNumberFormat="1" applyFont="1" applyBorder="1"/>
    <xf numFmtId="10" fontId="4" fillId="0" borderId="72" xfId="0" applyNumberFormat="1" applyFont="1" applyBorder="1" applyAlignment="1">
      <alignment horizontal="right"/>
    </xf>
    <xf numFmtId="0" fontId="28" fillId="0" borderId="0" xfId="0" applyFont="1"/>
    <xf numFmtId="0" fontId="7" fillId="0" borderId="44" xfId="0" applyFont="1" applyBorder="1"/>
    <xf numFmtId="3" fontId="7" fillId="0" borderId="35" xfId="0" applyNumberFormat="1" applyFont="1" applyBorder="1" applyAlignment="1">
      <alignment horizontal="right"/>
    </xf>
    <xf numFmtId="4" fontId="7" fillId="0" borderId="28" xfId="0" applyNumberFormat="1" applyFont="1" applyBorder="1" applyAlignment="1">
      <alignment horizontal="right"/>
    </xf>
    <xf numFmtId="44" fontId="7" fillId="0" borderId="35" xfId="0" applyNumberFormat="1" applyFont="1" applyBorder="1" applyAlignment="1">
      <alignment horizontal="right"/>
    </xf>
    <xf numFmtId="10" fontId="7" fillId="0" borderId="36" xfId="0" applyNumberFormat="1" applyFont="1" applyBorder="1"/>
    <xf numFmtId="168" fontId="4" fillId="0" borderId="36" xfId="0" applyNumberFormat="1" applyFont="1" applyBorder="1"/>
    <xf numFmtId="44" fontId="4" fillId="0" borderId="36" xfId="0" applyNumberFormat="1" applyFont="1" applyBorder="1"/>
    <xf numFmtId="0" fontId="4" fillId="0" borderId="0" xfId="0" applyFont="1" applyAlignment="1">
      <alignment horizontal="left"/>
    </xf>
    <xf numFmtId="0" fontId="6" fillId="0" borderId="83" xfId="0" applyFont="1" applyBorder="1"/>
    <xf numFmtId="0" fontId="4" fillId="0" borderId="83" xfId="0" applyFont="1" applyBorder="1"/>
    <xf numFmtId="0" fontId="7" fillId="0" borderId="83" xfId="0" applyFont="1" applyBorder="1"/>
    <xf numFmtId="44" fontId="6" fillId="0" borderId="93" xfId="0" applyNumberFormat="1" applyFont="1" applyBorder="1" applyAlignment="1">
      <alignment horizontal="center"/>
    </xf>
    <xf numFmtId="0" fontId="6" fillId="0" borderId="94" xfId="0" applyFont="1" applyBorder="1"/>
    <xf numFmtId="44" fontId="4" fillId="0" borderId="71" xfId="0" applyNumberFormat="1" applyFont="1" applyBorder="1" applyAlignment="1">
      <alignment horizontal="center"/>
    </xf>
    <xf numFmtId="44" fontId="4" fillId="0" borderId="72" xfId="0" applyNumberFormat="1" applyFont="1" applyBorder="1" applyAlignment="1">
      <alignment horizontal="center"/>
    </xf>
    <xf numFmtId="0" fontId="6" fillId="5" borderId="76" xfId="0" applyFont="1" applyFill="1" applyBorder="1" applyAlignment="1">
      <alignment horizontal="center"/>
    </xf>
    <xf numFmtId="0" fontId="6" fillId="5" borderId="71" xfId="0" applyFont="1" applyFill="1" applyBorder="1" applyAlignment="1">
      <alignment horizontal="center" wrapText="1"/>
    </xf>
    <xf numFmtId="0" fontId="6" fillId="5" borderId="98" xfId="0" applyFont="1" applyFill="1" applyBorder="1" applyAlignment="1">
      <alignment horizontal="center"/>
    </xf>
    <xf numFmtId="0" fontId="6" fillId="0" borderId="82" xfId="0" applyFont="1" applyBorder="1"/>
    <xf numFmtId="44" fontId="4" fillId="0" borderId="99" xfId="0" applyNumberFormat="1" applyFont="1" applyBorder="1" applyAlignment="1">
      <alignment horizontal="center"/>
    </xf>
    <xf numFmtId="0" fontId="4" fillId="0" borderId="82" xfId="0" applyFont="1" applyBorder="1"/>
    <xf numFmtId="44" fontId="4" fillId="0" borderId="82" xfId="0" applyNumberFormat="1" applyFont="1" applyBorder="1" applyAlignment="1">
      <alignment horizontal="center"/>
    </xf>
    <xf numFmtId="0" fontId="31" fillId="0" borderId="0" xfId="0" applyFont="1" applyAlignment="1">
      <alignment horizontal="left" vertical="center" wrapText="1"/>
    </xf>
    <xf numFmtId="44" fontId="6" fillId="0" borderId="62" xfId="0" applyNumberFormat="1" applyFont="1" applyBorder="1" applyAlignment="1">
      <alignment horizontal="center"/>
    </xf>
    <xf numFmtId="0" fontId="6" fillId="0" borderId="100" xfId="0" applyFont="1" applyBorder="1"/>
    <xf numFmtId="44" fontId="6" fillId="0" borderId="101" xfId="0" applyNumberFormat="1" applyFont="1" applyBorder="1" applyAlignment="1">
      <alignment horizontal="center"/>
    </xf>
    <xf numFmtId="0" fontId="28" fillId="12" borderId="102" xfId="0" applyFont="1" applyFill="1" applyBorder="1" applyAlignment="1">
      <alignment horizontal="left"/>
    </xf>
    <xf numFmtId="0" fontId="6" fillId="12" borderId="104" xfId="0" applyFont="1" applyFill="1" applyBorder="1" applyAlignment="1">
      <alignment horizontal="center"/>
    </xf>
    <xf numFmtId="0" fontId="6" fillId="12" borderId="71" xfId="0" applyFont="1" applyFill="1" applyBorder="1" applyAlignment="1">
      <alignment horizontal="center" wrapText="1"/>
    </xf>
    <xf numFmtId="0" fontId="6" fillId="12" borderId="71" xfId="0" applyFont="1" applyFill="1" applyBorder="1" applyAlignment="1">
      <alignment horizontal="center"/>
    </xf>
    <xf numFmtId="0" fontId="6" fillId="12" borderId="72" xfId="0" applyFont="1" applyFill="1" applyBorder="1" applyAlignment="1">
      <alignment horizontal="center"/>
    </xf>
    <xf numFmtId="0" fontId="6" fillId="0" borderId="105" xfId="0" applyFont="1" applyBorder="1"/>
    <xf numFmtId="44" fontId="4" fillId="0" borderId="106" xfId="0" applyNumberFormat="1" applyFont="1" applyBorder="1" applyAlignment="1">
      <alignment horizontal="center"/>
    </xf>
    <xf numFmtId="0" fontId="4" fillId="0" borderId="107" xfId="0" applyFont="1" applyBorder="1"/>
    <xf numFmtId="44" fontId="4" fillId="0" borderId="90" xfId="0" applyNumberFormat="1" applyFont="1" applyBorder="1" applyAlignment="1">
      <alignment horizontal="center"/>
    </xf>
    <xf numFmtId="0" fontId="6" fillId="0" borderId="107" xfId="0" applyFont="1" applyBorder="1"/>
    <xf numFmtId="0" fontId="6" fillId="0" borderId="107" xfId="0" applyFont="1" applyBorder="1" applyAlignment="1">
      <alignment horizontal="left"/>
    </xf>
    <xf numFmtId="0" fontId="6" fillId="0" borderId="108" xfId="0" applyFont="1" applyBorder="1"/>
    <xf numFmtId="44" fontId="4" fillId="0" borderId="109" xfId="0" applyNumberFormat="1" applyFont="1" applyBorder="1" applyAlignment="1">
      <alignment horizontal="center"/>
    </xf>
    <xf numFmtId="44" fontId="6" fillId="0" borderId="71" xfId="0" applyNumberFormat="1" applyFont="1" applyBorder="1" applyAlignment="1">
      <alignment horizontal="center"/>
    </xf>
    <xf numFmtId="44" fontId="6" fillId="0" borderId="7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12" borderId="98" xfId="0" applyFont="1" applyFill="1" applyBorder="1" applyAlignment="1">
      <alignment horizontal="center" wrapText="1"/>
    </xf>
    <xf numFmtId="0" fontId="6" fillId="12" borderId="72" xfId="0" applyFont="1" applyFill="1" applyBorder="1" applyAlignment="1">
      <alignment horizontal="center" wrapText="1"/>
    </xf>
    <xf numFmtId="0" fontId="6" fillId="0" borderId="105" xfId="0" applyFont="1" applyBorder="1" applyAlignment="1">
      <alignment horizontal="center"/>
    </xf>
    <xf numFmtId="0" fontId="6" fillId="0" borderId="107" xfId="0" applyFont="1" applyBorder="1" applyAlignment="1">
      <alignment horizontal="center"/>
    </xf>
    <xf numFmtId="0" fontId="6" fillId="0" borderId="108" xfId="0" applyFont="1" applyBorder="1" applyAlignment="1">
      <alignment horizontal="center"/>
    </xf>
    <xf numFmtId="44" fontId="4" fillId="13" borderId="110" xfId="0" applyNumberFormat="1" applyFont="1" applyFill="1" applyBorder="1" applyAlignment="1">
      <alignment horizontal="center"/>
    </xf>
    <xf numFmtId="44" fontId="4" fillId="6" borderId="110" xfId="0" applyNumberFormat="1" applyFont="1" applyFill="1" applyBorder="1" applyAlignment="1">
      <alignment horizontal="center"/>
    </xf>
    <xf numFmtId="44" fontId="4" fillId="20" borderId="110" xfId="0" applyNumberFormat="1" applyFont="1" applyFill="1" applyBorder="1" applyAlignment="1">
      <alignment horizontal="center"/>
    </xf>
    <xf numFmtId="44" fontId="6" fillId="0" borderId="109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0" fontId="4" fillId="0" borderId="44" xfId="0" applyNumberFormat="1" applyFont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0" fontId="32" fillId="0" borderId="0" xfId="0" applyFont="1"/>
    <xf numFmtId="1" fontId="4" fillId="0" borderId="0" xfId="0" applyNumberFormat="1" applyFont="1" applyAlignment="1">
      <alignment horizontal="center"/>
    </xf>
    <xf numFmtId="44" fontId="4" fillId="8" borderId="7" xfId="0" applyNumberFormat="1" applyFont="1" applyFill="1" applyBorder="1" applyAlignment="1">
      <alignment horizontal="center"/>
    </xf>
    <xf numFmtId="0" fontId="28" fillId="0" borderId="81" xfId="0" applyFont="1" applyBorder="1" applyAlignment="1">
      <alignment horizontal="left"/>
    </xf>
    <xf numFmtId="0" fontId="28" fillId="0" borderId="78" xfId="0" applyFont="1" applyBorder="1" applyAlignment="1">
      <alignment horizontal="center"/>
    </xf>
    <xf numFmtId="0" fontId="28" fillId="0" borderId="69" xfId="0" applyFont="1" applyBorder="1" applyAlignment="1">
      <alignment horizontal="center"/>
    </xf>
    <xf numFmtId="0" fontId="6" fillId="13" borderId="72" xfId="0" applyFont="1" applyFill="1" applyBorder="1" applyAlignment="1">
      <alignment horizontal="center"/>
    </xf>
    <xf numFmtId="44" fontId="4" fillId="11" borderId="80" xfId="0" applyNumberFormat="1" applyFont="1" applyFill="1" applyBorder="1" applyAlignment="1">
      <alignment horizontal="center"/>
    </xf>
    <xf numFmtId="0" fontId="4" fillId="0" borderId="111" xfId="0" applyFont="1" applyBorder="1"/>
    <xf numFmtId="44" fontId="6" fillId="13" borderId="112" xfId="0" applyNumberFormat="1" applyFont="1" applyFill="1" applyBorder="1" applyAlignment="1">
      <alignment horizontal="center"/>
    </xf>
    <xf numFmtId="44" fontId="4" fillId="11" borderId="113" xfId="0" applyNumberFormat="1" applyFont="1" applyFill="1" applyBorder="1" applyAlignment="1">
      <alignment horizontal="center"/>
    </xf>
    <xf numFmtId="10" fontId="4" fillId="0" borderId="80" xfId="0" applyNumberFormat="1" applyFont="1" applyBorder="1" applyAlignment="1">
      <alignment horizontal="center"/>
    </xf>
    <xf numFmtId="9" fontId="6" fillId="0" borderId="72" xfId="0" applyNumberFormat="1" applyFont="1" applyBorder="1" applyAlignment="1">
      <alignment horizontal="center"/>
    </xf>
    <xf numFmtId="0" fontId="4" fillId="0" borderId="114" xfId="0" applyFont="1" applyBorder="1"/>
    <xf numFmtId="0" fontId="6" fillId="13" borderId="75" xfId="0" applyFont="1" applyFill="1" applyBorder="1" applyAlignment="1">
      <alignment horizontal="center"/>
    </xf>
    <xf numFmtId="0" fontId="6" fillId="13" borderId="71" xfId="0" applyFont="1" applyFill="1" applyBorder="1" applyAlignment="1">
      <alignment horizontal="center"/>
    </xf>
    <xf numFmtId="0" fontId="6" fillId="13" borderId="98" xfId="0" applyFont="1" applyFill="1" applyBorder="1" applyAlignment="1">
      <alignment horizontal="center"/>
    </xf>
    <xf numFmtId="44" fontId="4" fillId="0" borderId="82" xfId="0" applyNumberFormat="1" applyFont="1" applyBorder="1"/>
    <xf numFmtId="0" fontId="16" fillId="0" borderId="75" xfId="0" applyFont="1" applyBorder="1"/>
    <xf numFmtId="10" fontId="4" fillId="0" borderId="115" xfId="0" applyNumberFormat="1" applyFont="1" applyBorder="1"/>
    <xf numFmtId="0" fontId="33" fillId="0" borderId="0" xfId="0" applyFont="1"/>
    <xf numFmtId="0" fontId="15" fillId="0" borderId="0" xfId="0" applyFont="1" applyAlignment="1">
      <alignment horizontal="right"/>
    </xf>
    <xf numFmtId="44" fontId="7" fillId="0" borderId="0" xfId="0" applyNumberFormat="1" applyFont="1"/>
    <xf numFmtId="0" fontId="34" fillId="0" borderId="0" xfId="0" applyFont="1"/>
    <xf numFmtId="0" fontId="7" fillId="11" borderId="55" xfId="0" applyFont="1" applyFill="1" applyBorder="1"/>
    <xf numFmtId="0" fontId="6" fillId="13" borderId="36" xfId="0" applyFont="1" applyFill="1" applyBorder="1" applyAlignment="1">
      <alignment horizontal="center"/>
    </xf>
    <xf numFmtId="0" fontId="28" fillId="0" borderId="66" xfId="0" applyFont="1" applyBorder="1" applyAlignment="1">
      <alignment horizontal="left"/>
    </xf>
    <xf numFmtId="0" fontId="28" fillId="0" borderId="77" xfId="0" applyFont="1" applyBorder="1" applyAlignment="1">
      <alignment horizontal="center"/>
    </xf>
    <xf numFmtId="0" fontId="28" fillId="0" borderId="79" xfId="0" applyFont="1" applyBorder="1" applyAlignment="1">
      <alignment horizontal="center"/>
    </xf>
    <xf numFmtId="0" fontId="6" fillId="13" borderId="76" xfId="0" applyFont="1" applyFill="1" applyBorder="1" applyAlignment="1">
      <alignment horizontal="center"/>
    </xf>
    <xf numFmtId="0" fontId="6" fillId="13" borderId="113" xfId="0" applyFont="1" applyFill="1" applyBorder="1" applyAlignment="1">
      <alignment horizontal="center"/>
    </xf>
    <xf numFmtId="9" fontId="4" fillId="0" borderId="76" xfId="0" applyNumberFormat="1" applyFont="1" applyBorder="1" applyAlignment="1">
      <alignment horizontal="center"/>
    </xf>
    <xf numFmtId="10" fontId="4" fillId="0" borderId="82" xfId="0" applyNumberFormat="1" applyFont="1" applyBorder="1" applyAlignment="1">
      <alignment horizontal="center"/>
    </xf>
    <xf numFmtId="10" fontId="4" fillId="0" borderId="0" xfId="0" applyNumberFormat="1" applyFont="1"/>
    <xf numFmtId="0" fontId="6" fillId="0" borderId="116" xfId="0" applyFont="1" applyBorder="1"/>
    <xf numFmtId="44" fontId="6" fillId="0" borderId="117" xfId="0" applyNumberFormat="1" applyFont="1" applyBorder="1" applyAlignment="1">
      <alignment horizontal="center"/>
    </xf>
    <xf numFmtId="9" fontId="4" fillId="0" borderId="117" xfId="0" applyNumberFormat="1" applyFont="1" applyBorder="1" applyAlignment="1">
      <alignment horizontal="center"/>
    </xf>
    <xf numFmtId="10" fontId="4" fillId="0" borderId="117" xfId="0" applyNumberFormat="1" applyFont="1" applyBorder="1" applyAlignment="1">
      <alignment horizontal="center"/>
    </xf>
    <xf numFmtId="44" fontId="4" fillId="0" borderId="117" xfId="0" applyNumberFormat="1" applyFont="1" applyBorder="1" applyAlignment="1">
      <alignment horizontal="center"/>
    </xf>
    <xf numFmtId="10" fontId="4" fillId="0" borderId="118" xfId="0" applyNumberFormat="1" applyFont="1" applyBorder="1" applyAlignment="1">
      <alignment horizontal="center"/>
    </xf>
    <xf numFmtId="10" fontId="4" fillId="0" borderId="114" xfId="0" applyNumberFormat="1" applyFont="1" applyBorder="1"/>
    <xf numFmtId="1" fontId="6" fillId="0" borderId="0" xfId="0" applyNumberFormat="1" applyFont="1" applyAlignment="1">
      <alignment horizontal="center"/>
    </xf>
    <xf numFmtId="0" fontId="28" fillId="0" borderId="119" xfId="0" applyFont="1" applyBorder="1" applyAlignment="1">
      <alignment horizontal="left"/>
    </xf>
    <xf numFmtId="0" fontId="28" fillId="0" borderId="120" xfId="0" applyFont="1" applyBorder="1" applyAlignment="1">
      <alignment horizontal="left"/>
    </xf>
    <xf numFmtId="0" fontId="28" fillId="0" borderId="121" xfId="0" applyFont="1" applyBorder="1" applyAlignment="1">
      <alignment horizontal="left"/>
    </xf>
    <xf numFmtId="0" fontId="6" fillId="13" borderId="122" xfId="0" applyFont="1" applyFill="1" applyBorder="1" applyAlignment="1">
      <alignment horizontal="center"/>
    </xf>
    <xf numFmtId="0" fontId="6" fillId="13" borderId="123" xfId="0" applyFont="1" applyFill="1" applyBorder="1" applyAlignment="1">
      <alignment horizontal="center"/>
    </xf>
    <xf numFmtId="0" fontId="6" fillId="13" borderId="124" xfId="0" applyFont="1" applyFill="1" applyBorder="1" applyAlignment="1">
      <alignment horizontal="center"/>
    </xf>
    <xf numFmtId="0" fontId="15" fillId="13" borderId="60" xfId="0" applyFont="1" applyFill="1" applyBorder="1" applyAlignment="1">
      <alignment horizontal="center"/>
    </xf>
    <xf numFmtId="0" fontId="6" fillId="13" borderId="58" xfId="0" applyFont="1" applyFill="1" applyBorder="1" applyAlignment="1">
      <alignment horizontal="center"/>
    </xf>
    <xf numFmtId="0" fontId="6" fillId="13" borderId="125" xfId="0" applyFont="1" applyFill="1" applyBorder="1" applyAlignment="1">
      <alignment horizontal="center"/>
    </xf>
    <xf numFmtId="0" fontId="6" fillId="13" borderId="126" xfId="0" applyFont="1" applyFill="1" applyBorder="1" applyAlignment="1">
      <alignment horizontal="center"/>
    </xf>
    <xf numFmtId="0" fontId="6" fillId="13" borderId="127" xfId="0" applyFont="1" applyFill="1" applyBorder="1" applyAlignment="1">
      <alignment horizontal="center"/>
    </xf>
    <xf numFmtId="0" fontId="15" fillId="13" borderId="55" xfId="0" applyFont="1" applyFill="1" applyBorder="1" applyAlignment="1">
      <alignment horizontal="center"/>
    </xf>
    <xf numFmtId="0" fontId="6" fillId="13" borderId="55" xfId="0" applyFont="1" applyFill="1" applyBorder="1" applyAlignment="1">
      <alignment horizontal="center"/>
    </xf>
    <xf numFmtId="172" fontId="4" fillId="0" borderId="36" xfId="0" applyNumberFormat="1" applyFont="1" applyBorder="1" applyAlignment="1">
      <alignment horizontal="center"/>
    </xf>
    <xf numFmtId="173" fontId="4" fillId="0" borderId="36" xfId="0" applyNumberFormat="1" applyFont="1" applyBorder="1" applyAlignment="1">
      <alignment horizontal="center"/>
    </xf>
    <xf numFmtId="0" fontId="6" fillId="13" borderId="60" xfId="0" applyFont="1" applyFill="1" applyBorder="1" applyAlignment="1">
      <alignment horizontal="right"/>
    </xf>
    <xf numFmtId="44" fontId="6" fillId="13" borderId="61" xfId="0" applyNumberFormat="1" applyFont="1" applyFill="1" applyBorder="1" applyAlignment="1">
      <alignment horizontal="center"/>
    </xf>
    <xf numFmtId="44" fontId="6" fillId="13" borderId="36" xfId="0" applyNumberFormat="1" applyFont="1" applyFill="1" applyBorder="1" applyAlignment="1">
      <alignment horizontal="center"/>
    </xf>
    <xf numFmtId="44" fontId="6" fillId="13" borderId="61" xfId="0" applyNumberFormat="1" applyFont="1" applyFill="1" applyBorder="1"/>
    <xf numFmtId="9" fontId="4" fillId="13" borderId="61" xfId="0" applyNumberFormat="1" applyFont="1" applyFill="1" applyBorder="1"/>
    <xf numFmtId="173" fontId="4" fillId="8" borderId="36" xfId="0" applyNumberFormat="1" applyFont="1" applyFill="1" applyBorder="1" applyAlignment="1">
      <alignment horizontal="center"/>
    </xf>
    <xf numFmtId="44" fontId="4" fillId="0" borderId="74" xfId="0" applyNumberFormat="1" applyFont="1" applyBorder="1"/>
    <xf numFmtId="9" fontId="4" fillId="0" borderId="74" xfId="0" applyNumberFormat="1" applyFont="1" applyBorder="1" applyAlignment="1">
      <alignment horizontal="center"/>
    </xf>
    <xf numFmtId="173" fontId="4" fillId="21" borderId="36" xfId="0" applyNumberFormat="1" applyFont="1" applyFill="1" applyBorder="1" applyAlignment="1">
      <alignment horizontal="center"/>
    </xf>
    <xf numFmtId="0" fontId="6" fillId="0" borderId="116" xfId="0" applyFont="1" applyBorder="1" applyAlignment="1">
      <alignment horizontal="center"/>
    </xf>
    <xf numFmtId="9" fontId="6" fillId="0" borderId="117" xfId="0" applyNumberFormat="1" applyFont="1" applyBorder="1"/>
    <xf numFmtId="44" fontId="6" fillId="0" borderId="128" xfId="0" applyNumberFormat="1" applyFont="1" applyBorder="1" applyAlignment="1">
      <alignment horizontal="center"/>
    </xf>
    <xf numFmtId="15" fontId="4" fillId="0" borderId="0" xfId="0" applyNumberFormat="1" applyFont="1" applyAlignment="1">
      <alignment horizontal="left"/>
    </xf>
    <xf numFmtId="9" fontId="4" fillId="0" borderId="0" xfId="0" applyNumberFormat="1" applyFont="1"/>
    <xf numFmtId="0" fontId="35" fillId="0" borderId="78" xfId="0" applyFont="1" applyBorder="1" applyAlignment="1">
      <alignment horizontal="left"/>
    </xf>
    <xf numFmtId="166" fontId="4" fillId="0" borderId="76" xfId="0" applyNumberFormat="1" applyFont="1" applyBorder="1" applyAlignment="1">
      <alignment horizontal="center"/>
    </xf>
    <xf numFmtId="44" fontId="4" fillId="0" borderId="129" xfId="0" applyNumberFormat="1" applyFont="1" applyBorder="1" applyAlignment="1">
      <alignment horizontal="center"/>
    </xf>
    <xf numFmtId="44" fontId="4" fillId="22" borderId="128" xfId="0" applyNumberFormat="1" applyFont="1" applyFill="1" applyBorder="1" applyAlignment="1">
      <alignment horizontal="center"/>
    </xf>
    <xf numFmtId="0" fontId="15" fillId="22" borderId="0" xfId="0" quotePrefix="1" applyFont="1" applyFill="1"/>
    <xf numFmtId="0" fontId="28" fillId="13" borderId="102" xfId="0" applyFont="1" applyFill="1" applyBorder="1" applyAlignment="1">
      <alignment horizontal="left"/>
    </xf>
    <xf numFmtId="0" fontId="6" fillId="13" borderId="104" xfId="0" applyFont="1" applyFill="1" applyBorder="1" applyAlignment="1">
      <alignment horizontal="center"/>
    </xf>
    <xf numFmtId="0" fontId="6" fillId="13" borderId="71" xfId="0" applyFont="1" applyFill="1" applyBorder="1" applyAlignment="1">
      <alignment horizontal="center" wrapText="1"/>
    </xf>
    <xf numFmtId="0" fontId="4" fillId="0" borderId="107" xfId="0" applyFont="1" applyBorder="1" applyAlignment="1">
      <alignment horizontal="left"/>
    </xf>
    <xf numFmtId="44" fontId="4" fillId="0" borderId="83" xfId="0" applyNumberFormat="1" applyFont="1" applyBorder="1" applyAlignment="1">
      <alignment horizontal="center"/>
    </xf>
    <xf numFmtId="44" fontId="4" fillId="0" borderId="115" xfId="0" applyNumberFormat="1" applyFont="1" applyBorder="1" applyAlignment="1">
      <alignment horizontal="center"/>
    </xf>
    <xf numFmtId="0" fontId="35" fillId="3" borderId="0" xfId="0" applyFont="1" applyFill="1" applyAlignment="1">
      <alignment horizontal="center"/>
    </xf>
    <xf numFmtId="0" fontId="28" fillId="0" borderId="67" xfId="0" applyFont="1" applyBorder="1" applyAlignment="1">
      <alignment horizontal="center"/>
    </xf>
    <xf numFmtId="0" fontId="6" fillId="13" borderId="80" xfId="0" applyFont="1" applyFill="1" applyBorder="1" applyAlignment="1">
      <alignment horizontal="center"/>
    </xf>
    <xf numFmtId="168" fontId="6" fillId="0" borderId="80" xfId="0" applyNumberFormat="1" applyFont="1" applyBorder="1" applyAlignment="1">
      <alignment horizontal="right"/>
    </xf>
    <xf numFmtId="168" fontId="4" fillId="0" borderId="80" xfId="0" applyNumberFormat="1" applyFont="1" applyBorder="1" applyAlignment="1">
      <alignment horizontal="right"/>
    </xf>
    <xf numFmtId="43" fontId="4" fillId="0" borderId="76" xfId="0" applyNumberFormat="1" applyFont="1" applyBorder="1"/>
    <xf numFmtId="168" fontId="4" fillId="8" borderId="80" xfId="0" applyNumberFormat="1" applyFont="1" applyFill="1" applyBorder="1" applyAlignment="1">
      <alignment horizontal="right"/>
    </xf>
    <xf numFmtId="43" fontId="4" fillId="0" borderId="76" xfId="0" applyNumberFormat="1" applyFont="1" applyBorder="1" applyAlignment="1">
      <alignment horizontal="center"/>
    </xf>
    <xf numFmtId="43" fontId="4" fillId="0" borderId="82" xfId="0" applyNumberFormat="1" applyFont="1" applyBorder="1"/>
    <xf numFmtId="44" fontId="6" fillId="3" borderId="76" xfId="0" applyNumberFormat="1" applyFont="1" applyFill="1" applyBorder="1" applyAlignment="1">
      <alignment horizontal="center"/>
    </xf>
    <xf numFmtId="44" fontId="6" fillId="0" borderId="71" xfId="0" applyNumberFormat="1" applyFont="1" applyBorder="1"/>
    <xf numFmtId="168" fontId="6" fillId="0" borderId="128" xfId="0" applyNumberFormat="1" applyFont="1" applyBorder="1" applyAlignment="1">
      <alignment horizontal="right"/>
    </xf>
    <xf numFmtId="168" fontId="4" fillId="0" borderId="0" xfId="0" applyNumberFormat="1" applyFont="1"/>
    <xf numFmtId="0" fontId="6" fillId="22" borderId="0" xfId="0" applyFont="1" applyFill="1" applyAlignment="1">
      <alignment horizontal="right"/>
    </xf>
    <xf numFmtId="168" fontId="6" fillId="22" borderId="0" xfId="0" applyNumberFormat="1" applyFont="1" applyFill="1"/>
    <xf numFmtId="0" fontId="28" fillId="13" borderId="77" xfId="0" applyFont="1" applyFill="1" applyBorder="1" applyAlignment="1">
      <alignment horizontal="center"/>
    </xf>
    <xf numFmtId="0" fontId="28" fillId="13" borderId="131" xfId="0" applyFont="1" applyFill="1" applyBorder="1" applyAlignment="1">
      <alignment horizontal="center"/>
    </xf>
    <xf numFmtId="0" fontId="6" fillId="13" borderId="132" xfId="0" applyFont="1" applyFill="1" applyBorder="1" applyAlignment="1">
      <alignment horizontal="center"/>
    </xf>
    <xf numFmtId="0" fontId="6" fillId="13" borderId="133" xfId="0" applyFont="1" applyFill="1" applyBorder="1" applyAlignment="1">
      <alignment horizontal="center"/>
    </xf>
    <xf numFmtId="168" fontId="4" fillId="0" borderId="77" xfId="0" applyNumberFormat="1" applyFont="1" applyBorder="1" applyAlignment="1">
      <alignment horizontal="right"/>
    </xf>
    <xf numFmtId="168" fontId="4" fillId="0" borderId="131" xfId="0" applyNumberFormat="1" applyFont="1" applyBorder="1" applyAlignment="1">
      <alignment horizontal="right"/>
    </xf>
    <xf numFmtId="168" fontId="4" fillId="0" borderId="76" xfId="0" applyNumberFormat="1" applyFont="1" applyBorder="1" applyAlignment="1">
      <alignment horizontal="right"/>
    </xf>
    <xf numFmtId="168" fontId="4" fillId="0" borderId="129" xfId="0" applyNumberFormat="1" applyFont="1" applyBorder="1" applyAlignment="1">
      <alignment horizontal="right"/>
    </xf>
    <xf numFmtId="168" fontId="4" fillId="3" borderId="76" xfId="0" applyNumberFormat="1" applyFont="1" applyFill="1" applyBorder="1" applyAlignment="1">
      <alignment horizontal="right"/>
    </xf>
    <xf numFmtId="168" fontId="4" fillId="0" borderId="76" xfId="0" applyNumberFormat="1" applyFont="1" applyBorder="1" applyAlignment="1">
      <alignment horizontal="center"/>
    </xf>
    <xf numFmtId="1" fontId="4" fillId="0" borderId="76" xfId="0" applyNumberFormat="1" applyFont="1" applyBorder="1" applyAlignment="1">
      <alignment horizontal="center"/>
    </xf>
    <xf numFmtId="0" fontId="4" fillId="0" borderId="0" xfId="0" quotePrefix="1" applyFont="1"/>
    <xf numFmtId="0" fontId="15" fillId="0" borderId="75" xfId="0" applyFont="1" applyBorder="1"/>
    <xf numFmtId="0" fontId="6" fillId="22" borderId="0" xfId="0" quotePrefix="1" applyFont="1" applyFill="1"/>
    <xf numFmtId="168" fontId="4" fillId="0" borderId="71" xfId="0" applyNumberFormat="1" applyFont="1" applyBorder="1" applyAlignment="1">
      <alignment horizontal="right"/>
    </xf>
    <xf numFmtId="168" fontId="4" fillId="0" borderId="134" xfId="0" applyNumberFormat="1" applyFont="1" applyBorder="1" applyAlignment="1">
      <alignment horizontal="right"/>
    </xf>
    <xf numFmtId="0" fontId="35" fillId="3" borderId="135" xfId="0" applyFont="1" applyFill="1" applyBorder="1" applyAlignment="1">
      <alignment horizontal="center"/>
    </xf>
    <xf numFmtId="0" fontId="35" fillId="0" borderId="78" xfId="0" applyFont="1" applyBorder="1" applyAlignment="1">
      <alignment horizontal="center"/>
    </xf>
    <xf numFmtId="0" fontId="6" fillId="23" borderId="71" xfId="0" applyFont="1" applyFill="1" applyBorder="1" applyAlignment="1">
      <alignment horizontal="center" wrapText="1"/>
    </xf>
    <xf numFmtId="0" fontId="6" fillId="0" borderId="115" xfId="0" applyFont="1" applyBorder="1" applyAlignment="1">
      <alignment horizontal="center" wrapText="1"/>
    </xf>
    <xf numFmtId="0" fontId="6" fillId="0" borderId="72" xfId="0" applyFont="1" applyBorder="1" applyAlignment="1">
      <alignment horizontal="center" wrapText="1"/>
    </xf>
    <xf numFmtId="44" fontId="7" fillId="0" borderId="106" xfId="0" applyNumberFormat="1" applyFont="1" applyBorder="1" applyAlignment="1">
      <alignment horizontal="center"/>
    </xf>
    <xf numFmtId="44" fontId="7" fillId="0" borderId="74" xfId="0" applyNumberFormat="1" applyFont="1" applyBorder="1" applyAlignment="1">
      <alignment horizontal="center"/>
    </xf>
    <xf numFmtId="44" fontId="7" fillId="0" borderId="99" xfId="0" applyNumberFormat="1" applyFont="1" applyBorder="1" applyAlignment="1">
      <alignment horizontal="center"/>
    </xf>
    <xf numFmtId="44" fontId="7" fillId="0" borderId="91" xfId="0" applyNumberFormat="1" applyFont="1" applyBorder="1" applyAlignment="1">
      <alignment horizontal="center"/>
    </xf>
    <xf numFmtId="44" fontId="7" fillId="0" borderId="90" xfId="0" applyNumberFormat="1" applyFont="1" applyBorder="1" applyAlignment="1">
      <alignment horizontal="center"/>
    </xf>
    <xf numFmtId="44" fontId="7" fillId="0" borderId="76" xfId="0" applyNumberFormat="1" applyFont="1" applyBorder="1" applyAlignment="1">
      <alignment horizontal="center"/>
    </xf>
    <xf numFmtId="44" fontId="7" fillId="0" borderId="80" xfId="0" applyNumberFormat="1" applyFont="1" applyBorder="1" applyAlignment="1">
      <alignment horizontal="center"/>
    </xf>
    <xf numFmtId="44" fontId="7" fillId="24" borderId="110" xfId="0" applyNumberFormat="1" applyFont="1" applyFill="1" applyBorder="1" applyAlignment="1">
      <alignment horizontal="center"/>
    </xf>
    <xf numFmtId="44" fontId="7" fillId="0" borderId="109" xfId="0" applyNumberFormat="1" applyFont="1" applyBorder="1" applyAlignment="1">
      <alignment horizontal="center"/>
    </xf>
    <xf numFmtId="44" fontId="7" fillId="0" borderId="94" xfId="0" applyNumberFormat="1" applyFont="1" applyBorder="1" applyAlignment="1">
      <alignment horizontal="center"/>
    </xf>
    <xf numFmtId="0" fontId="1" fillId="3" borderId="60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9" fontId="4" fillId="0" borderId="36" xfId="0" applyNumberFormat="1" applyFont="1" applyBorder="1" applyAlignment="1">
      <alignment horizontal="center"/>
    </xf>
    <xf numFmtId="44" fontId="4" fillId="22" borderId="0" xfId="0" applyNumberFormat="1" applyFont="1" applyFill="1"/>
    <xf numFmtId="0" fontId="6" fillId="13" borderId="98" xfId="0" applyFont="1" applyFill="1" applyBorder="1" applyAlignment="1">
      <alignment horizontal="center" wrapText="1"/>
    </xf>
    <xf numFmtId="0" fontId="6" fillId="13" borderId="72" xfId="0" applyFont="1" applyFill="1" applyBorder="1" applyAlignment="1">
      <alignment horizontal="center" wrapText="1"/>
    </xf>
    <xf numFmtId="44" fontId="4" fillId="0" borderId="49" xfId="0" applyNumberFormat="1" applyFont="1" applyBorder="1"/>
    <xf numFmtId="0" fontId="35" fillId="0" borderId="0" xfId="0" applyFont="1"/>
    <xf numFmtId="0" fontId="7" fillId="0" borderId="0" xfId="0" applyFont="1" applyAlignment="1">
      <alignment horizontal="center"/>
    </xf>
    <xf numFmtId="0" fontId="7" fillId="21" borderId="36" xfId="0" applyFont="1" applyFill="1" applyBorder="1"/>
    <xf numFmtId="169" fontId="7" fillId="0" borderId="36" xfId="0" applyNumberFormat="1" applyFont="1" applyBorder="1" applyAlignment="1">
      <alignment horizontal="center"/>
    </xf>
    <xf numFmtId="10" fontId="7" fillId="0" borderId="36" xfId="0" applyNumberFormat="1" applyFont="1" applyBorder="1" applyAlignment="1">
      <alignment horizontal="center"/>
    </xf>
    <xf numFmtId="0" fontId="37" fillId="0" borderId="0" xfId="0" applyFont="1"/>
    <xf numFmtId="0" fontId="38" fillId="0" borderId="0" xfId="0" applyFont="1"/>
    <xf numFmtId="9" fontId="37" fillId="0" borderId="0" xfId="0" applyNumberFormat="1" applyFont="1"/>
    <xf numFmtId="168" fontId="37" fillId="0" borderId="0" xfId="0" applyNumberFormat="1" applyFont="1"/>
    <xf numFmtId="0" fontId="37" fillId="0" borderId="0" xfId="0" quotePrefix="1" applyFont="1" applyAlignment="1">
      <alignment horizontal="center"/>
    </xf>
    <xf numFmtId="0" fontId="37" fillId="0" borderId="64" xfId="0" applyFont="1" applyBorder="1"/>
    <xf numFmtId="0" fontId="37" fillId="0" borderId="0" xfId="0" applyFont="1" applyAlignment="1">
      <alignment horizontal="center"/>
    </xf>
    <xf numFmtId="0" fontId="40" fillId="0" borderId="137" xfId="0" applyFont="1" applyBorder="1"/>
    <xf numFmtId="0" fontId="41" fillId="0" borderId="138" xfId="0" quotePrefix="1" applyFont="1" applyBorder="1" applyAlignment="1">
      <alignment horizontal="center"/>
    </xf>
    <xf numFmtId="0" fontId="41" fillId="0" borderId="139" xfId="0" applyFont="1" applyBorder="1"/>
    <xf numFmtId="0" fontId="41" fillId="0" borderId="138" xfId="0" applyFont="1" applyBorder="1"/>
    <xf numFmtId="0" fontId="41" fillId="0" borderId="140" xfId="0" applyFont="1" applyBorder="1"/>
    <xf numFmtId="0" fontId="40" fillId="0" borderId="141" xfId="0" applyFont="1" applyBorder="1"/>
    <xf numFmtId="0" fontId="41" fillId="0" borderId="142" xfId="0" applyFont="1" applyBorder="1"/>
    <xf numFmtId="0" fontId="41" fillId="0" borderId="143" xfId="0" applyFont="1" applyBorder="1"/>
    <xf numFmtId="0" fontId="39" fillId="22" borderId="0" xfId="0" applyFont="1" applyFill="1"/>
    <xf numFmtId="0" fontId="39" fillId="0" borderId="0" xfId="0" quotePrefix="1" applyFont="1"/>
    <xf numFmtId="4" fontId="4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4" fontId="4" fillId="0" borderId="0" xfId="0" applyNumberFormat="1" applyFont="1"/>
    <xf numFmtId="44" fontId="4" fillId="0" borderId="136" xfId="0" applyNumberFormat="1" applyFont="1" applyBorder="1" applyAlignment="1">
      <alignment horizontal="center"/>
    </xf>
    <xf numFmtId="44" fontId="4" fillId="26" borderId="80" xfId="0" applyNumberFormat="1" applyFont="1" applyFill="1" applyBorder="1" applyAlignment="1">
      <alignment horizontal="center"/>
    </xf>
    <xf numFmtId="44" fontId="4" fillId="0" borderId="58" xfId="0" applyNumberFormat="1" applyFont="1" applyBorder="1" applyAlignment="1">
      <alignment horizontal="center"/>
    </xf>
    <xf numFmtId="0" fontId="39" fillId="25" borderId="0" xfId="0" quotePrefix="1" applyFont="1" applyFill="1" applyAlignment="1">
      <alignment horizontal="left"/>
    </xf>
    <xf numFmtId="0" fontId="42" fillId="0" borderId="0" xfId="0" applyFont="1" applyAlignment="1">
      <alignment horizontal="right"/>
    </xf>
    <xf numFmtId="44" fontId="7" fillId="27" borderId="110" xfId="0" applyNumberFormat="1" applyFont="1" applyFill="1" applyBorder="1" applyAlignment="1">
      <alignment horizontal="center"/>
    </xf>
    <xf numFmtId="0" fontId="7" fillId="11" borderId="36" xfId="0" applyFont="1" applyFill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3" fillId="2" borderId="19" xfId="0" applyFont="1" applyFill="1" applyBorder="1" applyAlignment="1">
      <alignment horizontal="left"/>
    </xf>
    <xf numFmtId="0" fontId="2" fillId="0" borderId="17" xfId="0" applyFont="1" applyBorder="1"/>
    <xf numFmtId="0" fontId="2" fillId="0" borderId="20" xfId="0" applyFont="1" applyBorder="1"/>
    <xf numFmtId="0" fontId="5" fillId="2" borderId="19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3" fillId="2" borderId="24" xfId="0" applyFont="1" applyFill="1" applyBorder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3" fillId="2" borderId="27" xfId="0" applyFont="1" applyFill="1" applyBorder="1" applyAlignment="1">
      <alignment horizontal="center"/>
    </xf>
    <xf numFmtId="0" fontId="2" fillId="0" borderId="28" xfId="0" applyFont="1" applyBorder="1"/>
    <xf numFmtId="0" fontId="3" fillId="2" borderId="1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top"/>
    </xf>
    <xf numFmtId="0" fontId="2" fillId="0" borderId="15" xfId="0" applyFont="1" applyBorder="1"/>
    <xf numFmtId="0" fontId="1" fillId="2" borderId="8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2" fillId="0" borderId="2" xfId="0" applyFont="1" applyBorder="1"/>
    <xf numFmtId="0" fontId="2" fillId="0" borderId="32" xfId="0" applyFont="1" applyBorder="1"/>
    <xf numFmtId="0" fontId="5" fillId="2" borderId="30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9" xfId="0" applyFont="1" applyBorder="1"/>
    <xf numFmtId="0" fontId="3" fillId="2" borderId="14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 vertical="center"/>
    </xf>
    <xf numFmtId="0" fontId="2" fillId="0" borderId="18" xfId="0" applyFont="1" applyBorder="1"/>
    <xf numFmtId="0" fontId="1" fillId="2" borderId="1" xfId="0" applyFont="1" applyFill="1" applyBorder="1" applyAlignment="1">
      <alignment horizontal="left" vertical="top"/>
    </xf>
    <xf numFmtId="0" fontId="3" fillId="2" borderId="16" xfId="0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left" vertical="top"/>
    </xf>
    <xf numFmtId="0" fontId="5" fillId="2" borderId="24" xfId="0" applyFont="1" applyFill="1" applyBorder="1" applyAlignment="1">
      <alignment horizontal="left" vertical="top"/>
    </xf>
    <xf numFmtId="0" fontId="5" fillId="2" borderId="24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top"/>
    </xf>
    <xf numFmtId="0" fontId="5" fillId="2" borderId="16" xfId="0" applyFont="1" applyFill="1" applyBorder="1" applyAlignment="1">
      <alignment horizontal="center" vertical="top"/>
    </xf>
    <xf numFmtId="0" fontId="5" fillId="2" borderId="2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0" borderId="3" xfId="0" applyFont="1" applyBorder="1"/>
    <xf numFmtId="0" fontId="3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2" borderId="8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top"/>
    </xf>
    <xf numFmtId="0" fontId="6" fillId="5" borderId="42" xfId="0" applyFont="1" applyFill="1" applyBorder="1" applyAlignment="1">
      <alignment horizontal="center" vertical="center" wrapText="1"/>
    </xf>
    <xf numFmtId="0" fontId="2" fillId="0" borderId="45" xfId="0" applyFont="1" applyBorder="1"/>
    <xf numFmtId="0" fontId="6" fillId="5" borderId="37" xfId="0" applyFont="1" applyFill="1" applyBorder="1" applyAlignment="1">
      <alignment horizontal="center" vertical="center"/>
    </xf>
    <xf numFmtId="0" fontId="2" fillId="0" borderId="38" xfId="0" applyFont="1" applyBorder="1"/>
    <xf numFmtId="0" fontId="2" fillId="0" borderId="43" xfId="0" applyFont="1" applyBorder="1"/>
    <xf numFmtId="0" fontId="2" fillId="0" borderId="35" xfId="0" applyFont="1" applyBorder="1"/>
    <xf numFmtId="0" fontId="7" fillId="0" borderId="51" xfId="0" applyFont="1" applyBorder="1" applyAlignment="1">
      <alignment horizontal="center"/>
    </xf>
    <xf numFmtId="0" fontId="2" fillId="0" borderId="52" xfId="0" applyFont="1" applyBorder="1"/>
    <xf numFmtId="0" fontId="6" fillId="4" borderId="14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2" fillId="0" borderId="34" xfId="0" applyFont="1" applyBorder="1"/>
    <xf numFmtId="0" fontId="6" fillId="6" borderId="24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6" fillId="5" borderId="40" xfId="0" applyFont="1" applyFill="1" applyBorder="1" applyAlignment="1">
      <alignment horizontal="center"/>
    </xf>
    <xf numFmtId="0" fontId="2" fillId="0" borderId="41" xfId="0" applyFont="1" applyBorder="1"/>
    <xf numFmtId="0" fontId="6" fillId="4" borderId="14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 wrapText="1"/>
    </xf>
    <xf numFmtId="0" fontId="2" fillId="0" borderId="56" xfId="0" applyFont="1" applyBorder="1"/>
    <xf numFmtId="0" fontId="4" fillId="0" borderId="24" xfId="0" applyFont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0" fontId="6" fillId="0" borderId="24" xfId="0" applyFont="1" applyBorder="1" applyAlignment="1">
      <alignment horizontal="right"/>
    </xf>
    <xf numFmtId="0" fontId="6" fillId="0" borderId="24" xfId="0" applyFont="1" applyBorder="1" applyAlignment="1">
      <alignment horizontal="center"/>
    </xf>
    <xf numFmtId="0" fontId="14" fillId="5" borderId="24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6" fillId="0" borderId="2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4" fillId="10" borderId="2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22" fillId="14" borderId="49" xfId="0" applyFont="1" applyFill="1" applyBorder="1" applyAlignment="1">
      <alignment horizontal="center" vertical="center"/>
    </xf>
    <xf numFmtId="0" fontId="2" fillId="0" borderId="62" xfId="0" applyFont="1" applyBorder="1"/>
    <xf numFmtId="0" fontId="26" fillId="12" borderId="49" xfId="0" applyFont="1" applyFill="1" applyBorder="1" applyAlignment="1">
      <alignment horizontal="center" vertical="center"/>
    </xf>
    <xf numFmtId="0" fontId="26" fillId="12" borderId="24" xfId="0" applyFont="1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14" fillId="0" borderId="0" xfId="0" applyFont="1"/>
    <xf numFmtId="0" fontId="6" fillId="5" borderId="67" xfId="0" applyFont="1" applyFill="1" applyBorder="1" applyAlignment="1">
      <alignment horizontal="center"/>
    </xf>
    <xf numFmtId="0" fontId="2" fillId="0" borderId="68" xfId="0" applyFont="1" applyBorder="1"/>
    <xf numFmtId="0" fontId="2" fillId="0" borderId="69" xfId="0" applyFont="1" applyBorder="1"/>
    <xf numFmtId="0" fontId="2" fillId="0" borderId="78" xfId="0" applyFont="1" applyBorder="1"/>
    <xf numFmtId="0" fontId="7" fillId="12" borderId="24" xfId="0" applyFont="1" applyFill="1" applyBorder="1" applyAlignment="1">
      <alignment horizontal="center"/>
    </xf>
    <xf numFmtId="0" fontId="7" fillId="0" borderId="0" xfId="0" applyFont="1"/>
    <xf numFmtId="0" fontId="6" fillId="13" borderId="24" xfId="0" applyFont="1" applyFill="1" applyBorder="1" applyAlignment="1">
      <alignment horizontal="center"/>
    </xf>
    <xf numFmtId="0" fontId="28" fillId="5" borderId="81" xfId="0" applyFont="1" applyFill="1" applyBorder="1" applyAlignment="1">
      <alignment horizontal="center"/>
    </xf>
    <xf numFmtId="0" fontId="6" fillId="5" borderId="82" xfId="0" applyFont="1" applyFill="1" applyBorder="1" applyAlignment="1">
      <alignment horizontal="center"/>
    </xf>
    <xf numFmtId="0" fontId="2" fillId="0" borderId="83" xfId="0" applyFont="1" applyBorder="1"/>
    <xf numFmtId="0" fontId="2" fillId="0" borderId="84" xfId="0" applyFont="1" applyBorder="1"/>
    <xf numFmtId="0" fontId="2" fillId="0" borderId="90" xfId="0" applyFont="1" applyBorder="1"/>
    <xf numFmtId="171" fontId="6" fillId="5" borderId="67" xfId="0" applyNumberFormat="1" applyFont="1" applyFill="1" applyBorder="1" applyAlignment="1">
      <alignment horizontal="center"/>
    </xf>
    <xf numFmtId="0" fontId="28" fillId="5" borderId="95" xfId="0" applyFont="1" applyFill="1" applyBorder="1" applyAlignment="1">
      <alignment horizontal="center"/>
    </xf>
    <xf numFmtId="0" fontId="2" fillId="0" borderId="96" xfId="0" applyFont="1" applyBorder="1"/>
    <xf numFmtId="0" fontId="2" fillId="0" borderId="97" xfId="0" applyFont="1" applyBorder="1"/>
    <xf numFmtId="0" fontId="28" fillId="0" borderId="81" xfId="0" applyFont="1" applyBorder="1" applyAlignment="1">
      <alignment horizontal="center"/>
    </xf>
    <xf numFmtId="0" fontId="28" fillId="12" borderId="103" xfId="0" applyFont="1" applyFill="1" applyBorder="1" applyAlignment="1">
      <alignment horizontal="center"/>
    </xf>
    <xf numFmtId="0" fontId="28" fillId="12" borderId="81" xfId="0" applyFont="1" applyFill="1" applyBorder="1" applyAlignment="1">
      <alignment horizontal="center"/>
    </xf>
    <xf numFmtId="0" fontId="6" fillId="13" borderId="49" xfId="0" applyFont="1" applyFill="1" applyBorder="1" applyAlignment="1">
      <alignment horizontal="center" vertical="center"/>
    </xf>
    <xf numFmtId="0" fontId="6" fillId="13" borderId="82" xfId="0" applyFont="1" applyFill="1" applyBorder="1" applyAlignment="1">
      <alignment horizontal="center"/>
    </xf>
    <xf numFmtId="0" fontId="4" fillId="0" borderId="24" xfId="0" applyFont="1" applyBorder="1"/>
    <xf numFmtId="166" fontId="4" fillId="0" borderId="24" xfId="0" applyNumberFormat="1" applyFont="1" applyBorder="1" applyAlignment="1">
      <alignment horizontal="center"/>
    </xf>
    <xf numFmtId="0" fontId="36" fillId="13" borderId="49" xfId="0" applyFont="1" applyFill="1" applyBorder="1" applyAlignment="1">
      <alignment horizontal="center" vertical="center"/>
    </xf>
    <xf numFmtId="0" fontId="36" fillId="13" borderId="33" xfId="0" applyFont="1" applyFill="1" applyBorder="1" applyAlignment="1">
      <alignment horizontal="center" vertical="center"/>
    </xf>
    <xf numFmtId="0" fontId="2" fillId="0" borderId="130" xfId="0" applyFont="1" applyBorder="1"/>
    <xf numFmtId="0" fontId="36" fillId="13" borderId="4" xfId="0" applyFont="1" applyFill="1" applyBorder="1" applyAlignment="1">
      <alignment horizontal="center" vertical="center"/>
    </xf>
    <xf numFmtId="166" fontId="6" fillId="0" borderId="24" xfId="0" applyNumberFormat="1" applyFont="1" applyBorder="1" applyAlignment="1">
      <alignment horizontal="center"/>
    </xf>
    <xf numFmtId="0" fontId="28" fillId="13" borderId="103" xfId="0" applyFont="1" applyFill="1" applyBorder="1" applyAlignment="1">
      <alignment horizontal="center"/>
    </xf>
    <xf numFmtId="174" fontId="4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customschemas.google.com/relationships/workbookmetadata" Target="metadata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P.E. Año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Ventas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'DE-Costos'!$C$159:$C$174</c:f>
              <c:numCache>
                <c:formatCode>0.00%</c:formatCode>
                <c:ptCount val="16"/>
                <c:pt idx="0">
                  <c:v>0</c:v>
                </c:pt>
                <c:pt idx="1">
                  <c:v>6.6666666666666666E-2</c:v>
                </c:pt>
                <c:pt idx="2">
                  <c:v>0.13333333333333333</c:v>
                </c:pt>
                <c:pt idx="3">
                  <c:v>0.2</c:v>
                </c:pt>
                <c:pt idx="4">
                  <c:v>0.26666666666666666</c:v>
                </c:pt>
                <c:pt idx="5">
                  <c:v>0.33333333333333331</c:v>
                </c:pt>
                <c:pt idx="6">
                  <c:v>0.4</c:v>
                </c:pt>
                <c:pt idx="7">
                  <c:v>0.46666666666666667</c:v>
                </c:pt>
                <c:pt idx="8">
                  <c:v>0.53333333333333333</c:v>
                </c:pt>
                <c:pt idx="9">
                  <c:v>0.6</c:v>
                </c:pt>
                <c:pt idx="10">
                  <c:v>0.66666666666666663</c:v>
                </c:pt>
                <c:pt idx="11">
                  <c:v>0.73333333333333328</c:v>
                </c:pt>
                <c:pt idx="12">
                  <c:v>0.8</c:v>
                </c:pt>
                <c:pt idx="13">
                  <c:v>0.8666666666666667</c:v>
                </c:pt>
                <c:pt idx="14">
                  <c:v>0.93333333333333335</c:v>
                </c:pt>
                <c:pt idx="15">
                  <c:v>1</c:v>
                </c:pt>
              </c:numCache>
            </c:numRef>
          </c:cat>
          <c:val>
            <c:numRef>
              <c:f>'DE-Costos'!$D$159:$D$174</c:f>
              <c:numCache>
                <c:formatCode>[$ $]#,##0.00</c:formatCode>
                <c:ptCount val="16"/>
                <c:pt idx="0">
                  <c:v>0</c:v>
                </c:pt>
                <c:pt idx="1">
                  <c:v>131625000</c:v>
                </c:pt>
                <c:pt idx="2">
                  <c:v>263250000</c:v>
                </c:pt>
                <c:pt idx="3">
                  <c:v>394875000</c:v>
                </c:pt>
                <c:pt idx="4">
                  <c:v>526500000</c:v>
                </c:pt>
                <c:pt idx="5">
                  <c:v>658125000</c:v>
                </c:pt>
                <c:pt idx="6">
                  <c:v>789750000</c:v>
                </c:pt>
                <c:pt idx="7">
                  <c:v>921375000</c:v>
                </c:pt>
                <c:pt idx="8">
                  <c:v>1053000000</c:v>
                </c:pt>
                <c:pt idx="9">
                  <c:v>1184625000</c:v>
                </c:pt>
                <c:pt idx="10">
                  <c:v>1316250000</c:v>
                </c:pt>
                <c:pt idx="11">
                  <c:v>1447875000</c:v>
                </c:pt>
                <c:pt idx="12">
                  <c:v>1579500000</c:v>
                </c:pt>
                <c:pt idx="13">
                  <c:v>1711125000</c:v>
                </c:pt>
                <c:pt idx="14">
                  <c:v>1842750000</c:v>
                </c:pt>
                <c:pt idx="15">
                  <c:v>1974375000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B-4F3D-88F6-99ABBB3E250D}"/>
            </c:ext>
          </c:extLst>
        </c:ser>
        <c:ser>
          <c:idx val="1"/>
          <c:order val="1"/>
          <c:tx>
            <c:v>Costo Total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'DE-Costos'!$C$159:$C$174</c:f>
              <c:numCache>
                <c:formatCode>0.00%</c:formatCode>
                <c:ptCount val="16"/>
                <c:pt idx="0">
                  <c:v>0</c:v>
                </c:pt>
                <c:pt idx="1">
                  <c:v>6.6666666666666666E-2</c:v>
                </c:pt>
                <c:pt idx="2">
                  <c:v>0.13333333333333333</c:v>
                </c:pt>
                <c:pt idx="3">
                  <c:v>0.2</c:v>
                </c:pt>
                <c:pt idx="4">
                  <c:v>0.26666666666666666</c:v>
                </c:pt>
                <c:pt idx="5">
                  <c:v>0.33333333333333331</c:v>
                </c:pt>
                <c:pt idx="6">
                  <c:v>0.4</c:v>
                </c:pt>
                <c:pt idx="7">
                  <c:v>0.46666666666666667</c:v>
                </c:pt>
                <c:pt idx="8">
                  <c:v>0.53333333333333333</c:v>
                </c:pt>
                <c:pt idx="9">
                  <c:v>0.6</c:v>
                </c:pt>
                <c:pt idx="10">
                  <c:v>0.66666666666666663</c:v>
                </c:pt>
                <c:pt idx="11">
                  <c:v>0.73333333333333328</c:v>
                </c:pt>
                <c:pt idx="12">
                  <c:v>0.8</c:v>
                </c:pt>
                <c:pt idx="13">
                  <c:v>0.8666666666666667</c:v>
                </c:pt>
                <c:pt idx="14">
                  <c:v>0.93333333333333335</c:v>
                </c:pt>
                <c:pt idx="15">
                  <c:v>1</c:v>
                </c:pt>
              </c:numCache>
            </c:numRef>
          </c:cat>
          <c:val>
            <c:numRef>
              <c:f>'DE-Costos'!$E$159:$E$174</c:f>
              <c:numCache>
                <c:formatCode>_("$"* #,##0.00_);_("$"* \(#,##0.00\);_("$"* "-"??_);_(@_)</c:formatCode>
                <c:ptCount val="16"/>
                <c:pt idx="0">
                  <c:v>499165257.49987376</c:v>
                </c:pt>
                <c:pt idx="1">
                  <c:v>544379984.93941534</c:v>
                </c:pt>
                <c:pt idx="2">
                  <c:v>589594712.37895703</c:v>
                </c:pt>
                <c:pt idx="3">
                  <c:v>634809439.81849861</c:v>
                </c:pt>
                <c:pt idx="4">
                  <c:v>680024167.25804019</c:v>
                </c:pt>
                <c:pt idx="5">
                  <c:v>725238894.69758177</c:v>
                </c:pt>
                <c:pt idx="6">
                  <c:v>770453622.13712335</c:v>
                </c:pt>
                <c:pt idx="7">
                  <c:v>815668349.57666492</c:v>
                </c:pt>
                <c:pt idx="8">
                  <c:v>860883077.01620662</c:v>
                </c:pt>
                <c:pt idx="9">
                  <c:v>906097804.4557482</c:v>
                </c:pt>
                <c:pt idx="10">
                  <c:v>951312531.89528978</c:v>
                </c:pt>
                <c:pt idx="11">
                  <c:v>996527259.33483148</c:v>
                </c:pt>
                <c:pt idx="12">
                  <c:v>1041741986.7743731</c:v>
                </c:pt>
                <c:pt idx="13">
                  <c:v>1086956714.2139146</c:v>
                </c:pt>
                <c:pt idx="14">
                  <c:v>1132171441.6534562</c:v>
                </c:pt>
                <c:pt idx="15">
                  <c:v>1177386169.0929978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B-4F3D-88F6-99ABBB3E2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591462"/>
        <c:axId val="942319052"/>
      </c:lineChart>
      <c:catAx>
        <c:axId val="2018591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2319052"/>
        <c:crosses val="autoZero"/>
        <c:auto val="1"/>
        <c:lblAlgn val="ctr"/>
        <c:lblOffset val="100"/>
        <c:noMultiLvlLbl val="1"/>
      </c:catAx>
      <c:valAx>
        <c:axId val="942319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859146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P.E. Año 10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Ventas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'DE-Costos'!$C$197:$C$217</c:f>
              <c:numCache>
                <c:formatCode>0.00%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'DE-Costos'!$D$197:$D$217</c:f>
              <c:numCache>
                <c:formatCode>[$ $]#,##0.00</c:formatCode>
                <c:ptCount val="21"/>
                <c:pt idx="0">
                  <c:v>0</c:v>
                </c:pt>
                <c:pt idx="1">
                  <c:v>146250000</c:v>
                </c:pt>
                <c:pt idx="2">
                  <c:v>292500000</c:v>
                </c:pt>
                <c:pt idx="3">
                  <c:v>438750000</c:v>
                </c:pt>
                <c:pt idx="4">
                  <c:v>585000000</c:v>
                </c:pt>
                <c:pt idx="5">
                  <c:v>731250000</c:v>
                </c:pt>
                <c:pt idx="6">
                  <c:v>877500000</c:v>
                </c:pt>
                <c:pt idx="7">
                  <c:v>1023750000</c:v>
                </c:pt>
                <c:pt idx="8">
                  <c:v>1170000000</c:v>
                </c:pt>
                <c:pt idx="9">
                  <c:v>1316250000</c:v>
                </c:pt>
                <c:pt idx="10">
                  <c:v>1462500000</c:v>
                </c:pt>
                <c:pt idx="11">
                  <c:v>1608750000</c:v>
                </c:pt>
                <c:pt idx="12">
                  <c:v>1755000000</c:v>
                </c:pt>
                <c:pt idx="13">
                  <c:v>1901250000</c:v>
                </c:pt>
                <c:pt idx="14">
                  <c:v>2047500000</c:v>
                </c:pt>
                <c:pt idx="15">
                  <c:v>2193750000</c:v>
                </c:pt>
                <c:pt idx="16">
                  <c:v>2340000000</c:v>
                </c:pt>
                <c:pt idx="17">
                  <c:v>2486250000</c:v>
                </c:pt>
                <c:pt idx="18">
                  <c:v>2632500000</c:v>
                </c:pt>
                <c:pt idx="19">
                  <c:v>2778750000</c:v>
                </c:pt>
                <c:pt idx="20">
                  <c:v>2925000000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4-4537-95C8-3FAEE2E12F9C}"/>
            </c:ext>
          </c:extLst>
        </c:ser>
        <c:ser>
          <c:idx val="1"/>
          <c:order val="1"/>
          <c:tx>
            <c:v>Costo Total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'DE-Costos'!$C$197:$C$217</c:f>
              <c:numCache>
                <c:formatCode>0.00%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cat>
          <c:val>
            <c:numRef>
              <c:f>'DE-Costos'!$E$197:$E$217</c:f>
              <c:numCache>
                <c:formatCode>_("$"* #,##0.00_);_("$"* \(#,##0.00\);_("$"* "-"??_);_(@_)</c:formatCode>
                <c:ptCount val="21"/>
                <c:pt idx="0">
                  <c:v>504666014.87643725</c:v>
                </c:pt>
                <c:pt idx="1">
                  <c:v>546933162.14359343</c:v>
                </c:pt>
                <c:pt idx="2">
                  <c:v>589200309.41074967</c:v>
                </c:pt>
                <c:pt idx="3">
                  <c:v>631467456.67790592</c:v>
                </c:pt>
                <c:pt idx="4">
                  <c:v>673734603.94506204</c:v>
                </c:pt>
                <c:pt idx="5">
                  <c:v>716001751.21221828</c:v>
                </c:pt>
                <c:pt idx="6">
                  <c:v>758268898.47937453</c:v>
                </c:pt>
                <c:pt idx="7">
                  <c:v>800536045.74653077</c:v>
                </c:pt>
                <c:pt idx="8">
                  <c:v>842803193.0136869</c:v>
                </c:pt>
                <c:pt idx="9">
                  <c:v>885070340.28084314</c:v>
                </c:pt>
                <c:pt idx="10">
                  <c:v>927337487.54799938</c:v>
                </c:pt>
                <c:pt idx="11">
                  <c:v>969604634.81515551</c:v>
                </c:pt>
                <c:pt idx="12">
                  <c:v>1011871782.0823117</c:v>
                </c:pt>
                <c:pt idx="13">
                  <c:v>1054138929.349468</c:v>
                </c:pt>
                <c:pt idx="14">
                  <c:v>1096406076.6166241</c:v>
                </c:pt>
                <c:pt idx="15">
                  <c:v>1138673223.8837805</c:v>
                </c:pt>
                <c:pt idx="16">
                  <c:v>1180940371.1509366</c:v>
                </c:pt>
                <c:pt idx="17">
                  <c:v>1223207518.4180927</c:v>
                </c:pt>
                <c:pt idx="18">
                  <c:v>1265474665.6852491</c:v>
                </c:pt>
                <c:pt idx="19">
                  <c:v>1307741812.9524052</c:v>
                </c:pt>
                <c:pt idx="20">
                  <c:v>1350008960.2195613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4-4537-95C8-3FAEE2E12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655864"/>
        <c:axId val="1803586033"/>
      </c:lineChart>
      <c:catAx>
        <c:axId val="1131655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3586033"/>
        <c:crosses val="autoZero"/>
        <c:auto val="1"/>
        <c:lblAlgn val="ctr"/>
        <c:lblOffset val="100"/>
        <c:noMultiLvlLbl val="1"/>
      </c:catAx>
      <c:valAx>
        <c:axId val="1803586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16558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609600</xdr:colOff>
      <xdr:row>0</xdr:row>
      <xdr:rowOff>0</xdr:rowOff>
    </xdr:from>
    <xdr:ext cx="2057400" cy="733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17</xdr:row>
      <xdr:rowOff>142875</xdr:rowOff>
    </xdr:from>
    <xdr:ext cx="5314950" cy="27813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36</xdr:row>
      <xdr:rowOff>19050</xdr:rowOff>
    </xdr:from>
    <xdr:ext cx="5781675" cy="35623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476250</xdr:colOff>
      <xdr:row>9</xdr:row>
      <xdr:rowOff>133350</xdr:rowOff>
    </xdr:from>
    <xdr:ext cx="6953250" cy="102870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905875" y="1590675"/>
          <a:ext cx="6953250" cy="1028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962025</xdr:colOff>
      <xdr:row>157</xdr:row>
      <xdr:rowOff>47625</xdr:rowOff>
    </xdr:from>
    <xdr:ext cx="9906000" cy="3886200"/>
    <xdr:graphicFrame macro="">
      <xdr:nvGraphicFramePr>
        <xdr:cNvPr id="1166778087" name="Chart 1" title="Chart">
          <a:extLst>
            <a:ext uri="{FF2B5EF4-FFF2-40B4-BE49-F238E27FC236}">
              <a16:creationId xmlns:a16="http://schemas.microsoft.com/office/drawing/2014/main" id="{00000000-0008-0000-1100-0000E79E8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1247775</xdr:colOff>
      <xdr:row>194</xdr:row>
      <xdr:rowOff>28575</xdr:rowOff>
    </xdr:from>
    <xdr:ext cx="9934575" cy="4867275"/>
    <xdr:graphicFrame macro="">
      <xdr:nvGraphicFramePr>
        <xdr:cNvPr id="527733043" name="Chart 2" title="Chart">
          <a:extLst>
            <a:ext uri="{FF2B5EF4-FFF2-40B4-BE49-F238E27FC236}">
              <a16:creationId xmlns:a16="http://schemas.microsoft.com/office/drawing/2014/main" id="{00000000-0008-0000-1100-000033917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1162050</xdr:colOff>
      <xdr:row>155</xdr:row>
      <xdr:rowOff>133350</xdr:rowOff>
    </xdr:from>
    <xdr:ext cx="11591925" cy="401955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1257300</xdr:colOff>
      <xdr:row>194</xdr:row>
      <xdr:rowOff>9525</xdr:rowOff>
    </xdr:from>
    <xdr:ext cx="11239500" cy="46958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1762125</xdr:colOff>
      <xdr:row>89</xdr:row>
      <xdr:rowOff>47625</xdr:rowOff>
    </xdr:from>
    <xdr:ext cx="8315325" cy="31432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1181100</xdr:colOff>
      <xdr:row>83</xdr:row>
      <xdr:rowOff>38100</xdr:rowOff>
    </xdr:from>
    <xdr:ext cx="8258175" cy="4267200"/>
    <xdr:pic>
      <xdr:nvPicPr>
        <xdr:cNvPr id="3" name="image8.png" title="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361950</xdr:colOff>
      <xdr:row>8</xdr:row>
      <xdr:rowOff>76200</xdr:rowOff>
    </xdr:from>
    <xdr:ext cx="4733925" cy="2905125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8</xdr:row>
      <xdr:rowOff>76200</xdr:rowOff>
    </xdr:from>
    <xdr:ext cx="4914900" cy="2971800"/>
    <xdr:pic>
      <xdr:nvPicPr>
        <xdr:cNvPr id="3" name="image11.png" title="Imagen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76200</xdr:rowOff>
    </xdr:from>
    <xdr:ext cx="4914900" cy="2971800"/>
    <xdr:pic>
      <xdr:nvPicPr>
        <xdr:cNvPr id="4" name="image12.png" title="Imagen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bolsadecereales.com/fob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om.ar/MLA-1297825597-bolsa-de-rafia-blanca-56x97-x50unidades-50-55kg-_J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moralesyasociados.com.ar/costo-de-constituir-una-srl-o-una-sa/" TargetMode="External"/><Relationship Id="rId7" Type="http://schemas.openxmlformats.org/officeDocument/2006/relationships/hyperlink" Target="https://articulo.mercadolibre.com.ar/MLA-1470630360-bomba-rs-932-15-mts-de-manguera-12-pulgada-hidroponia-_JM" TargetMode="External"/><Relationship Id="rId2" Type="http://schemas.openxmlformats.org/officeDocument/2006/relationships/hyperlink" Target="http://pa.bibdigital.ucc.edu.ar/3437/1/TM_Bruera%20%282%29.pdf" TargetMode="External"/><Relationship Id="rId1" Type="http://schemas.openxmlformats.org/officeDocument/2006/relationships/hyperlink" Target="https://inmueble.mercadolibre.com.ar/MLA-1411251467-2500-m2-pacheco-sobre-4200-m2-de-terreno-ubicado-a-300-mts-de-au-panamericana-_JM" TargetMode="External"/><Relationship Id="rId6" Type="http://schemas.openxmlformats.org/officeDocument/2006/relationships/hyperlink" Target="https://www.mercadolibre.com.ar/tubo-de-pvc-cano-rigido-semipesado-20mm-34-genrod-x37-tiras/p/MLA29106841" TargetMode="External"/><Relationship Id="rId5" Type="http://schemas.openxmlformats.org/officeDocument/2006/relationships/hyperlink" Target="https://articulo.mercadolibre.com.ar/MLA-1142588105-pallet-madera-normalizados-_JM?searchVariation=174645647545" TargetMode="External"/><Relationship Id="rId4" Type="http://schemas.openxmlformats.org/officeDocument/2006/relationships/hyperlink" Target="https://www.uoyepweb.org.ar/escala-salarial/" TargetMode="External"/><Relationship Id="rId9" Type="http://schemas.openxmlformats.org/officeDocument/2006/relationships/comments" Target="../comments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gnacioonline.com.ar/categorias-empleados-de-comercio-de-comercio-cct-130-75/" TargetMode="External"/><Relationship Id="rId2" Type="http://schemas.openxmlformats.org/officeDocument/2006/relationships/hyperlink" Target="https://www.argentina.gob.ar/transporte/cnrt/transparencia/escalas-salariales" TargetMode="External"/><Relationship Id="rId1" Type="http://schemas.openxmlformats.org/officeDocument/2006/relationships/hyperlink" Target="https://www.boletinoficial.gob.ar/detalleAviso/primera/308813/20240607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"/>
  <sheetViews>
    <sheetView workbookViewId="0">
      <selection sqref="A1:J1"/>
    </sheetView>
  </sheetViews>
  <sheetFormatPr baseColWidth="10" defaultColWidth="12.5703125" defaultRowHeight="15" customHeight="1"/>
  <cols>
    <col min="4" max="4" width="0.42578125" customWidth="1"/>
    <col min="6" max="6" width="0.42578125" customWidth="1"/>
    <col min="7" max="7" width="11.42578125" customWidth="1"/>
    <col min="8" max="8" width="9.42578125" customWidth="1"/>
    <col min="9" max="9" width="1.42578125" customWidth="1"/>
    <col min="10" max="10" width="2.5703125" customWidth="1"/>
    <col min="11" max="11" width="8.7109375" customWidth="1"/>
    <col min="12" max="12" width="0.42578125" customWidth="1"/>
    <col min="13" max="13" width="10.28515625" customWidth="1"/>
    <col min="14" max="14" width="0.42578125" customWidth="1"/>
    <col min="15" max="15" width="7.7109375" customWidth="1"/>
    <col min="16" max="16" width="5.28515625" customWidth="1"/>
    <col min="18" max="18" width="4.42578125" customWidth="1"/>
    <col min="19" max="19" width="0.42578125" customWidth="1"/>
    <col min="20" max="20" width="6.5703125" customWidth="1"/>
    <col min="21" max="21" width="6.85546875" customWidth="1"/>
    <col min="23" max="23" width="0.42578125" customWidth="1"/>
  </cols>
  <sheetData>
    <row r="1" spans="1:26" ht="14.25">
      <c r="A1" s="559"/>
      <c r="B1" s="549"/>
      <c r="C1" s="549"/>
      <c r="D1" s="549"/>
      <c r="E1" s="549"/>
      <c r="F1" s="549"/>
      <c r="G1" s="549"/>
      <c r="H1" s="549"/>
      <c r="I1" s="549"/>
      <c r="J1" s="573"/>
      <c r="K1" s="574" t="s">
        <v>0</v>
      </c>
      <c r="L1" s="575"/>
      <c r="M1" s="575"/>
      <c r="N1" s="575"/>
      <c r="O1" s="575"/>
      <c r="P1" s="575"/>
      <c r="Q1" s="575"/>
      <c r="R1" s="575"/>
      <c r="S1" s="575"/>
      <c r="T1" s="575"/>
      <c r="U1" s="575"/>
      <c r="V1" s="575"/>
      <c r="W1" s="576"/>
      <c r="X1" s="1"/>
      <c r="Y1" s="1"/>
      <c r="Z1" s="1"/>
    </row>
    <row r="2" spans="1:26">
      <c r="A2" s="580" t="s">
        <v>1</v>
      </c>
      <c r="B2" s="537"/>
      <c r="C2" s="537"/>
      <c r="D2" s="537"/>
      <c r="E2" s="537"/>
      <c r="F2" s="537"/>
      <c r="G2" s="537"/>
      <c r="H2" s="537"/>
      <c r="I2" s="537"/>
      <c r="J2" s="538"/>
      <c r="K2" s="577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9"/>
      <c r="X2" s="1"/>
      <c r="Y2" s="1"/>
      <c r="Z2" s="1"/>
    </row>
    <row r="3" spans="1:26">
      <c r="A3" s="581" t="s">
        <v>2</v>
      </c>
      <c r="B3" s="537"/>
      <c r="C3" s="537"/>
      <c r="D3" s="537"/>
      <c r="E3" s="537"/>
      <c r="F3" s="537"/>
      <c r="G3" s="537"/>
      <c r="H3" s="537"/>
      <c r="I3" s="537"/>
      <c r="J3" s="537"/>
      <c r="K3" s="538"/>
      <c r="L3" s="582" t="s">
        <v>3</v>
      </c>
      <c r="M3" s="537"/>
      <c r="N3" s="537"/>
      <c r="O3" s="537"/>
      <c r="P3" s="537"/>
      <c r="Q3" s="537"/>
      <c r="R3" s="538"/>
      <c r="S3" s="582" t="s">
        <v>4</v>
      </c>
      <c r="T3" s="537"/>
      <c r="U3" s="537"/>
      <c r="V3" s="537"/>
      <c r="W3" s="546"/>
      <c r="X3" s="1"/>
      <c r="Y3" s="1"/>
      <c r="Z3" s="1"/>
    </row>
    <row r="4" spans="1:26">
      <c r="A4" s="569" t="s">
        <v>5</v>
      </c>
      <c r="B4" s="533"/>
      <c r="C4" s="533"/>
      <c r="D4" s="533"/>
      <c r="E4" s="533"/>
      <c r="F4" s="533"/>
      <c r="G4" s="533"/>
      <c r="H4" s="533"/>
      <c r="I4" s="533"/>
      <c r="J4" s="533"/>
      <c r="K4" s="558"/>
      <c r="L4" s="568">
        <v>32590</v>
      </c>
      <c r="M4" s="533"/>
      <c r="N4" s="533"/>
      <c r="O4" s="533"/>
      <c r="P4" s="533"/>
      <c r="Q4" s="533"/>
      <c r="R4" s="558"/>
      <c r="S4" s="568">
        <v>2024</v>
      </c>
      <c r="T4" s="533"/>
      <c r="U4" s="533"/>
      <c r="V4" s="533"/>
      <c r="W4" s="534"/>
      <c r="X4" s="1"/>
      <c r="Y4" s="1"/>
      <c r="Z4" s="1"/>
    </row>
    <row r="5" spans="1:26" ht="15" customHeight="1">
      <c r="A5" s="570" t="s">
        <v>6</v>
      </c>
      <c r="B5" s="532" t="s">
        <v>7</v>
      </c>
      <c r="C5" s="533"/>
      <c r="D5" s="534"/>
      <c r="E5" s="535" t="s">
        <v>8</v>
      </c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533"/>
      <c r="S5" s="534"/>
      <c r="T5" s="532" t="s">
        <v>9</v>
      </c>
      <c r="U5" s="533"/>
      <c r="V5" s="534"/>
      <c r="W5" s="2">
        <v>1504599</v>
      </c>
      <c r="X5" s="1"/>
      <c r="Y5" s="1"/>
      <c r="Z5" s="1"/>
    </row>
    <row r="6" spans="1:26" ht="15" customHeight="1">
      <c r="A6" s="552"/>
      <c r="B6" s="532" t="s">
        <v>7</v>
      </c>
      <c r="C6" s="533"/>
      <c r="D6" s="534"/>
      <c r="E6" s="535" t="s">
        <v>10</v>
      </c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4"/>
      <c r="T6" s="532" t="s">
        <v>11</v>
      </c>
      <c r="U6" s="533"/>
      <c r="V6" s="534"/>
      <c r="W6" s="2">
        <v>1779801</v>
      </c>
      <c r="X6" s="1"/>
      <c r="Y6" s="1"/>
      <c r="Z6" s="1"/>
    </row>
    <row r="7" spans="1:26" ht="15" customHeight="1">
      <c r="A7" s="552"/>
      <c r="B7" s="532" t="s">
        <v>7</v>
      </c>
      <c r="C7" s="533"/>
      <c r="D7" s="534"/>
      <c r="E7" s="535" t="s">
        <v>12</v>
      </c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 s="533"/>
      <c r="R7" s="533"/>
      <c r="S7" s="534"/>
      <c r="T7" s="532" t="s">
        <v>13</v>
      </c>
      <c r="U7" s="533"/>
      <c r="V7" s="534"/>
      <c r="W7" s="2">
        <v>1732766</v>
      </c>
      <c r="X7" s="1"/>
      <c r="Y7" s="1"/>
      <c r="Z7" s="1"/>
    </row>
    <row r="8" spans="1:26" ht="15" customHeight="1">
      <c r="A8" s="552"/>
      <c r="B8" s="532" t="s">
        <v>7</v>
      </c>
      <c r="C8" s="533"/>
      <c r="D8" s="534"/>
      <c r="E8" s="535" t="s">
        <v>14</v>
      </c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4"/>
      <c r="T8" s="532" t="s">
        <v>15</v>
      </c>
      <c r="U8" s="533"/>
      <c r="V8" s="534"/>
      <c r="W8" s="2">
        <v>1754439</v>
      </c>
      <c r="X8" s="1"/>
      <c r="Y8" s="1"/>
      <c r="Z8" s="1"/>
    </row>
    <row r="9" spans="1:26" ht="15" customHeight="1">
      <c r="A9" s="552"/>
      <c r="B9" s="532" t="s">
        <v>7</v>
      </c>
      <c r="C9" s="533"/>
      <c r="D9" s="534"/>
      <c r="E9" s="535" t="s">
        <v>16</v>
      </c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4"/>
      <c r="T9" s="532" t="s">
        <v>17</v>
      </c>
      <c r="U9" s="533"/>
      <c r="V9" s="534"/>
      <c r="W9" s="2">
        <v>1625196</v>
      </c>
      <c r="X9" s="1"/>
      <c r="Y9" s="1"/>
      <c r="Z9" s="1"/>
    </row>
    <row r="10" spans="1:26" ht="15" customHeight="1">
      <c r="A10" s="552"/>
      <c r="B10" s="536"/>
      <c r="C10" s="537"/>
      <c r="D10" s="537"/>
      <c r="E10" s="537"/>
      <c r="F10" s="537"/>
      <c r="G10" s="537"/>
      <c r="H10" s="537"/>
      <c r="I10" s="537"/>
      <c r="J10" s="537"/>
      <c r="K10" s="537"/>
      <c r="L10" s="537"/>
      <c r="M10" s="537"/>
      <c r="N10" s="538"/>
      <c r="O10" s="539" t="s">
        <v>18</v>
      </c>
      <c r="P10" s="540"/>
      <c r="Q10" s="541"/>
      <c r="R10" s="542" t="s">
        <v>19</v>
      </c>
      <c r="S10" s="540"/>
      <c r="T10" s="541"/>
      <c r="U10" s="542" t="s">
        <v>20</v>
      </c>
      <c r="V10" s="540"/>
      <c r="W10" s="543"/>
      <c r="X10" s="1"/>
      <c r="Y10" s="1"/>
      <c r="Z10" s="1"/>
    </row>
    <row r="11" spans="1:26" ht="15" customHeight="1">
      <c r="A11" s="553"/>
      <c r="B11" s="566"/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58"/>
      <c r="O11" s="572" t="s">
        <v>21</v>
      </c>
      <c r="P11" s="533"/>
      <c r="Q11" s="558"/>
      <c r="R11" s="571" t="s">
        <v>22</v>
      </c>
      <c r="S11" s="533"/>
      <c r="T11" s="558"/>
      <c r="U11" s="571">
        <v>10</v>
      </c>
      <c r="V11" s="533"/>
      <c r="W11" s="534"/>
      <c r="X11" s="1"/>
      <c r="Y11" s="1"/>
      <c r="Z11" s="1"/>
    </row>
    <row r="12" spans="1:26" ht="15" customHeight="1">
      <c r="A12" s="551" t="s">
        <v>23</v>
      </c>
      <c r="B12" s="554" t="s">
        <v>24</v>
      </c>
      <c r="C12" s="537"/>
      <c r="D12" s="537"/>
      <c r="E12" s="537"/>
      <c r="F12" s="537"/>
      <c r="G12" s="537"/>
      <c r="H12" s="538"/>
      <c r="I12" s="555" t="s">
        <v>25</v>
      </c>
      <c r="J12" s="549"/>
      <c r="K12" s="549"/>
      <c r="L12" s="549"/>
      <c r="M12" s="549"/>
      <c r="N12" s="549"/>
      <c r="O12" s="549"/>
      <c r="P12" s="549"/>
      <c r="Q12" s="549"/>
      <c r="R12" s="549"/>
      <c r="S12" s="549"/>
      <c r="T12" s="549"/>
      <c r="U12" s="549"/>
      <c r="V12" s="549"/>
      <c r="W12" s="550"/>
      <c r="X12" s="1"/>
      <c r="Y12" s="1"/>
      <c r="Z12" s="1"/>
    </row>
    <row r="13" spans="1:26" ht="15" customHeight="1">
      <c r="A13" s="552"/>
      <c r="B13" s="554" t="s">
        <v>26</v>
      </c>
      <c r="C13" s="537"/>
      <c r="D13" s="537"/>
      <c r="E13" s="537"/>
      <c r="F13" s="537"/>
      <c r="G13" s="537"/>
      <c r="H13" s="538"/>
      <c r="I13" s="556" t="s">
        <v>27</v>
      </c>
      <c r="J13" s="537"/>
      <c r="K13" s="537"/>
      <c r="L13" s="537"/>
      <c r="M13" s="537"/>
      <c r="N13" s="537"/>
      <c r="O13" s="537"/>
      <c r="P13" s="537"/>
      <c r="Q13" s="537"/>
      <c r="R13" s="537"/>
      <c r="S13" s="537"/>
      <c r="T13" s="537"/>
      <c r="U13" s="537"/>
      <c r="V13" s="537"/>
      <c r="W13" s="546"/>
      <c r="X13" s="1"/>
      <c r="Y13" s="1"/>
      <c r="Z13" s="1"/>
    </row>
    <row r="14" spans="1:26" ht="15" customHeight="1">
      <c r="A14" s="553"/>
      <c r="B14" s="557" t="s">
        <v>28</v>
      </c>
      <c r="C14" s="533"/>
      <c r="D14" s="533"/>
      <c r="E14" s="533"/>
      <c r="F14" s="533"/>
      <c r="G14" s="533"/>
      <c r="H14" s="558"/>
      <c r="I14" s="535" t="s">
        <v>29</v>
      </c>
      <c r="J14" s="533"/>
      <c r="K14" s="533"/>
      <c r="L14" s="533"/>
      <c r="M14" s="533"/>
      <c r="N14" s="533"/>
      <c r="O14" s="533"/>
      <c r="P14" s="533"/>
      <c r="Q14" s="533"/>
      <c r="R14" s="533"/>
      <c r="S14" s="533"/>
      <c r="T14" s="533"/>
      <c r="U14" s="533"/>
      <c r="V14" s="533"/>
      <c r="W14" s="534"/>
      <c r="X14" s="1"/>
      <c r="Y14" s="1"/>
      <c r="Z14" s="1"/>
    </row>
    <row r="15" spans="1:26" ht="14.25">
      <c r="A15" s="559" t="s">
        <v>30</v>
      </c>
      <c r="B15" s="549"/>
      <c r="C15" s="549"/>
      <c r="D15" s="549"/>
      <c r="E15" s="549"/>
      <c r="F15" s="549"/>
      <c r="G15" s="549"/>
      <c r="H15" s="549"/>
      <c r="I15" s="549"/>
      <c r="J15" s="549"/>
      <c r="K15" s="549"/>
      <c r="L15" s="549"/>
      <c r="M15" s="549"/>
      <c r="N15" s="549"/>
      <c r="O15" s="549"/>
      <c r="P15" s="549"/>
      <c r="Q15" s="549"/>
      <c r="R15" s="549"/>
      <c r="S15" s="549"/>
      <c r="T15" s="549"/>
      <c r="U15" s="549"/>
      <c r="V15" s="549"/>
      <c r="W15" s="550"/>
      <c r="X15" s="1"/>
      <c r="Y15" s="1"/>
      <c r="Z15" s="1"/>
    </row>
    <row r="16" spans="1:26">
      <c r="A16" s="545" t="s">
        <v>31</v>
      </c>
      <c r="B16" s="537"/>
      <c r="C16" s="537"/>
      <c r="D16" s="537"/>
      <c r="E16" s="537"/>
      <c r="F16" s="537"/>
      <c r="G16" s="537"/>
      <c r="H16" s="537"/>
      <c r="I16" s="537"/>
      <c r="J16" s="537"/>
      <c r="K16" s="537"/>
      <c r="L16" s="537"/>
      <c r="M16" s="537"/>
      <c r="N16" s="537"/>
      <c r="O16" s="537"/>
      <c r="P16" s="537"/>
      <c r="Q16" s="537"/>
      <c r="R16" s="537"/>
      <c r="S16" s="537"/>
      <c r="T16" s="537"/>
      <c r="U16" s="537"/>
      <c r="V16" s="537"/>
      <c r="W16" s="546"/>
      <c r="X16" s="1"/>
      <c r="Y16" s="1"/>
      <c r="Z16" s="1"/>
    </row>
    <row r="17" spans="1:26" ht="14.25">
      <c r="A17" s="547"/>
      <c r="B17" s="537"/>
      <c r="C17" s="537"/>
      <c r="D17" s="537"/>
      <c r="E17" s="537"/>
      <c r="F17" s="537"/>
      <c r="G17" s="537"/>
      <c r="H17" s="537"/>
      <c r="I17" s="537"/>
      <c r="J17" s="537"/>
      <c r="K17" s="537"/>
      <c r="L17" s="537"/>
      <c r="M17" s="537"/>
      <c r="N17" s="537"/>
      <c r="O17" s="537"/>
      <c r="P17" s="537"/>
      <c r="Q17" s="537"/>
      <c r="R17" s="537"/>
      <c r="S17" s="537"/>
      <c r="T17" s="537"/>
      <c r="U17" s="537"/>
      <c r="V17" s="537"/>
      <c r="W17" s="546"/>
      <c r="X17" s="1"/>
      <c r="Y17" s="1"/>
      <c r="Z17" s="1"/>
    </row>
    <row r="18" spans="1:26">
      <c r="A18" s="548" t="s">
        <v>32</v>
      </c>
      <c r="B18" s="549"/>
      <c r="C18" s="549"/>
      <c r="D18" s="549"/>
      <c r="E18" s="549"/>
      <c r="F18" s="549"/>
      <c r="G18" s="549"/>
      <c r="H18" s="549"/>
      <c r="I18" s="549"/>
      <c r="J18" s="549"/>
      <c r="K18" s="549"/>
      <c r="L18" s="549"/>
      <c r="M18" s="549"/>
      <c r="N18" s="549"/>
      <c r="O18" s="549"/>
      <c r="P18" s="549"/>
      <c r="Q18" s="549"/>
      <c r="R18" s="549"/>
      <c r="S18" s="549"/>
      <c r="T18" s="549"/>
      <c r="U18" s="549"/>
      <c r="V18" s="549"/>
      <c r="W18" s="550"/>
      <c r="X18" s="1"/>
      <c r="Y18" s="1"/>
      <c r="Z18" s="1"/>
    </row>
    <row r="19" spans="1:26">
      <c r="A19" s="560" t="s">
        <v>33</v>
      </c>
      <c r="B19" s="533"/>
      <c r="C19" s="533"/>
      <c r="D19" s="533"/>
      <c r="E19" s="533"/>
      <c r="F19" s="558"/>
      <c r="G19" s="561" t="s">
        <v>34</v>
      </c>
      <c r="H19" s="533"/>
      <c r="I19" s="533"/>
      <c r="J19" s="533"/>
      <c r="K19" s="533"/>
      <c r="L19" s="533"/>
      <c r="M19" s="533"/>
      <c r="N19" s="533"/>
      <c r="O19" s="534"/>
      <c r="P19" s="562" t="s">
        <v>35</v>
      </c>
      <c r="Q19" s="540"/>
      <c r="R19" s="540"/>
      <c r="S19" s="540"/>
      <c r="T19" s="540"/>
      <c r="U19" s="540"/>
      <c r="V19" s="540"/>
      <c r="W19" s="543"/>
      <c r="X19" s="1"/>
      <c r="Y19" s="1"/>
      <c r="Z19" s="1"/>
    </row>
    <row r="20" spans="1:26">
      <c r="A20" s="563" t="s">
        <v>36</v>
      </c>
      <c r="B20" s="543"/>
      <c r="C20" s="564" t="s">
        <v>37</v>
      </c>
      <c r="D20" s="540"/>
      <c r="E20" s="540"/>
      <c r="F20" s="540"/>
      <c r="G20" s="543"/>
      <c r="H20" s="564" t="s">
        <v>38</v>
      </c>
      <c r="I20" s="540"/>
      <c r="J20" s="540"/>
      <c r="K20" s="540"/>
      <c r="L20" s="540"/>
      <c r="M20" s="543"/>
      <c r="N20" s="564" t="s">
        <v>39</v>
      </c>
      <c r="O20" s="540"/>
      <c r="P20" s="540"/>
      <c r="Q20" s="540"/>
      <c r="R20" s="540"/>
      <c r="S20" s="540"/>
      <c r="T20" s="540"/>
      <c r="U20" s="540"/>
      <c r="V20" s="540"/>
      <c r="W20" s="543"/>
      <c r="X20" s="1"/>
      <c r="Y20" s="1"/>
      <c r="Z20" s="1"/>
    </row>
    <row r="21" spans="1:26">
      <c r="A21" s="544" t="s">
        <v>40</v>
      </c>
      <c r="B21" s="534"/>
      <c r="C21" s="3">
        <v>8</v>
      </c>
      <c r="D21" s="565">
        <v>10</v>
      </c>
      <c r="E21" s="534"/>
      <c r="F21" s="565">
        <v>24</v>
      </c>
      <c r="G21" s="534"/>
      <c r="H21" s="566"/>
      <c r="I21" s="534"/>
      <c r="J21" s="566"/>
      <c r="K21" s="533"/>
      <c r="L21" s="534"/>
      <c r="M21" s="4"/>
      <c r="N21" s="563" t="s">
        <v>41</v>
      </c>
      <c r="O21" s="540"/>
      <c r="P21" s="540"/>
      <c r="Q21" s="540"/>
      <c r="R21" s="540"/>
      <c r="S21" s="540"/>
      <c r="T21" s="540"/>
      <c r="U21" s="540"/>
      <c r="V21" s="540"/>
      <c r="W21" s="543"/>
      <c r="X21" s="1"/>
      <c r="Y21" s="1"/>
      <c r="Z21" s="1"/>
    </row>
    <row r="22" spans="1:26">
      <c r="A22" s="544" t="s">
        <v>42</v>
      </c>
      <c r="B22" s="534"/>
      <c r="C22" s="5">
        <v>29</v>
      </c>
      <c r="D22" s="567">
        <v>10</v>
      </c>
      <c r="E22" s="534"/>
      <c r="F22" s="567">
        <v>24</v>
      </c>
      <c r="G22" s="534"/>
      <c r="H22" s="566"/>
      <c r="I22" s="534"/>
      <c r="J22" s="566"/>
      <c r="K22" s="533"/>
      <c r="L22" s="534"/>
      <c r="M22" s="4"/>
      <c r="N22" s="566"/>
      <c r="O22" s="533"/>
      <c r="P22" s="534"/>
      <c r="Q22" s="566"/>
      <c r="R22" s="533"/>
      <c r="S22" s="533"/>
      <c r="T22" s="533"/>
      <c r="U22" s="534"/>
      <c r="V22" s="566"/>
      <c r="W22" s="534"/>
      <c r="X22" s="1"/>
      <c r="Y22" s="1"/>
      <c r="Z22" s="1"/>
    </row>
    <row r="23" spans="1:26">
      <c r="A23" s="544" t="s">
        <v>43</v>
      </c>
      <c r="B23" s="534"/>
      <c r="C23" s="5"/>
      <c r="D23" s="567"/>
      <c r="E23" s="534"/>
      <c r="F23" s="567"/>
      <c r="G23" s="534"/>
      <c r="H23" s="566"/>
      <c r="I23" s="534"/>
      <c r="J23" s="566"/>
      <c r="K23" s="533"/>
      <c r="L23" s="534"/>
      <c r="M23" s="4"/>
      <c r="N23" s="539" t="s">
        <v>44</v>
      </c>
      <c r="O23" s="540"/>
      <c r="P23" s="540"/>
      <c r="Q23" s="540"/>
      <c r="R23" s="540"/>
      <c r="S23" s="540"/>
      <c r="T23" s="540"/>
      <c r="U23" s="540"/>
      <c r="V23" s="540"/>
      <c r="W23" s="543"/>
      <c r="X23" s="1"/>
      <c r="Y23" s="1"/>
      <c r="Z23" s="1"/>
    </row>
    <row r="24" spans="1:26">
      <c r="A24" s="544" t="s">
        <v>45</v>
      </c>
      <c r="B24" s="534"/>
      <c r="C24" s="4"/>
      <c r="D24" s="566"/>
      <c r="E24" s="534"/>
      <c r="F24" s="566"/>
      <c r="G24" s="534"/>
      <c r="H24" s="566"/>
      <c r="I24" s="534"/>
      <c r="J24" s="566"/>
      <c r="K24" s="533"/>
      <c r="L24" s="534"/>
      <c r="M24" s="4"/>
      <c r="N24" s="566"/>
      <c r="O24" s="533"/>
      <c r="P24" s="534"/>
      <c r="Q24" s="566"/>
      <c r="R24" s="533"/>
      <c r="S24" s="533"/>
      <c r="T24" s="533"/>
      <c r="U24" s="534"/>
      <c r="V24" s="566"/>
      <c r="W24" s="534"/>
      <c r="X24" s="1"/>
      <c r="Y24" s="1"/>
      <c r="Z24" s="1"/>
    </row>
    <row r="25" spans="1:26" ht="14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1"/>
      <c r="Y25" s="1"/>
      <c r="Z25" s="1"/>
    </row>
    <row r="26" spans="1:26" ht="14.25">
      <c r="A26" s="6"/>
      <c r="X26" s="1"/>
      <c r="Y26" s="1"/>
      <c r="Z26" s="1"/>
    </row>
    <row r="27" spans="1:26" ht="12.75">
      <c r="X27" s="1"/>
      <c r="Y27" s="1"/>
      <c r="Z27" s="1"/>
    </row>
    <row r="28" spans="1:26" ht="12.75">
      <c r="X28" s="1"/>
      <c r="Y28" s="1"/>
      <c r="Z28" s="1"/>
    </row>
    <row r="29" spans="1:26" ht="12.75">
      <c r="X29" s="1"/>
      <c r="Y29" s="1"/>
      <c r="Z29" s="1"/>
    </row>
    <row r="30" spans="1:26" ht="12.75">
      <c r="X30" s="1"/>
      <c r="Y30" s="1"/>
      <c r="Z30" s="1"/>
    </row>
    <row r="31" spans="1:26" ht="12.75">
      <c r="X31" s="1"/>
      <c r="Y31" s="1"/>
      <c r="Z31" s="1"/>
    </row>
    <row r="32" spans="1:26" ht="12.75">
      <c r="X32" s="1"/>
      <c r="Y32" s="1"/>
      <c r="Z32" s="1"/>
    </row>
    <row r="33" spans="24:26" ht="12.75">
      <c r="X33" s="1"/>
      <c r="Y33" s="1"/>
      <c r="Z33" s="1"/>
    </row>
    <row r="34" spans="24:26" ht="12.75">
      <c r="X34" s="1"/>
      <c r="Y34" s="1"/>
      <c r="Z34" s="1"/>
    </row>
  </sheetData>
  <mergeCells count="79">
    <mergeCell ref="A1:J1"/>
    <mergeCell ref="K1:W2"/>
    <mergeCell ref="A2:J2"/>
    <mergeCell ref="A3:K3"/>
    <mergeCell ref="L3:R3"/>
    <mergeCell ref="S3:W3"/>
    <mergeCell ref="L4:R4"/>
    <mergeCell ref="S4:W4"/>
    <mergeCell ref="A4:K4"/>
    <mergeCell ref="B5:D5"/>
    <mergeCell ref="E5:S5"/>
    <mergeCell ref="T5:V5"/>
    <mergeCell ref="A5:A11"/>
    <mergeCell ref="B7:D7"/>
    <mergeCell ref="B8:D8"/>
    <mergeCell ref="B9:D9"/>
    <mergeCell ref="T6:V6"/>
    <mergeCell ref="R11:T11"/>
    <mergeCell ref="U11:W11"/>
    <mergeCell ref="B11:N11"/>
    <mergeCell ref="O11:Q11"/>
    <mergeCell ref="T9:V9"/>
    <mergeCell ref="A23:B23"/>
    <mergeCell ref="J23:L23"/>
    <mergeCell ref="A24:B24"/>
    <mergeCell ref="D24:E24"/>
    <mergeCell ref="F23:G23"/>
    <mergeCell ref="H23:I23"/>
    <mergeCell ref="F24:G24"/>
    <mergeCell ref="H24:I24"/>
    <mergeCell ref="D23:E23"/>
    <mergeCell ref="A22:B22"/>
    <mergeCell ref="F22:G22"/>
    <mergeCell ref="H22:I22"/>
    <mergeCell ref="J22:L22"/>
    <mergeCell ref="N22:P22"/>
    <mergeCell ref="D22:E22"/>
    <mergeCell ref="Q22:U22"/>
    <mergeCell ref="V22:W22"/>
    <mergeCell ref="N23:W23"/>
    <mergeCell ref="J24:L24"/>
    <mergeCell ref="N24:P24"/>
    <mergeCell ref="Q24:U24"/>
    <mergeCell ref="V24:W24"/>
    <mergeCell ref="N20:W20"/>
    <mergeCell ref="C20:G20"/>
    <mergeCell ref="H20:M20"/>
    <mergeCell ref="D21:E21"/>
    <mergeCell ref="F21:G21"/>
    <mergeCell ref="H21:I21"/>
    <mergeCell ref="J21:L21"/>
    <mergeCell ref="N21:W21"/>
    <mergeCell ref="A21:B21"/>
    <mergeCell ref="A16:W16"/>
    <mergeCell ref="A17:W17"/>
    <mergeCell ref="A18:W18"/>
    <mergeCell ref="A12:A14"/>
    <mergeCell ref="B12:H12"/>
    <mergeCell ref="I12:W12"/>
    <mergeCell ref="B13:H13"/>
    <mergeCell ref="I13:W13"/>
    <mergeCell ref="B14:H14"/>
    <mergeCell ref="I14:W14"/>
    <mergeCell ref="A15:W15"/>
    <mergeCell ref="A19:F19"/>
    <mergeCell ref="G19:O19"/>
    <mergeCell ref="P19:W19"/>
    <mergeCell ref="A20:B20"/>
    <mergeCell ref="E9:S9"/>
    <mergeCell ref="B10:N10"/>
    <mergeCell ref="O10:Q10"/>
    <mergeCell ref="R10:T10"/>
    <mergeCell ref="U10:W10"/>
    <mergeCell ref="B6:D6"/>
    <mergeCell ref="E6:S6"/>
    <mergeCell ref="E7:S7"/>
    <mergeCell ref="T7:V7"/>
    <mergeCell ref="E8:S8"/>
    <mergeCell ref="T8:V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/>
  <cols>
    <col min="1" max="1" width="6.28515625" customWidth="1"/>
    <col min="2" max="2" width="30.28515625" customWidth="1"/>
    <col min="3" max="3" width="17.5703125" customWidth="1"/>
    <col min="4" max="5" width="16" customWidth="1"/>
    <col min="6" max="6" width="18.140625" customWidth="1"/>
    <col min="7" max="7" width="19.5703125" customWidth="1"/>
    <col min="8" max="10" width="14.42578125" customWidth="1"/>
  </cols>
  <sheetData>
    <row r="1" spans="1:26" ht="15.75" customHeight="1">
      <c r="A1" s="591" t="s">
        <v>46</v>
      </c>
      <c r="B1" s="537"/>
      <c r="C1" s="537"/>
      <c r="D1" s="537"/>
      <c r="E1" s="537"/>
      <c r="F1" s="538"/>
      <c r="G1" s="7"/>
      <c r="H1" s="7"/>
      <c r="I1" s="8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592" t="s">
        <v>47</v>
      </c>
      <c r="B2" s="576"/>
      <c r="C2" s="594" t="s">
        <v>48</v>
      </c>
      <c r="D2" s="543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593"/>
      <c r="B3" s="588"/>
      <c r="C3" s="9" t="s">
        <v>49</v>
      </c>
      <c r="D3" s="9" t="s">
        <v>50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1</v>
      </c>
      <c r="B4" s="11" t="s">
        <v>51</v>
      </c>
      <c r="C4" s="10">
        <v>0</v>
      </c>
      <c r="D4" s="10">
        <v>115</v>
      </c>
      <c r="E4" s="7" t="s">
        <v>52</v>
      </c>
      <c r="F4" s="7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2</v>
      </c>
      <c r="B5" s="11" t="s">
        <v>53</v>
      </c>
      <c r="C5" s="10">
        <v>0</v>
      </c>
      <c r="D5" s="10">
        <v>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3</v>
      </c>
      <c r="B6" s="11" t="s">
        <v>54</v>
      </c>
      <c r="C6" s="10">
        <v>0</v>
      </c>
      <c r="D6" s="10">
        <v>0</v>
      </c>
      <c r="E6" s="7"/>
      <c r="F6" s="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4</v>
      </c>
      <c r="B7" s="11" t="s">
        <v>55</v>
      </c>
      <c r="C7" s="10">
        <v>0</v>
      </c>
      <c r="D7" s="10">
        <v>750</v>
      </c>
      <c r="E7" s="8" t="s">
        <v>56</v>
      </c>
      <c r="F7" s="1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5</v>
      </c>
      <c r="B8" s="11" t="s">
        <v>57</v>
      </c>
      <c r="C8" s="10">
        <v>0</v>
      </c>
      <c r="D8" s="10"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6</v>
      </c>
      <c r="B9" s="11" t="s">
        <v>58</v>
      </c>
      <c r="C9" s="10">
        <v>0</v>
      </c>
      <c r="D9" s="10">
        <v>0</v>
      </c>
      <c r="E9" s="7"/>
      <c r="F9" s="1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7</v>
      </c>
      <c r="B10" s="11" t="s">
        <v>59</v>
      </c>
      <c r="C10" s="10">
        <v>0</v>
      </c>
      <c r="D10" s="10"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7"/>
      <c r="F12" s="1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14" t="s">
        <v>60</v>
      </c>
      <c r="C13" s="15">
        <f>C22</f>
        <v>5865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14" t="s">
        <v>61</v>
      </c>
      <c r="C14" s="15">
        <f>C13</f>
        <v>5865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14" t="s">
        <v>62</v>
      </c>
      <c r="C15" s="16">
        <f>(D29+E29)/F28</f>
        <v>0.17299999999999999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14" t="s">
        <v>63</v>
      </c>
      <c r="C16" s="16">
        <f>(E29)/F28</f>
        <v>0.17299999999999999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1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585" t="s">
        <v>47</v>
      </c>
      <c r="B19" s="586"/>
      <c r="C19" s="595" t="s">
        <v>64</v>
      </c>
      <c r="D19" s="597" t="s">
        <v>65</v>
      </c>
      <c r="E19" s="598"/>
      <c r="F19" s="595" t="s">
        <v>66</v>
      </c>
      <c r="G19" s="583" t="s">
        <v>67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>
      <c r="A20" s="587"/>
      <c r="B20" s="588"/>
      <c r="C20" s="596"/>
      <c r="D20" s="18" t="s">
        <v>49</v>
      </c>
      <c r="E20" s="18" t="s">
        <v>50</v>
      </c>
      <c r="F20" s="596"/>
      <c r="G20" s="58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9">
        <v>1</v>
      </c>
      <c r="B21" s="20" t="s">
        <v>68</v>
      </c>
      <c r="C21" s="21">
        <v>5865</v>
      </c>
      <c r="D21" s="10">
        <v>0</v>
      </c>
      <c r="E21" s="10">
        <v>0</v>
      </c>
      <c r="F21" s="22">
        <v>5865</v>
      </c>
      <c r="G21" s="23">
        <f t="shared" ref="G21:G29" si="0">F21*1000</f>
        <v>5865000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24">
        <v>2</v>
      </c>
      <c r="B22" s="11" t="s">
        <v>51</v>
      </c>
      <c r="C22" s="10">
        <f>F22*1.02</f>
        <v>5865</v>
      </c>
      <c r="D22" s="10">
        <v>0</v>
      </c>
      <c r="E22" s="10">
        <f>0.02*F22</f>
        <v>115</v>
      </c>
      <c r="F22" s="25">
        <f t="shared" ref="F22:F27" si="1">C23</f>
        <v>5750</v>
      </c>
      <c r="G22" s="23">
        <f t="shared" si="0"/>
        <v>5750000</v>
      </c>
      <c r="H22" s="7" t="s">
        <v>52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24">
        <v>3</v>
      </c>
      <c r="B23" s="11" t="s">
        <v>53</v>
      </c>
      <c r="C23" s="10">
        <f>F23</f>
        <v>5750</v>
      </c>
      <c r="D23" s="10">
        <v>0</v>
      </c>
      <c r="E23" s="10">
        <v>0</v>
      </c>
      <c r="F23" s="25">
        <f t="shared" si="1"/>
        <v>5750</v>
      </c>
      <c r="G23" s="23">
        <f t="shared" si="0"/>
        <v>5750000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9">
        <v>4</v>
      </c>
      <c r="B24" s="11" t="s">
        <v>54</v>
      </c>
      <c r="C24" s="10">
        <f t="shared" ref="C24:C25" si="2">D24+E24+F24</f>
        <v>5750</v>
      </c>
      <c r="D24" s="10">
        <v>0</v>
      </c>
      <c r="E24" s="10">
        <v>0</v>
      </c>
      <c r="F24" s="25">
        <f t="shared" si="1"/>
        <v>5750</v>
      </c>
      <c r="G24" s="23">
        <f t="shared" si="0"/>
        <v>5750000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24">
        <v>5</v>
      </c>
      <c r="B25" s="11" t="s">
        <v>55</v>
      </c>
      <c r="C25" s="10">
        <f t="shared" si="2"/>
        <v>5750</v>
      </c>
      <c r="D25" s="10">
        <v>0</v>
      </c>
      <c r="E25" s="10">
        <f>0.15*F25</f>
        <v>750</v>
      </c>
      <c r="F25" s="25">
        <f t="shared" si="1"/>
        <v>5000</v>
      </c>
      <c r="G25" s="23">
        <f t="shared" si="0"/>
        <v>5000000</v>
      </c>
      <c r="H25" s="8"/>
      <c r="I25" s="1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24">
        <v>6</v>
      </c>
      <c r="B26" s="11" t="s">
        <v>57</v>
      </c>
      <c r="C26" s="10">
        <f>F26</f>
        <v>5000</v>
      </c>
      <c r="D26" s="10">
        <v>0</v>
      </c>
      <c r="E26" s="10">
        <v>0</v>
      </c>
      <c r="F26" s="25">
        <f t="shared" si="1"/>
        <v>5000</v>
      </c>
      <c r="G26" s="23">
        <f t="shared" si="0"/>
        <v>5000000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9">
        <v>7</v>
      </c>
      <c r="B27" s="11" t="s">
        <v>58</v>
      </c>
      <c r="C27" s="10">
        <f t="shared" ref="C27:C28" si="3">F27+D27+E27</f>
        <v>5000</v>
      </c>
      <c r="D27" s="10">
        <v>0</v>
      </c>
      <c r="E27" s="10">
        <v>0</v>
      </c>
      <c r="F27" s="25">
        <f t="shared" si="1"/>
        <v>5000</v>
      </c>
      <c r="G27" s="23">
        <f t="shared" si="0"/>
        <v>5000000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24">
        <v>8</v>
      </c>
      <c r="B28" s="26" t="s">
        <v>59</v>
      </c>
      <c r="C28" s="27">
        <f t="shared" si="3"/>
        <v>5000</v>
      </c>
      <c r="D28" s="27">
        <v>0</v>
      </c>
      <c r="E28" s="27">
        <v>0</v>
      </c>
      <c r="F28" s="28">
        <f>I28</f>
        <v>5000</v>
      </c>
      <c r="G28" s="29">
        <f t="shared" si="0"/>
        <v>5000000</v>
      </c>
      <c r="H28" s="7"/>
      <c r="I28" s="8">
        <f>InfoInicial!B17</f>
        <v>5000</v>
      </c>
      <c r="J28" s="7" t="s">
        <v>69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89" t="s">
        <v>70</v>
      </c>
      <c r="B29" s="590"/>
      <c r="C29" s="30">
        <f>C22</f>
        <v>5865</v>
      </c>
      <c r="D29" s="30">
        <f t="shared" ref="D29:E29" si="4">SUM(D22:D28)</f>
        <v>0</v>
      </c>
      <c r="E29" s="30">
        <f t="shared" si="4"/>
        <v>865</v>
      </c>
      <c r="F29" s="31">
        <f>F28</f>
        <v>5000</v>
      </c>
      <c r="G29" s="32">
        <f t="shared" si="0"/>
        <v>5000000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8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9">
    <mergeCell ref="G19:G20"/>
    <mergeCell ref="A19:B20"/>
    <mergeCell ref="A29:B29"/>
    <mergeCell ref="A1:F1"/>
    <mergeCell ref="A2:B3"/>
    <mergeCell ref="C2:D2"/>
    <mergeCell ref="C19:C20"/>
    <mergeCell ref="D19:E19"/>
    <mergeCell ref="F19:F2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/>
  <cols>
    <col min="1" max="1" width="32.42578125" customWidth="1"/>
    <col min="2" max="2" width="9.5703125" customWidth="1"/>
    <col min="3" max="3" width="8.42578125" customWidth="1"/>
    <col min="4" max="6" width="14.42578125" customWidth="1"/>
  </cols>
  <sheetData>
    <row r="1" spans="1:26" ht="15.75" customHeight="1">
      <c r="A1" s="599" t="s">
        <v>71</v>
      </c>
      <c r="B1" s="53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33" t="s">
        <v>72</v>
      </c>
      <c r="B2" s="10">
        <v>365</v>
      </c>
      <c r="C2" s="7"/>
      <c r="D2" s="7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33" t="s">
        <v>73</v>
      </c>
      <c r="B3" s="10">
        <v>10</v>
      </c>
      <c r="C3" s="7"/>
      <c r="D3" s="7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33" t="s">
        <v>74</v>
      </c>
      <c r="B4" s="10">
        <v>15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34" t="s">
        <v>75</v>
      </c>
      <c r="B5" s="35">
        <v>340</v>
      </c>
      <c r="C5" s="8">
        <v>7</v>
      </c>
      <c r="D5" s="8" t="s">
        <v>76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33" t="s">
        <v>77</v>
      </c>
      <c r="B7" s="10">
        <v>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33" t="s">
        <v>78</v>
      </c>
      <c r="B8" s="10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33" t="s">
        <v>79</v>
      </c>
      <c r="B9" s="36">
        <v>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3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38" t="s">
        <v>80</v>
      </c>
      <c r="B11" s="39">
        <f>B5*B8*B9</f>
        <v>5440</v>
      </c>
      <c r="C11" s="39" t="s">
        <v>81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4.5" customHeight="1">
      <c r="A12" s="38" t="s">
        <v>82</v>
      </c>
      <c r="B12" s="39">
        <f>B11/B7</f>
        <v>5440</v>
      </c>
      <c r="C12" s="39" t="s">
        <v>81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40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B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/>
  <cols>
    <col min="1" max="1" width="5.85546875" customWidth="1"/>
    <col min="2" max="2" width="19.7109375" customWidth="1"/>
    <col min="3" max="3" width="15.42578125" customWidth="1"/>
    <col min="4" max="4" width="10.140625" customWidth="1"/>
    <col min="5" max="5" width="20.28515625" customWidth="1"/>
    <col min="6" max="6" width="22.42578125" customWidth="1"/>
    <col min="7" max="7" width="20.85546875" customWidth="1"/>
    <col min="8" max="8" width="21.28515625" customWidth="1"/>
    <col min="9" max="10" width="18.42578125" customWidth="1"/>
    <col min="11" max="11" width="14.42578125" customWidth="1"/>
  </cols>
  <sheetData>
    <row r="1" spans="1:26" ht="15.75" customHeight="1">
      <c r="A1" s="600" t="s">
        <v>83</v>
      </c>
      <c r="B1" s="540"/>
      <c r="C1" s="540"/>
      <c r="D1" s="540"/>
      <c r="E1" s="540"/>
      <c r="F1" s="540"/>
      <c r="G1" s="540"/>
      <c r="H1" s="54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2" customHeight="1">
      <c r="A2" s="601" t="s">
        <v>84</v>
      </c>
      <c r="B2" s="534"/>
      <c r="C2" s="601" t="s">
        <v>85</v>
      </c>
      <c r="D2" s="534"/>
      <c r="E2" s="41" t="s">
        <v>86</v>
      </c>
      <c r="F2" s="41" t="s">
        <v>87</v>
      </c>
      <c r="G2" s="41" t="s">
        <v>88</v>
      </c>
      <c r="H2" s="41" t="s">
        <v>89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21">
        <v>1</v>
      </c>
      <c r="B3" s="42" t="s">
        <v>68</v>
      </c>
      <c r="C3" s="43">
        <v>8000</v>
      </c>
      <c r="D3" s="10" t="s">
        <v>90</v>
      </c>
      <c r="E3" s="44">
        <f>'Ejercicio 2 '!$B$11</f>
        <v>5440</v>
      </c>
      <c r="F3" s="44">
        <f t="shared" ref="F3:F10" si="0">C3*E3</f>
        <v>43520000</v>
      </c>
      <c r="G3" s="45">
        <v>0.95</v>
      </c>
      <c r="H3" s="44">
        <f t="shared" ref="H3:H10" si="1">F3*G3</f>
        <v>41344000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">
        <v>2</v>
      </c>
      <c r="B4" s="11" t="s">
        <v>51</v>
      </c>
      <c r="C4" s="44">
        <f>(150*1000)/24</f>
        <v>6250</v>
      </c>
      <c r="D4" s="10" t="s">
        <v>90</v>
      </c>
      <c r="E4" s="44">
        <f>'Ejercicio 2 '!$B$11</f>
        <v>5440</v>
      </c>
      <c r="F4" s="44">
        <f t="shared" si="0"/>
        <v>34000000</v>
      </c>
      <c r="G4" s="45">
        <v>0.95</v>
      </c>
      <c r="H4" s="44">
        <f t="shared" si="1"/>
        <v>32300000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">
        <v>3</v>
      </c>
      <c r="B5" s="11" t="s">
        <v>53</v>
      </c>
      <c r="C5" s="44">
        <v>1000</v>
      </c>
      <c r="D5" s="10" t="s">
        <v>90</v>
      </c>
      <c r="E5" s="44">
        <f>'Ejercicio 2 '!$B$11</f>
        <v>5440</v>
      </c>
      <c r="F5" s="44">
        <f t="shared" si="0"/>
        <v>5440000</v>
      </c>
      <c r="G5" s="45">
        <v>0.95</v>
      </c>
      <c r="H5" s="44">
        <f t="shared" si="1"/>
        <v>5168000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">
        <v>4</v>
      </c>
      <c r="B6" s="11" t="s">
        <v>54</v>
      </c>
      <c r="C6" s="44">
        <v>1000</v>
      </c>
      <c r="D6" s="10" t="s">
        <v>90</v>
      </c>
      <c r="E6" s="44">
        <f>'Ejercicio 2 '!$B$11</f>
        <v>5440</v>
      </c>
      <c r="F6" s="44">
        <f t="shared" si="0"/>
        <v>5440000</v>
      </c>
      <c r="G6" s="45">
        <v>0.95</v>
      </c>
      <c r="H6" s="44">
        <f t="shared" si="1"/>
        <v>5168000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">
        <v>5</v>
      </c>
      <c r="B7" s="11" t="s">
        <v>55</v>
      </c>
      <c r="C7" s="44">
        <f>(70*1000)/24</f>
        <v>2916.6666666666665</v>
      </c>
      <c r="D7" s="10" t="s">
        <v>90</v>
      </c>
      <c r="E7" s="44">
        <f>'Ejercicio 2 '!$B$11</f>
        <v>5440</v>
      </c>
      <c r="F7" s="44">
        <f t="shared" si="0"/>
        <v>15866666.666666666</v>
      </c>
      <c r="G7" s="45">
        <v>0.95</v>
      </c>
      <c r="H7" s="44">
        <f t="shared" si="1"/>
        <v>15073333.333333332</v>
      </c>
      <c r="I7" s="7"/>
      <c r="J7" s="7"/>
      <c r="K7" s="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">
        <v>6</v>
      </c>
      <c r="B8" s="11" t="s">
        <v>57</v>
      </c>
      <c r="C8" s="44">
        <f>10*1000</f>
        <v>10000</v>
      </c>
      <c r="D8" s="10" t="s">
        <v>90</v>
      </c>
      <c r="E8" s="44">
        <f>'Ejercicio 2 '!$B$11</f>
        <v>5440</v>
      </c>
      <c r="F8" s="44">
        <f t="shared" si="0"/>
        <v>54400000</v>
      </c>
      <c r="G8" s="45">
        <v>0.95</v>
      </c>
      <c r="H8" s="44">
        <f t="shared" si="1"/>
        <v>51680000</v>
      </c>
      <c r="I8" s="7"/>
      <c r="J8" s="7"/>
      <c r="K8" s="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">
        <v>7</v>
      </c>
      <c r="B9" s="11" t="s">
        <v>58</v>
      </c>
      <c r="C9" s="44">
        <f>4*1000</f>
        <v>4000</v>
      </c>
      <c r="D9" s="10" t="s">
        <v>90</v>
      </c>
      <c r="E9" s="44">
        <f>'Ejercicio 2 '!$B$11</f>
        <v>5440</v>
      </c>
      <c r="F9" s="44">
        <f t="shared" si="0"/>
        <v>21760000</v>
      </c>
      <c r="G9" s="45">
        <v>0.95</v>
      </c>
      <c r="H9" s="44">
        <f t="shared" si="1"/>
        <v>20672000</v>
      </c>
      <c r="I9" s="7"/>
      <c r="J9" s="7"/>
      <c r="K9" s="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">
        <v>8</v>
      </c>
      <c r="B10" s="11" t="s">
        <v>59</v>
      </c>
      <c r="C10" s="44">
        <f>(4*60)*50</f>
        <v>12000</v>
      </c>
      <c r="D10" s="10" t="s">
        <v>90</v>
      </c>
      <c r="E10" s="44">
        <f>'Ejercicio 2 '!$B$11</f>
        <v>5440</v>
      </c>
      <c r="F10" s="44">
        <f t="shared" si="0"/>
        <v>65280000</v>
      </c>
      <c r="G10" s="45">
        <v>0.95</v>
      </c>
      <c r="H10" s="44">
        <f t="shared" si="1"/>
        <v>62016000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4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4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4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4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1:H1"/>
    <mergeCell ref="A2:B2"/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/>
  <cols>
    <col min="1" max="1" width="10.140625" customWidth="1"/>
    <col min="2" max="2" width="27" customWidth="1"/>
    <col min="3" max="3" width="20.42578125" customWidth="1"/>
    <col min="4" max="4" width="18" customWidth="1"/>
    <col min="5" max="5" width="17.140625" customWidth="1"/>
    <col min="6" max="6" width="20" customWidth="1"/>
    <col min="7" max="7" width="17.28515625" customWidth="1"/>
    <col min="8" max="8" width="14.42578125" customWidth="1"/>
  </cols>
  <sheetData>
    <row r="1" spans="1:26" ht="15.75" customHeight="1">
      <c r="A1" s="600" t="s">
        <v>91</v>
      </c>
      <c r="B1" s="540"/>
      <c r="C1" s="540"/>
      <c r="D1" s="540"/>
      <c r="E1" s="540"/>
      <c r="F1" s="540"/>
      <c r="G1" s="543"/>
      <c r="H1" s="4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602" t="s">
        <v>84</v>
      </c>
      <c r="B2" s="576"/>
      <c r="C2" s="603" t="s">
        <v>92</v>
      </c>
      <c r="D2" s="603" t="s">
        <v>93</v>
      </c>
      <c r="E2" s="603" t="s">
        <v>94</v>
      </c>
      <c r="F2" s="603" t="s">
        <v>95</v>
      </c>
      <c r="G2" s="603" t="s">
        <v>96</v>
      </c>
      <c r="H2" s="4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593"/>
      <c r="B3" s="588"/>
      <c r="C3" s="604"/>
      <c r="D3" s="604"/>
      <c r="E3" s="604"/>
      <c r="F3" s="604"/>
      <c r="G3" s="604"/>
      <c r="H3" s="4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48">
        <v>1</v>
      </c>
      <c r="B4" s="11" t="s">
        <v>68</v>
      </c>
      <c r="C4" s="44">
        <f>'Ejercicio 1'!G21</f>
        <v>5865000</v>
      </c>
      <c r="D4" s="49">
        <f>'Ejercicio 3'!H3</f>
        <v>41344000</v>
      </c>
      <c r="E4" s="50">
        <f t="shared" ref="E4:E7" si="0">ROUNDUP(C4/D4,0)</f>
        <v>1</v>
      </c>
      <c r="F4" s="44">
        <f t="shared" ref="F4:F11" si="1">D4*E4</f>
        <v>41344000</v>
      </c>
      <c r="G4" s="51">
        <f t="shared" ref="G4:G11" si="2">(C4/F4)</f>
        <v>0.14185855263157895</v>
      </c>
      <c r="H4" s="4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48">
        <v>2</v>
      </c>
      <c r="B5" s="11" t="s">
        <v>51</v>
      </c>
      <c r="C5" s="44">
        <f>'Ejercicio 1'!G22</f>
        <v>5750000</v>
      </c>
      <c r="D5" s="44">
        <f>'Ejercicio 3'!H4</f>
        <v>32300000</v>
      </c>
      <c r="E5" s="50">
        <f t="shared" si="0"/>
        <v>1</v>
      </c>
      <c r="F5" s="44">
        <f t="shared" si="1"/>
        <v>32300000</v>
      </c>
      <c r="G5" s="51">
        <f t="shared" si="2"/>
        <v>0.17801857585139319</v>
      </c>
      <c r="H5" s="4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48">
        <v>3</v>
      </c>
      <c r="B6" s="11" t="s">
        <v>53</v>
      </c>
      <c r="C6" s="44">
        <f>'Ejercicio 1'!G23</f>
        <v>5750000</v>
      </c>
      <c r="D6" s="44">
        <f>'Ejercicio 3'!H5</f>
        <v>5168000</v>
      </c>
      <c r="E6" s="50">
        <f t="shared" si="0"/>
        <v>2</v>
      </c>
      <c r="F6" s="44">
        <f t="shared" si="1"/>
        <v>10336000</v>
      </c>
      <c r="G6" s="52">
        <f t="shared" si="2"/>
        <v>0.55630804953560375</v>
      </c>
      <c r="H6" s="5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48">
        <v>4</v>
      </c>
      <c r="B7" s="11" t="s">
        <v>54</v>
      </c>
      <c r="C7" s="44">
        <f>'Ejercicio 1'!G24</f>
        <v>5750000</v>
      </c>
      <c r="D7" s="44">
        <f>'Ejercicio 3'!H6</f>
        <v>5168000</v>
      </c>
      <c r="E7" s="50">
        <f t="shared" si="0"/>
        <v>2</v>
      </c>
      <c r="F7" s="44">
        <f t="shared" si="1"/>
        <v>10336000</v>
      </c>
      <c r="G7" s="52">
        <f t="shared" si="2"/>
        <v>0.55630804953560375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48">
        <v>5</v>
      </c>
      <c r="B8" s="11" t="s">
        <v>55</v>
      </c>
      <c r="C8" s="44">
        <f>'Ejercicio 1'!G25</f>
        <v>5000000</v>
      </c>
      <c r="D8" s="44">
        <f>'Ejercicio 3'!H7</f>
        <v>15073333.333333332</v>
      </c>
      <c r="E8" s="50">
        <v>2</v>
      </c>
      <c r="F8" s="44">
        <f t="shared" si="1"/>
        <v>30146666.666666664</v>
      </c>
      <c r="G8" s="51">
        <f t="shared" si="2"/>
        <v>0.16585581601061478</v>
      </c>
      <c r="H8" s="46" t="s">
        <v>97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48">
        <v>6</v>
      </c>
      <c r="B9" s="11" t="s">
        <v>57</v>
      </c>
      <c r="C9" s="44">
        <f>'Ejercicio 1'!G26</f>
        <v>5000000</v>
      </c>
      <c r="D9" s="44">
        <f>'Ejercicio 3'!H8</f>
        <v>51680000</v>
      </c>
      <c r="E9" s="50">
        <f t="shared" ref="E9:E11" si="3">ROUNDUP(C9/D9,0)</f>
        <v>1</v>
      </c>
      <c r="F9" s="44">
        <f t="shared" si="1"/>
        <v>51680000</v>
      </c>
      <c r="G9" s="51">
        <f t="shared" si="2"/>
        <v>9.6749226006191957E-2</v>
      </c>
      <c r="H9" s="4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48">
        <v>7</v>
      </c>
      <c r="B10" s="11" t="s">
        <v>58</v>
      </c>
      <c r="C10" s="44">
        <f>'Ejercicio 1'!G27</f>
        <v>5000000</v>
      </c>
      <c r="D10" s="44">
        <f>'Ejercicio 3'!H9</f>
        <v>20672000</v>
      </c>
      <c r="E10" s="50">
        <f t="shared" si="3"/>
        <v>1</v>
      </c>
      <c r="F10" s="44">
        <f t="shared" si="1"/>
        <v>20672000</v>
      </c>
      <c r="G10" s="51">
        <f t="shared" si="2"/>
        <v>0.24187306501547987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48">
        <v>8</v>
      </c>
      <c r="B11" s="11" t="s">
        <v>59</v>
      </c>
      <c r="C11" s="44">
        <f>'Ejercicio 1'!G28</f>
        <v>5000000</v>
      </c>
      <c r="D11" s="44">
        <f>'Ejercicio 3'!H10</f>
        <v>62016000</v>
      </c>
      <c r="E11" s="50">
        <f t="shared" si="3"/>
        <v>1</v>
      </c>
      <c r="F11" s="44">
        <f t="shared" si="1"/>
        <v>62016000</v>
      </c>
      <c r="G11" s="51">
        <f t="shared" si="2"/>
        <v>8.0624355005159964E-2</v>
      </c>
      <c r="H11" s="5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1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54"/>
      <c r="B14" s="54"/>
      <c r="C14" s="7"/>
      <c r="D14" s="7"/>
      <c r="E14" s="55"/>
      <c r="F14" s="8"/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A1:G1"/>
    <mergeCell ref="A2:B3"/>
    <mergeCell ref="C2:C3"/>
    <mergeCell ref="D2:D3"/>
    <mergeCell ref="E2:E3"/>
    <mergeCell ref="F2:F3"/>
    <mergeCell ref="G2:G3"/>
  </mergeCells>
  <conditionalFormatting sqref="G4:G11">
    <cfRule type="notContainsBlanks" dxfId="0" priority="1">
      <formula>LEN(TRIM(G4))&gt;0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/>
  <cols>
    <col min="1" max="1" width="19.5703125" customWidth="1"/>
    <col min="2" max="2" width="19.85546875" customWidth="1"/>
    <col min="3" max="3" width="15.85546875" customWidth="1"/>
    <col min="4" max="4" width="25.140625" customWidth="1"/>
    <col min="5" max="5" width="24.5703125" customWidth="1"/>
    <col min="6" max="6" width="19.7109375" customWidth="1"/>
    <col min="7" max="7" width="15" customWidth="1"/>
    <col min="8" max="9" width="14.42578125" customWidth="1"/>
  </cols>
  <sheetData>
    <row r="1" spans="1:26" ht="15.75" customHeight="1">
      <c r="A1" s="600" t="s">
        <v>98</v>
      </c>
      <c r="B1" s="540"/>
      <c r="C1" s="540"/>
      <c r="D1" s="541"/>
      <c r="E1" s="7"/>
      <c r="F1" s="7"/>
      <c r="G1" s="7"/>
      <c r="H1" s="8">
        <v>345</v>
      </c>
      <c r="I1" s="8" t="s">
        <v>99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605" t="s">
        <v>100</v>
      </c>
      <c r="B2" s="540"/>
      <c r="C2" s="540"/>
      <c r="D2" s="543"/>
      <c r="E2" s="7"/>
      <c r="F2" s="7"/>
      <c r="G2" s="7"/>
      <c r="H2" s="8"/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605" t="s">
        <v>101</v>
      </c>
      <c r="B3" s="543"/>
      <c r="C3" s="605" t="s">
        <v>102</v>
      </c>
      <c r="D3" s="543"/>
      <c r="E3" s="7"/>
      <c r="F3" s="7"/>
      <c r="G3" s="7"/>
      <c r="H3" s="8">
        <f>(H1*12)/365</f>
        <v>11.342465753424657</v>
      </c>
      <c r="I3" s="8" t="s">
        <v>103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605">
        <f>InfoInicial!B17</f>
        <v>5000</v>
      </c>
      <c r="B4" s="543"/>
      <c r="C4" s="606">
        <f>A4/H4</f>
        <v>434.78260869565219</v>
      </c>
      <c r="D4" s="543"/>
      <c r="E4" s="7"/>
      <c r="F4" s="7"/>
      <c r="G4" s="7"/>
      <c r="H4" s="8">
        <v>11.5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56" t="s">
        <v>104</v>
      </c>
      <c r="B6" s="57" t="s">
        <v>105</v>
      </c>
      <c r="C6" s="57" t="s">
        <v>106</v>
      </c>
      <c r="D6" s="57" t="s">
        <v>107</v>
      </c>
      <c r="E6" s="57" t="s">
        <v>108</v>
      </c>
      <c r="F6" s="57" t="s">
        <v>109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58">
        <v>1</v>
      </c>
      <c r="B7" s="59">
        <v>0</v>
      </c>
      <c r="C7" s="59">
        <v>0.04</v>
      </c>
      <c r="D7" s="59">
        <v>0.02</v>
      </c>
      <c r="E7" s="60">
        <f>$C$4</f>
        <v>434.78260869565219</v>
      </c>
      <c r="F7" s="61">
        <f t="shared" ref="F7:F9" si="0">D7*E7</f>
        <v>8.6956521739130448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58">
        <v>2</v>
      </c>
      <c r="B8" s="59">
        <v>0.04</v>
      </c>
      <c r="C8" s="59">
        <v>0.16</v>
      </c>
      <c r="D8" s="59">
        <v>0.1</v>
      </c>
      <c r="E8" s="60">
        <f t="shared" ref="E8:E9" si="1">E7</f>
        <v>434.78260869565219</v>
      </c>
      <c r="F8" s="61">
        <f t="shared" si="0"/>
        <v>43.478260869565219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58">
        <v>3</v>
      </c>
      <c r="B9" s="59">
        <v>0.16</v>
      </c>
      <c r="C9" s="59">
        <v>1</v>
      </c>
      <c r="D9" s="59">
        <v>0.57999999999999996</v>
      </c>
      <c r="E9" s="62">
        <f t="shared" si="1"/>
        <v>434.78260869565219</v>
      </c>
      <c r="F9" s="63">
        <f t="shared" si="0"/>
        <v>252.17391304347825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/>
      <c r="B10" s="7"/>
      <c r="C10" s="7"/>
      <c r="D10" s="7"/>
      <c r="E10" s="64" t="s">
        <v>110</v>
      </c>
      <c r="F10" s="65">
        <f>SUM(F7:F9)</f>
        <v>304.3478260869565</v>
      </c>
      <c r="G10" s="7"/>
      <c r="H10" s="66" t="s">
        <v>111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67" t="s">
        <v>112</v>
      </c>
      <c r="C11" s="68" t="s">
        <v>113</v>
      </c>
      <c r="D11" s="7"/>
      <c r="E11" s="7"/>
      <c r="F11" s="7"/>
      <c r="G11" s="7"/>
      <c r="H11" s="69">
        <f>B12-F10</f>
        <v>3695.6521739130435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0" t="s">
        <v>114</v>
      </c>
      <c r="B12" s="71">
        <f>F10+(11.5-3)*C4</f>
        <v>4000</v>
      </c>
      <c r="C12" s="10">
        <f>A4</f>
        <v>5000</v>
      </c>
      <c r="D12" s="7"/>
      <c r="E12" s="64" t="s">
        <v>115</v>
      </c>
      <c r="F12" s="65">
        <v>3696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A3:B3"/>
    <mergeCell ref="C3:D3"/>
    <mergeCell ref="A4:B4"/>
    <mergeCell ref="C4:D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sqref="A1:D1"/>
    </sheetView>
  </sheetViews>
  <sheetFormatPr baseColWidth="10" defaultColWidth="12.5703125" defaultRowHeight="15" customHeight="1"/>
  <cols>
    <col min="1" max="1" width="14.42578125" customWidth="1"/>
    <col min="2" max="2" width="24.28515625" customWidth="1"/>
    <col min="3" max="3" width="14.42578125" customWidth="1"/>
    <col min="4" max="4" width="8.42578125" customWidth="1"/>
    <col min="5" max="6" width="14.42578125" customWidth="1"/>
    <col min="7" max="7" width="23.42578125" customWidth="1"/>
    <col min="8" max="9" width="14.42578125" customWidth="1"/>
  </cols>
  <sheetData>
    <row r="1" spans="1:26" ht="15.75" customHeight="1">
      <c r="A1" s="600" t="s">
        <v>116</v>
      </c>
      <c r="B1" s="540"/>
      <c r="C1" s="540"/>
      <c r="D1" s="541"/>
      <c r="E1" s="7"/>
      <c r="F1" s="7"/>
      <c r="G1" s="600" t="s">
        <v>117</v>
      </c>
      <c r="H1" s="540"/>
      <c r="I1" s="54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608" t="s">
        <v>118</v>
      </c>
      <c r="B2" s="540"/>
      <c r="C2" s="540"/>
      <c r="D2" s="540"/>
      <c r="E2" s="8"/>
      <c r="F2" s="8"/>
      <c r="G2" s="7"/>
      <c r="H2" s="72" t="s">
        <v>112</v>
      </c>
      <c r="I2" s="18" t="s">
        <v>113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609" t="s">
        <v>101</v>
      </c>
      <c r="B3" s="543"/>
      <c r="C3" s="609" t="s">
        <v>119</v>
      </c>
      <c r="D3" s="543"/>
      <c r="E3" s="7"/>
      <c r="F3" s="7"/>
      <c r="G3" s="73" t="s">
        <v>114</v>
      </c>
      <c r="H3" s="71">
        <f>'Ejercicio 6'!B12</f>
        <v>4000</v>
      </c>
      <c r="I3" s="10">
        <f>'Ejercicio 6'!C12</f>
        <v>5000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605">
        <f>InfoInicial!B17</f>
        <v>5000</v>
      </c>
      <c r="B4" s="543"/>
      <c r="C4" s="606">
        <f>A4/4</f>
        <v>1250</v>
      </c>
      <c r="D4" s="54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"/>
      <c r="B5" s="7"/>
      <c r="C5" s="7"/>
      <c r="D5" s="7"/>
      <c r="E5" s="7"/>
      <c r="F5" s="7"/>
      <c r="G5" s="74" t="s">
        <v>120</v>
      </c>
      <c r="H5" s="75">
        <f>H3-C7</f>
        <v>3375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607" t="s">
        <v>121</v>
      </c>
      <c r="B6" s="540"/>
      <c r="C6" s="77">
        <f>C4</f>
        <v>1250</v>
      </c>
      <c r="D6" s="7" t="s">
        <v>122</v>
      </c>
      <c r="E6" s="7"/>
      <c r="F6" s="7"/>
      <c r="G6" s="76" t="s">
        <v>123</v>
      </c>
      <c r="H6" s="78">
        <f>I3</f>
        <v>5000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607" t="s">
        <v>124</v>
      </c>
      <c r="B7" s="540"/>
      <c r="C7" s="77">
        <f>C6/2</f>
        <v>625</v>
      </c>
      <c r="D7" s="7" t="s">
        <v>122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7" t="s">
        <v>125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9">
    <mergeCell ref="A6:B6"/>
    <mergeCell ref="A7:B7"/>
    <mergeCell ref="A1:D1"/>
    <mergeCell ref="G1:I1"/>
    <mergeCell ref="A2:D2"/>
    <mergeCell ref="A3:B3"/>
    <mergeCell ref="C3:D3"/>
    <mergeCell ref="A4:B4"/>
    <mergeCell ref="C4:D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sqref="A1:D1"/>
    </sheetView>
  </sheetViews>
  <sheetFormatPr baseColWidth="10" defaultColWidth="12.5703125" defaultRowHeight="15" customHeight="1"/>
  <cols>
    <col min="1" max="1" width="38.5703125" customWidth="1"/>
    <col min="2" max="2" width="22.42578125" customWidth="1"/>
    <col min="3" max="3" width="17" customWidth="1"/>
    <col min="4" max="4" width="12" customWidth="1"/>
    <col min="5" max="6" width="14.42578125" customWidth="1"/>
  </cols>
  <sheetData>
    <row r="1" spans="1:26" ht="15.75" customHeight="1">
      <c r="A1" s="611" t="s">
        <v>126</v>
      </c>
      <c r="B1" s="537"/>
      <c r="C1" s="537"/>
      <c r="D1" s="53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610" t="s">
        <v>127</v>
      </c>
      <c r="B2" s="537"/>
      <c r="C2" s="537"/>
      <c r="D2" s="53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76" t="s">
        <v>128</v>
      </c>
      <c r="B3" s="79">
        <v>7</v>
      </c>
      <c r="C3" s="80" t="s">
        <v>129</v>
      </c>
      <c r="D3" s="81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76" t="s">
        <v>130</v>
      </c>
      <c r="B4" s="79">
        <f>ROUND(340/B3,0)</f>
        <v>49</v>
      </c>
      <c r="C4" s="80" t="s">
        <v>131</v>
      </c>
      <c r="D4" s="8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81"/>
      <c r="B5" s="82"/>
      <c r="C5" s="81"/>
      <c r="D5" s="8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76" t="s">
        <v>132</v>
      </c>
      <c r="B6" s="83">
        <f>'Ejercicio 6'!F10*1.173</f>
        <v>357</v>
      </c>
      <c r="C6" s="84" t="s">
        <v>133</v>
      </c>
      <c r="D6" s="85"/>
      <c r="E6" s="1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74" t="s">
        <v>134</v>
      </c>
      <c r="B7" s="86">
        <f>'Ejercicio 6'!H11*1.173</f>
        <v>4335</v>
      </c>
      <c r="C7" s="84" t="s">
        <v>133</v>
      </c>
      <c r="D7" s="80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76" t="s">
        <v>135</v>
      </c>
      <c r="B8" s="87">
        <f>B7+B6</f>
        <v>4692</v>
      </c>
      <c r="C8" s="88"/>
      <c r="D8" s="8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89" t="s">
        <v>136</v>
      </c>
      <c r="B9" s="90">
        <f>'Ejercicio 6'!B12</f>
        <v>4000</v>
      </c>
      <c r="C9" s="88"/>
      <c r="D9" s="8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6" t="s">
        <v>137</v>
      </c>
      <c r="B10" s="87">
        <f>B8-B9</f>
        <v>692</v>
      </c>
      <c r="C10" s="88"/>
      <c r="D10" s="8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54"/>
      <c r="B11" s="15"/>
      <c r="C11" s="88"/>
      <c r="D11" s="8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610" t="s">
        <v>138</v>
      </c>
      <c r="B12" s="537"/>
      <c r="C12" s="537"/>
      <c r="D12" s="53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6" t="s">
        <v>139</v>
      </c>
      <c r="B13" s="79">
        <f>B4</f>
        <v>49</v>
      </c>
      <c r="C13" s="80" t="s">
        <v>131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6" t="s">
        <v>140</v>
      </c>
      <c r="B14" s="91">
        <f>'Ejercicio 1'!C22/340*'Ejercicio 2 '!C5</f>
        <v>120.75</v>
      </c>
      <c r="C14" s="80" t="s">
        <v>122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9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612" t="s">
        <v>141</v>
      </c>
      <c r="B16" s="613"/>
      <c r="C16" s="613"/>
      <c r="D16" s="61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6" t="s">
        <v>142</v>
      </c>
      <c r="B17" s="614" t="s">
        <v>143</v>
      </c>
      <c r="C17" s="540"/>
      <c r="D17" s="93">
        <f>B14/1.173</f>
        <v>102.94117647058823</v>
      </c>
      <c r="E17" s="7"/>
      <c r="F17" s="8" t="s">
        <v>144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6" t="s">
        <v>137</v>
      </c>
      <c r="B18" s="614" t="s">
        <v>145</v>
      </c>
      <c r="C18" s="540"/>
      <c r="D18" s="93">
        <f>D17*1.173</f>
        <v>120.75</v>
      </c>
      <c r="E18" s="7"/>
      <c r="F18" s="8" t="s">
        <v>146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6" t="s">
        <v>147</v>
      </c>
      <c r="B19" s="614" t="s">
        <v>148</v>
      </c>
      <c r="C19" s="540"/>
      <c r="D19" s="93">
        <v>0</v>
      </c>
      <c r="E19" s="7"/>
      <c r="F19" s="8" t="s">
        <v>149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54" t="s">
        <v>150</v>
      </c>
      <c r="D20" s="94">
        <f>SUM(D17:D19)</f>
        <v>223.69117647058823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610" t="s">
        <v>151</v>
      </c>
      <c r="B22" s="537"/>
      <c r="C22" s="537"/>
      <c r="D22" s="53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607" t="s">
        <v>152</v>
      </c>
      <c r="B23" s="540"/>
      <c r="C23" s="95">
        <f>D20+B6+B7</f>
        <v>4915.6911764705883</v>
      </c>
      <c r="D23" s="8" t="s">
        <v>122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610" t="s">
        <v>153</v>
      </c>
      <c r="B25" s="537"/>
      <c r="C25" s="537"/>
      <c r="D25" s="53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6" t="s">
        <v>154</v>
      </c>
      <c r="B26" s="95">
        <f>'Ejercicio 1'!C22*1.1</f>
        <v>6451.5000000000009</v>
      </c>
      <c r="C26" s="8" t="s">
        <v>122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0">
    <mergeCell ref="A22:D22"/>
    <mergeCell ref="A23:B23"/>
    <mergeCell ref="A25:D25"/>
    <mergeCell ref="A1:D1"/>
    <mergeCell ref="A2:D2"/>
    <mergeCell ref="A12:D12"/>
    <mergeCell ref="A16:D16"/>
    <mergeCell ref="B17:C17"/>
    <mergeCell ref="B18:C18"/>
    <mergeCell ref="B19:C1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sqref="A1:C1"/>
    </sheetView>
  </sheetViews>
  <sheetFormatPr baseColWidth="10" defaultColWidth="12.5703125" defaultRowHeight="15" customHeight="1"/>
  <cols>
    <col min="1" max="1" width="15.85546875" customWidth="1"/>
    <col min="2" max="4" width="14.42578125" customWidth="1"/>
    <col min="5" max="5" width="24.140625" customWidth="1"/>
    <col min="6" max="6" width="24.85546875" customWidth="1"/>
    <col min="7" max="9" width="14.42578125" customWidth="1"/>
  </cols>
  <sheetData>
    <row r="1" spans="1:26" ht="15.75" customHeight="1">
      <c r="A1" s="611" t="s">
        <v>155</v>
      </c>
      <c r="B1" s="537"/>
      <c r="C1" s="538"/>
      <c r="D1" s="7"/>
      <c r="E1" s="7"/>
      <c r="F1" s="96"/>
      <c r="G1" s="9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18" t="s">
        <v>156</v>
      </c>
      <c r="B2" s="18" t="s">
        <v>157</v>
      </c>
      <c r="C2" s="18" t="s">
        <v>158</v>
      </c>
      <c r="D2" s="7"/>
      <c r="E2" s="98" t="s">
        <v>159</v>
      </c>
      <c r="F2" s="99">
        <f>'Ejercicio 9'!B26</f>
        <v>6451.5000000000009</v>
      </c>
      <c r="G2" s="8" t="s">
        <v>122</v>
      </c>
      <c r="H2" s="7"/>
      <c r="I2" s="8">
        <f>340/365</f>
        <v>0.93150684931506844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11" t="s">
        <v>160</v>
      </c>
      <c r="B3" s="100" t="s">
        <v>161</v>
      </c>
      <c r="C3" s="100" t="s">
        <v>161</v>
      </c>
      <c r="D3" s="7"/>
      <c r="E3" s="33" t="s">
        <v>162</v>
      </c>
      <c r="F3" s="99">
        <f>F2/I3</f>
        <v>577.15625000000011</v>
      </c>
      <c r="G3" s="8" t="s">
        <v>122</v>
      </c>
      <c r="H3" s="7"/>
      <c r="I3" s="8">
        <f>12*I2</f>
        <v>11.17808219178082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1" t="s">
        <v>163</v>
      </c>
      <c r="B4" s="100" t="s">
        <v>161</v>
      </c>
      <c r="C4" s="100" t="s">
        <v>161</v>
      </c>
      <c r="D4" s="7"/>
      <c r="E4" s="33" t="s">
        <v>164</v>
      </c>
      <c r="F4" s="99">
        <f>F3</f>
        <v>577.15625000000011</v>
      </c>
      <c r="G4" s="8" t="s">
        <v>122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1" t="s">
        <v>165</v>
      </c>
      <c r="B5" s="100">
        <f>F3*3</f>
        <v>1731.4687500000005</v>
      </c>
      <c r="C5" s="100">
        <f t="shared" ref="C5:C14" si="0">B5</f>
        <v>1731.4687500000005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1" t="s">
        <v>166</v>
      </c>
      <c r="B6" s="100" t="s">
        <v>161</v>
      </c>
      <c r="C6" s="100" t="str">
        <f t="shared" si="0"/>
        <v>-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1" t="s">
        <v>167</v>
      </c>
      <c r="B7" s="100" t="s">
        <v>161</v>
      </c>
      <c r="C7" s="100" t="str">
        <f t="shared" si="0"/>
        <v>-</v>
      </c>
      <c r="D7" s="7"/>
      <c r="E7" s="8" t="s">
        <v>168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1" t="s">
        <v>169</v>
      </c>
      <c r="B8" s="100">
        <f>B5</f>
        <v>1731.4687500000005</v>
      </c>
      <c r="C8" s="100">
        <f t="shared" si="0"/>
        <v>1731.4687500000005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1" t="s">
        <v>170</v>
      </c>
      <c r="B9" s="100" t="s">
        <v>161</v>
      </c>
      <c r="C9" s="100" t="str">
        <f t="shared" si="0"/>
        <v>-</v>
      </c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1" t="s">
        <v>171</v>
      </c>
      <c r="B10" s="100" t="s">
        <v>161</v>
      </c>
      <c r="C10" s="100" t="str">
        <f t="shared" si="0"/>
        <v>-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1" t="s">
        <v>172</v>
      </c>
      <c r="B11" s="100">
        <f>B8</f>
        <v>1731.4687500000005</v>
      </c>
      <c r="C11" s="100">
        <f t="shared" si="0"/>
        <v>1731.4687500000005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1" t="s">
        <v>173</v>
      </c>
      <c r="B12" s="100" t="s">
        <v>161</v>
      </c>
      <c r="C12" s="100" t="str">
        <f t="shared" si="0"/>
        <v>-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1" t="s">
        <v>174</v>
      </c>
      <c r="B13" s="100" t="s">
        <v>161</v>
      </c>
      <c r="C13" s="100" t="str">
        <f t="shared" si="0"/>
        <v>-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1" t="s">
        <v>175</v>
      </c>
      <c r="B14" s="100">
        <f>B11</f>
        <v>1731.4687500000005</v>
      </c>
      <c r="C14" s="100">
        <f t="shared" si="0"/>
        <v>1731.4687500000005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8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C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sqref="A1:E1"/>
    </sheetView>
  </sheetViews>
  <sheetFormatPr baseColWidth="10" defaultColWidth="12.5703125" defaultRowHeight="15" customHeight="1"/>
  <cols>
    <col min="1" max="1" width="29" customWidth="1"/>
    <col min="2" max="2" width="21" customWidth="1"/>
    <col min="3" max="3" width="23.42578125" customWidth="1"/>
    <col min="4" max="9" width="14.42578125" customWidth="1"/>
    <col min="10" max="10" width="26.140625" customWidth="1"/>
    <col min="11" max="13" width="14.42578125" customWidth="1"/>
  </cols>
  <sheetData>
    <row r="1" spans="1:26" ht="15.75" customHeight="1">
      <c r="A1" s="611" t="s">
        <v>176</v>
      </c>
      <c r="B1" s="537"/>
      <c r="C1" s="537"/>
      <c r="D1" s="537"/>
      <c r="E1" s="53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11"/>
      <c r="B2" s="18" t="s">
        <v>177</v>
      </c>
      <c r="C2" s="18" t="s">
        <v>178</v>
      </c>
      <c r="D2" s="18" t="s">
        <v>112</v>
      </c>
      <c r="E2" s="18" t="s">
        <v>113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101" t="s">
        <v>179</v>
      </c>
      <c r="B3" s="10" t="s">
        <v>180</v>
      </c>
      <c r="C3" s="44">
        <v>0</v>
      </c>
      <c r="D3" s="44">
        <f>'Ejercicio 7 y 8'!H5</f>
        <v>3375</v>
      </c>
      <c r="E3" s="44">
        <f>'Ejercicio 7 y 8'!H6</f>
        <v>5000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101" t="s">
        <v>181</v>
      </c>
      <c r="B4" s="10" t="s">
        <v>180</v>
      </c>
      <c r="C4" s="44">
        <v>0</v>
      </c>
      <c r="D4" s="44">
        <f>'Ejercicio 7 y 8'!C7</f>
        <v>625</v>
      </c>
      <c r="E4" s="44">
        <f>'Ejercicio 7 y 8'!C7</f>
        <v>625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101" t="s">
        <v>182</v>
      </c>
      <c r="B5" s="10" t="s">
        <v>183</v>
      </c>
      <c r="C5" s="44">
        <v>0</v>
      </c>
      <c r="D5" s="44">
        <f>'Ejercicio 6'!B12</f>
        <v>4000</v>
      </c>
      <c r="E5" s="44">
        <f>'Ejercicio 6'!C12</f>
        <v>5000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101" t="s">
        <v>184</v>
      </c>
      <c r="B6" s="10" t="s">
        <v>183</v>
      </c>
      <c r="C6" s="44">
        <v>0</v>
      </c>
      <c r="D6" s="102">
        <f>'Ejercicio 9'!B10</f>
        <v>692</v>
      </c>
      <c r="E6" s="44">
        <f>'Ejercicio 9'!D18</f>
        <v>120.75</v>
      </c>
      <c r="F6" s="7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101" t="s">
        <v>185</v>
      </c>
      <c r="B7" s="10" t="s">
        <v>183</v>
      </c>
      <c r="C7" s="44">
        <v>0</v>
      </c>
      <c r="D7" s="44">
        <f>'Ejercicio 9'!D20</f>
        <v>223.69117647058823</v>
      </c>
      <c r="E7" s="44">
        <f>'Ejercicio 9'!D20</f>
        <v>223.69117647058823</v>
      </c>
      <c r="F7" s="7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01" t="s">
        <v>186</v>
      </c>
      <c r="B8" s="10" t="s">
        <v>183</v>
      </c>
      <c r="C8" s="44">
        <v>0</v>
      </c>
      <c r="D8" s="44">
        <f>'Ejercicio 9'!C23</f>
        <v>4915.6911764705883</v>
      </c>
      <c r="E8" s="44">
        <f>'Ejercicio 9'!B26</f>
        <v>6451.5000000000009</v>
      </c>
      <c r="F8" s="7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01" t="s">
        <v>187</v>
      </c>
      <c r="B9" s="10" t="s">
        <v>183</v>
      </c>
      <c r="C9" s="44">
        <f>'Ejercicio 10'!F4*3</f>
        <v>1731.4687500000005</v>
      </c>
      <c r="D9" s="44">
        <f>AVERAGE('Ejercicio 10'!B3:B14)</f>
        <v>1731.4687500000005</v>
      </c>
      <c r="E9" s="44">
        <f>D9</f>
        <v>1731.4687500000005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01" t="s">
        <v>188</v>
      </c>
      <c r="B10" s="10" t="s">
        <v>183</v>
      </c>
      <c r="C10" s="44">
        <f>C9</f>
        <v>1731.4687500000005</v>
      </c>
      <c r="D10" s="44">
        <f t="shared" ref="D10:E10" si="0">D8</f>
        <v>4915.6911764705883</v>
      </c>
      <c r="E10" s="44">
        <f t="shared" si="0"/>
        <v>6451.5000000000009</v>
      </c>
      <c r="F10" s="10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615"/>
      <c r="K24" s="613"/>
      <c r="L24" s="613"/>
      <c r="M24" s="5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E1"/>
    <mergeCell ref="J24:L2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>
      <selection activeCell="A17" sqref="A17:A18"/>
    </sheetView>
  </sheetViews>
  <sheetFormatPr baseColWidth="10" defaultColWidth="12.5703125" defaultRowHeight="15" customHeight="1"/>
  <cols>
    <col min="1" max="1" width="42.28515625" customWidth="1"/>
    <col min="2" max="6" width="10" customWidth="1"/>
    <col min="7" max="7" width="11.85546875" customWidth="1"/>
    <col min="8" max="8" width="11.42578125" customWidth="1"/>
    <col min="9" max="9" width="10.85546875" customWidth="1"/>
    <col min="10" max="10" width="10.5703125" customWidth="1"/>
    <col min="11" max="11" width="9.5703125" customWidth="1"/>
    <col min="12" max="26" width="10" customWidth="1"/>
  </cols>
  <sheetData>
    <row r="1" spans="1:11" ht="12.75" customHeight="1"/>
    <row r="2" spans="1:11" ht="12.75" customHeight="1">
      <c r="A2" s="14" t="s">
        <v>189</v>
      </c>
      <c r="B2" s="104">
        <v>0.21</v>
      </c>
    </row>
    <row r="3" spans="1:11" ht="12.75" customHeight="1">
      <c r="A3" s="14" t="s">
        <v>190</v>
      </c>
      <c r="B3" s="104">
        <v>0.35</v>
      </c>
    </row>
    <row r="4" spans="1:11" ht="12.75" customHeight="1">
      <c r="A4" s="14" t="s">
        <v>191</v>
      </c>
      <c r="B4" s="104">
        <v>0</v>
      </c>
      <c r="C4" s="8" t="s">
        <v>192</v>
      </c>
      <c r="H4" s="17"/>
    </row>
    <row r="5" spans="1:11" ht="12.75" customHeight="1"/>
    <row r="6" spans="1:11" ht="12.75" customHeight="1">
      <c r="A6" s="14" t="s">
        <v>193</v>
      </c>
      <c r="B6" s="8" t="s">
        <v>194</v>
      </c>
    </row>
    <row r="7" spans="1:11" ht="12.75" customHeight="1">
      <c r="A7" s="37" t="s">
        <v>195</v>
      </c>
      <c r="B7" s="105">
        <v>30</v>
      </c>
      <c r="C7" s="8" t="s">
        <v>196</v>
      </c>
    </row>
    <row r="8" spans="1:11" ht="12.75" customHeight="1">
      <c r="A8" s="37" t="s">
        <v>197</v>
      </c>
      <c r="B8" s="105">
        <v>10</v>
      </c>
      <c r="C8" s="8" t="s">
        <v>196</v>
      </c>
    </row>
    <row r="9" spans="1:11" ht="12.75" customHeight="1">
      <c r="A9" s="37" t="s">
        <v>198</v>
      </c>
      <c r="B9" s="105">
        <v>10</v>
      </c>
      <c r="C9" s="8" t="s">
        <v>196</v>
      </c>
    </row>
    <row r="10" spans="1:11" ht="12.75" customHeight="1">
      <c r="A10" s="37" t="s">
        <v>199</v>
      </c>
      <c r="B10" s="105">
        <v>5</v>
      </c>
      <c r="C10" s="8" t="s">
        <v>196</v>
      </c>
    </row>
    <row r="11" spans="1:11" ht="12.75" customHeight="1">
      <c r="A11" s="37" t="s">
        <v>200</v>
      </c>
      <c r="B11" s="105">
        <v>5</v>
      </c>
      <c r="C11" s="8" t="s">
        <v>196</v>
      </c>
    </row>
    <row r="12" spans="1:11" ht="12.75" customHeight="1">
      <c r="A12" s="37" t="s">
        <v>201</v>
      </c>
      <c r="B12" s="105">
        <v>3</v>
      </c>
      <c r="C12" s="8" t="s">
        <v>196</v>
      </c>
    </row>
    <row r="13" spans="1:11" ht="12.75" customHeight="1">
      <c r="A13" s="37" t="s">
        <v>202</v>
      </c>
      <c r="B13" s="105">
        <v>5</v>
      </c>
      <c r="C13" s="8" t="s">
        <v>196</v>
      </c>
      <c r="G13" s="54" t="s">
        <v>203</v>
      </c>
      <c r="I13" s="106">
        <v>0.02</v>
      </c>
    </row>
    <row r="14" spans="1:11" ht="12.75" customHeight="1"/>
    <row r="15" spans="1:11" ht="12.75" customHeight="1">
      <c r="A15" s="14" t="s">
        <v>204</v>
      </c>
      <c r="B15" s="107" t="s">
        <v>205</v>
      </c>
      <c r="C15" s="108"/>
      <c r="D15" s="108"/>
      <c r="E15" s="108"/>
      <c r="F15" s="108"/>
      <c r="G15" s="109"/>
      <c r="K15" s="17"/>
    </row>
    <row r="16" spans="1:11" ht="12.75" customHeight="1"/>
    <row r="17" spans="1:8" ht="12.75" customHeight="1">
      <c r="A17" s="531" t="s">
        <v>206</v>
      </c>
      <c r="B17" s="110">
        <v>5000</v>
      </c>
      <c r="C17" s="8" t="s">
        <v>207</v>
      </c>
      <c r="D17" s="8" t="s">
        <v>208</v>
      </c>
      <c r="G17" s="8"/>
    </row>
    <row r="18" spans="1:8" ht="12.75" customHeight="1">
      <c r="A18" s="531" t="s">
        <v>209</v>
      </c>
      <c r="B18" s="110">
        <v>450</v>
      </c>
      <c r="C18" s="8" t="s">
        <v>210</v>
      </c>
      <c r="D18" s="17"/>
      <c r="H18" s="111" t="s">
        <v>211</v>
      </c>
    </row>
    <row r="19" spans="1:8" ht="12.75" customHeight="1"/>
    <row r="20" spans="1:8" ht="12.75" customHeight="1">
      <c r="A20" s="14" t="s">
        <v>212</v>
      </c>
    </row>
    <row r="21" spans="1:8" ht="12.75" customHeight="1">
      <c r="A21" s="14" t="s">
        <v>213</v>
      </c>
      <c r="B21" s="110">
        <v>8</v>
      </c>
      <c r="C21" s="8" t="s">
        <v>214</v>
      </c>
      <c r="D21" s="17"/>
    </row>
    <row r="22" spans="1:8" ht="12.75" customHeight="1">
      <c r="A22" s="14" t="s">
        <v>215</v>
      </c>
      <c r="B22" s="110">
        <v>1</v>
      </c>
      <c r="C22" s="8" t="s">
        <v>214</v>
      </c>
    </row>
    <row r="23" spans="1:8" ht="12.75" customHeight="1">
      <c r="A23" s="14" t="s">
        <v>216</v>
      </c>
      <c r="B23" s="110">
        <v>3</v>
      </c>
      <c r="C23" s="8" t="s">
        <v>214</v>
      </c>
    </row>
    <row r="24" spans="1:8" ht="12.75" customHeight="1"/>
    <row r="25" spans="1:8" ht="12.75" customHeight="1">
      <c r="A25" s="14" t="s">
        <v>217</v>
      </c>
      <c r="B25" s="110">
        <v>2500</v>
      </c>
      <c r="C25" s="8" t="s">
        <v>218</v>
      </c>
    </row>
    <row r="26" spans="1:8" ht="12.75" customHeight="1">
      <c r="A26" s="14" t="s">
        <v>219</v>
      </c>
      <c r="B26" s="110">
        <v>9</v>
      </c>
      <c r="C26" s="8" t="s">
        <v>220</v>
      </c>
      <c r="D26" s="17"/>
    </row>
    <row r="27" spans="1:8" ht="12.75" customHeight="1">
      <c r="A27" s="14" t="s">
        <v>221</v>
      </c>
      <c r="B27" s="110">
        <v>3</v>
      </c>
      <c r="C27" s="8" t="s">
        <v>220</v>
      </c>
    </row>
    <row r="28" spans="1:8" ht="12.75" customHeight="1"/>
    <row r="29" spans="1:8" ht="12.75" customHeight="1"/>
    <row r="30" spans="1:8" ht="12.75" customHeight="1">
      <c r="A30" s="14" t="s">
        <v>222</v>
      </c>
      <c r="B30" s="110">
        <v>1300</v>
      </c>
      <c r="C30" s="8" t="s">
        <v>223</v>
      </c>
      <c r="D30" s="110">
        <v>1</v>
      </c>
      <c r="E30" s="8" t="s">
        <v>224</v>
      </c>
    </row>
    <row r="31" spans="1:8" ht="12.75" customHeight="1">
      <c r="A31" s="54"/>
    </row>
    <row r="32" spans="1:8" ht="12.75" customHeight="1">
      <c r="A32" s="54"/>
    </row>
    <row r="33" spans="1:5" ht="12.75" customHeight="1">
      <c r="A33" s="14" t="s">
        <v>225</v>
      </c>
      <c r="B33" s="112">
        <v>0.5</v>
      </c>
      <c r="C33" s="8" t="s">
        <v>226</v>
      </c>
      <c r="E33" s="113"/>
    </row>
    <row r="34" spans="1:5" ht="12.75" customHeight="1">
      <c r="A34" s="14" t="s">
        <v>227</v>
      </c>
      <c r="B34" s="616" t="s">
        <v>228</v>
      </c>
      <c r="C34" s="540"/>
      <c r="D34" s="543"/>
    </row>
    <row r="35" spans="1:5" ht="12.75" customHeight="1">
      <c r="A35" s="14" t="s">
        <v>229</v>
      </c>
      <c r="B35" s="114">
        <v>0.3</v>
      </c>
    </row>
    <row r="36" spans="1:5" ht="12.75" customHeight="1">
      <c r="A36" s="14"/>
    </row>
    <row r="37" spans="1:5" ht="12.75" customHeight="1">
      <c r="A37" s="14" t="s">
        <v>230</v>
      </c>
      <c r="B37" s="110">
        <v>30</v>
      </c>
    </row>
    <row r="38" spans="1:5" ht="12.75" customHeight="1">
      <c r="A38" s="14" t="s">
        <v>231</v>
      </c>
      <c r="B38" s="114">
        <v>0.5</v>
      </c>
    </row>
    <row r="39" spans="1:5" ht="12.75" customHeight="1">
      <c r="A39" s="14" t="s">
        <v>232</v>
      </c>
      <c r="B39" s="114">
        <v>0.12</v>
      </c>
      <c r="C39" s="8" t="s">
        <v>226</v>
      </c>
    </row>
    <row r="40" spans="1:5" ht="12.75" customHeight="1"/>
    <row r="41" spans="1:5" ht="12.75" customHeight="1"/>
    <row r="42" spans="1:5" ht="12.75" customHeight="1"/>
    <row r="43" spans="1:5" ht="12.75" customHeight="1"/>
    <row r="44" spans="1:5" ht="12.75" customHeight="1"/>
    <row r="45" spans="1:5" ht="12.75" customHeight="1"/>
    <row r="46" spans="1:5" ht="12.75" customHeight="1"/>
    <row r="47" spans="1:5" ht="12.75" customHeight="1"/>
    <row r="48" spans="1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4:D34"/>
  </mergeCells>
  <hyperlinks>
    <hyperlink ref="H18" r:id="rId1" xr:uid="{00000000-0004-0000-0A00-000000000000}"/>
  </hyperlinks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N19"/>
  <sheetViews>
    <sheetView workbookViewId="0"/>
  </sheetViews>
  <sheetFormatPr baseColWidth="10" defaultColWidth="12.5703125" defaultRowHeight="15" customHeight="1"/>
  <cols>
    <col min="3" max="3" width="17" customWidth="1"/>
    <col min="10" max="10" width="14.28515625" customWidth="1"/>
  </cols>
  <sheetData>
    <row r="1" spans="2:14" ht="15" customHeight="1">
      <c r="B1" s="115"/>
    </row>
    <row r="3" spans="2:14" ht="12.75">
      <c r="J3" s="617"/>
      <c r="K3" s="613"/>
      <c r="L3" s="613"/>
      <c r="M3" s="613"/>
      <c r="N3" s="613"/>
    </row>
    <row r="4" spans="2:14" ht="15" customHeight="1">
      <c r="C4" s="116" t="s">
        <v>233</v>
      </c>
      <c r="F4" s="618" t="s">
        <v>234</v>
      </c>
      <c r="G4" s="540"/>
      <c r="H4" s="540"/>
      <c r="I4" s="540"/>
      <c r="J4" s="540"/>
      <c r="K4" s="543"/>
    </row>
    <row r="5" spans="2:14" ht="12.75">
      <c r="B5" s="11" t="s">
        <v>235</v>
      </c>
      <c r="C5" s="99">
        <f>'Ejercicio 10'!F2</f>
        <v>6451.5000000000009</v>
      </c>
      <c r="F5" s="117" t="s">
        <v>112</v>
      </c>
      <c r="G5" s="11">
        <f>1000*3375</f>
        <v>3375000</v>
      </c>
      <c r="H5" s="118" t="s">
        <v>236</v>
      </c>
      <c r="I5" s="119">
        <f t="shared" ref="I5:I6" si="0">G5/50</f>
        <v>67500</v>
      </c>
      <c r="J5" s="120" t="s">
        <v>237</v>
      </c>
      <c r="K5" s="121">
        <f>I5*H8</f>
        <v>40486500</v>
      </c>
    </row>
    <row r="6" spans="2:14" ht="15" customHeight="1">
      <c r="B6" s="11" t="s">
        <v>238</v>
      </c>
      <c r="C6" s="122">
        <v>90000</v>
      </c>
      <c r="F6" s="117" t="s">
        <v>113</v>
      </c>
      <c r="G6" s="11">
        <f>1000*5000</f>
        <v>5000000</v>
      </c>
      <c r="H6" s="118" t="s">
        <v>236</v>
      </c>
      <c r="I6" s="123">
        <f t="shared" si="0"/>
        <v>100000</v>
      </c>
      <c r="J6" s="20" t="s">
        <v>237</v>
      </c>
      <c r="K6" s="121">
        <f>I6*H8</f>
        <v>59979999.999999993</v>
      </c>
    </row>
    <row r="7" spans="2:14" ht="15" customHeight="1">
      <c r="B7" s="11" t="s">
        <v>239</v>
      </c>
      <c r="C7" s="122">
        <f>C5*C6</f>
        <v>580635000.00000012</v>
      </c>
    </row>
    <row r="8" spans="2:14" ht="12.75">
      <c r="G8" s="118" t="s">
        <v>240</v>
      </c>
      <c r="H8" s="121">
        <f>29990/50</f>
        <v>599.79999999999995</v>
      </c>
      <c r="I8" s="113" t="s">
        <v>241</v>
      </c>
    </row>
    <row r="9" spans="2:14" ht="12.75">
      <c r="N9" s="92"/>
    </row>
    <row r="10" spans="2:14" ht="15" customHeight="1">
      <c r="B10" s="124" t="s">
        <v>112</v>
      </c>
      <c r="C10" s="125">
        <f>C7*0.75</f>
        <v>435476250.00000012</v>
      </c>
      <c r="M10" s="8"/>
    </row>
    <row r="11" spans="2:14" ht="15" customHeight="1">
      <c r="B11" s="124" t="s">
        <v>113</v>
      </c>
      <c r="C11" s="125">
        <f>C7</f>
        <v>580635000.00000012</v>
      </c>
    </row>
    <row r="13" spans="2:14" ht="12.75">
      <c r="L13" s="126"/>
    </row>
    <row r="14" spans="2:14" ht="15" customHeight="1">
      <c r="B14" s="124" t="s">
        <v>242</v>
      </c>
      <c r="C14" s="124"/>
      <c r="D14" s="125">
        <f>'Ejercicio 11'!C9*C6</f>
        <v>155832187.50000003</v>
      </c>
    </row>
    <row r="16" spans="2:14" ht="12.75">
      <c r="B16" s="8"/>
      <c r="C16" s="8"/>
      <c r="E16" s="8"/>
    </row>
    <row r="18" spans="2:4" ht="12.75">
      <c r="B18" s="8">
        <v>90000</v>
      </c>
      <c r="D18" s="8">
        <f>6451.5*1000</f>
        <v>6451500</v>
      </c>
    </row>
    <row r="19" spans="2:4" ht="12.75">
      <c r="B19" s="8">
        <f>D19*B18/D18</f>
        <v>0.55800976517089051</v>
      </c>
      <c r="D19" s="8">
        <v>40</v>
      </c>
    </row>
  </sheetData>
  <mergeCells count="2">
    <mergeCell ref="J3:N3"/>
    <mergeCell ref="F4:K4"/>
  </mergeCells>
  <hyperlinks>
    <hyperlink ref="I8" r:id="rId1" location="polycard_client=search-nordic&amp;position=21&amp;search_layout=stack&amp;type=item&amp;tracking_id=21379e5e-2703-47be-a018-e752532858f4" xr:uid="{00000000-0004-0000-0B00-000000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workbookViewId="0">
      <selection sqref="A1:B1"/>
    </sheetView>
  </sheetViews>
  <sheetFormatPr baseColWidth="10" defaultColWidth="12.5703125" defaultRowHeight="15" customHeight="1"/>
  <cols>
    <col min="1" max="1" width="25.42578125" customWidth="1"/>
    <col min="2" max="2" width="18.42578125" customWidth="1"/>
    <col min="3" max="3" width="15.140625" customWidth="1"/>
    <col min="4" max="4" width="16.7109375" customWidth="1"/>
    <col min="5" max="12" width="15.140625" customWidth="1"/>
    <col min="13" max="26" width="10.5703125" customWidth="1"/>
  </cols>
  <sheetData>
    <row r="1" spans="1:12" ht="12.75" customHeight="1">
      <c r="A1" s="619" t="s">
        <v>243</v>
      </c>
      <c r="B1" s="543"/>
      <c r="D1" s="7"/>
    </row>
    <row r="2" spans="1:12" ht="12.75" customHeight="1">
      <c r="A2" s="127" t="s">
        <v>244</v>
      </c>
      <c r="B2" s="128">
        <v>0.01</v>
      </c>
    </row>
    <row r="3" spans="1:12" ht="12.75" customHeight="1">
      <c r="A3" s="127" t="s">
        <v>245</v>
      </c>
      <c r="B3" s="129">
        <v>1.6E-2</v>
      </c>
    </row>
    <row r="4" spans="1:12" ht="12.75" customHeight="1">
      <c r="A4" s="127" t="s">
        <v>182</v>
      </c>
      <c r="B4" s="130">
        <v>1.4999999999999999E-2</v>
      </c>
    </row>
    <row r="5" spans="1:12" ht="12.75" customHeight="1">
      <c r="A5" s="127" t="s">
        <v>246</v>
      </c>
      <c r="B5" s="128">
        <v>0.03</v>
      </c>
    </row>
    <row r="6" spans="1:12" ht="12.75" customHeight="1"/>
    <row r="7" spans="1:12" ht="12.75" customHeight="1"/>
    <row r="8" spans="1:12" ht="12.75" customHeight="1">
      <c r="A8" s="620" t="s">
        <v>247</v>
      </c>
      <c r="B8" s="131" t="s">
        <v>248</v>
      </c>
      <c r="C8" s="131">
        <v>1</v>
      </c>
      <c r="D8" s="131">
        <v>2</v>
      </c>
      <c r="E8" s="131">
        <v>3</v>
      </c>
      <c r="F8" s="131">
        <v>4</v>
      </c>
      <c r="G8" s="131">
        <v>5</v>
      </c>
      <c r="H8" s="131">
        <v>6</v>
      </c>
      <c r="I8" s="131">
        <v>7</v>
      </c>
      <c r="J8" s="131">
        <v>8</v>
      </c>
      <c r="K8" s="131">
        <v>9</v>
      </c>
      <c r="L8" s="131">
        <v>10</v>
      </c>
    </row>
    <row r="9" spans="1:12" ht="12.75" customHeight="1">
      <c r="A9" s="621"/>
      <c r="B9" s="132" t="s">
        <v>244</v>
      </c>
      <c r="C9" s="122">
        <f>$B$2*('DE-Inv AF y Am'!$B$20+'DE-Inv AF y Am'!$D$20)</f>
        <v>28400067.748710748</v>
      </c>
      <c r="D9" s="122">
        <f>$B$2*('DE-Inv AF y Am'!$B$20+'DE-Inv AF y Am'!$D$20)</f>
        <v>28400067.748710748</v>
      </c>
      <c r="E9" s="122">
        <f>$B$2*('DE-Inv AF y Am'!$B$20+'DE-Inv AF y Am'!$D$20)</f>
        <v>28400067.748710748</v>
      </c>
      <c r="F9" s="122">
        <f>$B$2*('DE-Inv AF y Am'!$B$20+'DE-Inv AF y Am'!$D$20)</f>
        <v>28400067.748710748</v>
      </c>
      <c r="G9" s="122">
        <f>$B$2*('DE-Inv AF y Am'!$B$20+'DE-Inv AF y Am'!$D$20)</f>
        <v>28400067.748710748</v>
      </c>
      <c r="H9" s="122">
        <f>$B$2*('DE-Inv AF y Am'!$B$20+'DE-Inv AF y Am'!$D$20)</f>
        <v>28400067.748710748</v>
      </c>
      <c r="I9" s="122">
        <f>$B$2*('DE-Inv AF y Am'!$B$20+'DE-Inv AF y Am'!$D$20)</f>
        <v>28400067.748710748</v>
      </c>
      <c r="J9" s="122">
        <f>$B$2*('DE-Inv AF y Am'!$B$20+'DE-Inv AF y Am'!$D$20)</f>
        <v>28400067.748710748</v>
      </c>
      <c r="K9" s="122">
        <f>$B$2*('DE-Inv AF y Am'!$B$20+'DE-Inv AF y Am'!$D$20)</f>
        <v>28400067.748710748</v>
      </c>
      <c r="L9" s="122">
        <f>$B$2*('DE-Inv AF y Am'!$B$20+'DE-Inv AF y Am'!$D$20)</f>
        <v>28400067.748710748</v>
      </c>
    </row>
    <row r="10" spans="1:12" ht="12.75" customHeight="1">
      <c r="A10" s="621"/>
      <c r="B10" s="132" t="s">
        <v>245</v>
      </c>
      <c r="C10" s="122">
        <f>$B$3*('DE-Inv AF y Am'!$B$12+'DE-Inv AF y Am'!$D$11)</f>
        <v>884000</v>
      </c>
      <c r="D10" s="122">
        <f>$B$3*('DE-Inv AF y Am'!$B$12+'DE-Inv AF y Am'!$D$11)</f>
        <v>884000</v>
      </c>
      <c r="E10" s="122">
        <f>$B$3*('DE-Inv AF y Am'!$B$12+'DE-Inv AF y Am'!$D$11)</f>
        <v>884000</v>
      </c>
      <c r="F10" s="122">
        <f>$B$3*('DE-Inv AF y Am'!$B$12+'DE-Inv AF y Am'!$D$11)</f>
        <v>884000</v>
      </c>
      <c r="G10" s="122">
        <f>$B$3*('DE-Inv AF y Am'!$B$12+'DE-Inv AF y Am'!$D$11)</f>
        <v>884000</v>
      </c>
      <c r="H10" s="122">
        <f>$B$3*('DE-Inv AF y Am'!$B$12+'DE-Inv AF y Am'!$D$11)</f>
        <v>884000</v>
      </c>
      <c r="I10" s="122">
        <f>$B$3*('DE-Inv AF y Am'!$B$12+'DE-Inv AF y Am'!$D$11)</f>
        <v>884000</v>
      </c>
      <c r="J10" s="122">
        <f>$B$3*('DE-Inv AF y Am'!$B$12+'DE-Inv AF y Am'!$D$11)</f>
        <v>884000</v>
      </c>
      <c r="K10" s="122">
        <f>$B$3*('DE-Inv AF y Am'!$B$12+'DE-Inv AF y Am'!$D$11)</f>
        <v>884000</v>
      </c>
      <c r="L10" s="122">
        <f>$B$3*('DE-Inv AF y Am'!$B$12+'DE-Inv AF y Am'!$D$11)</f>
        <v>884000</v>
      </c>
    </row>
    <row r="11" spans="1:12" ht="12.75" customHeight="1">
      <c r="A11" s="621"/>
      <c r="B11" s="132" t="s">
        <v>182</v>
      </c>
      <c r="C11" s="122">
        <f>$B$4*'DE-Costos'!B4</f>
        <v>7139441.2500000019</v>
      </c>
      <c r="D11" s="122">
        <f>$B$4*'DE-Costos'!C4</f>
        <v>9609225.0000000019</v>
      </c>
      <c r="E11" s="122">
        <f>$B$4*'DE-Costos'!D4</f>
        <v>9609225.0000000019</v>
      </c>
      <c r="F11" s="122">
        <f>$B$4*'DE-Costos'!E4</f>
        <v>9609225.0000000019</v>
      </c>
      <c r="G11" s="122">
        <f>$B$4*'DE-Costos'!F4</f>
        <v>9609225.0000000019</v>
      </c>
      <c r="H11" s="122">
        <f>$B$4*'DE-Costos'!G4</f>
        <v>9609225.0000000019</v>
      </c>
      <c r="I11" s="122">
        <f>$B$4*'DE-Costos'!H4</f>
        <v>9609225.0000000019</v>
      </c>
      <c r="J11" s="122">
        <f>$B$4*'DE-Costos'!I4</f>
        <v>9609225.0000000019</v>
      </c>
      <c r="K11" s="122">
        <f>$B$4*'DE-Costos'!J4</f>
        <v>9609225.0000000019</v>
      </c>
      <c r="L11" s="122">
        <f>$B$4*'DE-Costos'!K4</f>
        <v>9609225.0000000019</v>
      </c>
    </row>
    <row r="12" spans="1:12" ht="12.75" customHeight="1">
      <c r="A12" s="621"/>
      <c r="B12" s="132" t="s">
        <v>246</v>
      </c>
      <c r="C12" s="122">
        <f>$B$5*('DE-Costos'!B5+'DE-Costos'!B8)</f>
        <v>1606466.2439999999</v>
      </c>
      <c r="D12" s="122">
        <f>$B$5*('DE-Costos'!C5+'DE-Costos'!C8)</f>
        <v>1606466.2439999999</v>
      </c>
      <c r="E12" s="122">
        <f>$B$5*('DE-Costos'!D5+'DE-Costos'!D8)</f>
        <v>1606466.2439999999</v>
      </c>
      <c r="F12" s="122">
        <f>$B$5*('DE-Costos'!E5+'DE-Costos'!E8)</f>
        <v>1606466.2439999999</v>
      </c>
      <c r="G12" s="122">
        <f>$B$5*('DE-Costos'!F5+'DE-Costos'!F8)</f>
        <v>1606466.2439999999</v>
      </c>
      <c r="H12" s="122">
        <f>$B$5*('DE-Costos'!G5+'DE-Costos'!G8)</f>
        <v>1606466.2439999999</v>
      </c>
      <c r="I12" s="122">
        <f>$B$5*('DE-Costos'!H5+'DE-Costos'!H8)</f>
        <v>1606466.2439999999</v>
      </c>
      <c r="J12" s="122">
        <f>$B$5*('DE-Costos'!I5+'DE-Costos'!I8)</f>
        <v>1606466.2439999999</v>
      </c>
      <c r="K12" s="122">
        <f>$B$5*('DE-Costos'!J5+'DE-Costos'!J8)</f>
        <v>1606466.2439999999</v>
      </c>
      <c r="L12" s="122">
        <f>$B$5*('DE-Costos'!K5+'DE-Costos'!K8)</f>
        <v>1606466.2439999999</v>
      </c>
    </row>
    <row r="13" spans="1:12" ht="12.75" customHeight="1">
      <c r="A13" s="596"/>
      <c r="B13" s="133" t="s">
        <v>249</v>
      </c>
      <c r="C13" s="134">
        <f t="shared" ref="C13:L13" si="0">SUM(C9:C12)</f>
        <v>38029975.242710754</v>
      </c>
      <c r="D13" s="134">
        <f t="shared" si="0"/>
        <v>40499758.992710754</v>
      </c>
      <c r="E13" s="134">
        <f t="shared" si="0"/>
        <v>40499758.992710754</v>
      </c>
      <c r="F13" s="134">
        <f t="shared" si="0"/>
        <v>40499758.992710754</v>
      </c>
      <c r="G13" s="134">
        <f t="shared" si="0"/>
        <v>40499758.992710754</v>
      </c>
      <c r="H13" s="134">
        <f t="shared" si="0"/>
        <v>40499758.992710754</v>
      </c>
      <c r="I13" s="134">
        <f t="shared" si="0"/>
        <v>40499758.992710754</v>
      </c>
      <c r="J13" s="134">
        <f t="shared" si="0"/>
        <v>40499758.992710754</v>
      </c>
      <c r="K13" s="134">
        <f t="shared" si="0"/>
        <v>40499758.992710754</v>
      </c>
      <c r="L13" s="134">
        <f t="shared" si="0"/>
        <v>40499758.992710754</v>
      </c>
    </row>
    <row r="14" spans="1:12" ht="12.75" customHeight="1"/>
    <row r="15" spans="1:12" ht="12.75" customHeight="1"/>
    <row r="16" spans="1:12" ht="12.75" customHeight="1"/>
    <row r="17" spans="2:6" ht="12.75" customHeight="1"/>
    <row r="18" spans="2:6" ht="12.75" customHeight="1"/>
    <row r="19" spans="2:6" ht="12.75" customHeight="1"/>
    <row r="20" spans="2:6" ht="12.75" customHeight="1"/>
    <row r="21" spans="2:6" ht="12.75" customHeight="1">
      <c r="B21" s="617"/>
      <c r="C21" s="613"/>
      <c r="D21" s="613"/>
      <c r="E21" s="613"/>
      <c r="F21" s="613"/>
    </row>
    <row r="22" spans="2:6" ht="12.75" customHeight="1">
      <c r="B22" s="8"/>
      <c r="C22" s="8"/>
      <c r="E22" s="8"/>
    </row>
    <row r="23" spans="2:6" ht="12.75" customHeight="1">
      <c r="B23" s="8"/>
      <c r="C23" s="8"/>
      <c r="E23" s="8"/>
    </row>
    <row r="24" spans="2:6" ht="12.75" customHeight="1"/>
    <row r="25" spans="2:6" ht="12.75" customHeight="1">
      <c r="B25" s="8"/>
      <c r="C25" s="126"/>
      <c r="D25" s="17"/>
    </row>
    <row r="26" spans="2:6" ht="12.75" customHeight="1"/>
    <row r="27" spans="2:6" ht="12.75" customHeight="1">
      <c r="B27" s="617"/>
      <c r="C27" s="613"/>
      <c r="D27" s="613"/>
      <c r="E27" s="613"/>
      <c r="F27" s="613"/>
    </row>
    <row r="28" spans="2:6" ht="12.75" customHeight="1">
      <c r="B28" s="8"/>
      <c r="C28" s="8"/>
      <c r="D28" s="135"/>
      <c r="E28" s="8"/>
    </row>
    <row r="29" spans="2:6" ht="12.75" customHeight="1"/>
    <row r="30" spans="2:6" ht="12.75" customHeight="1">
      <c r="B30" s="8"/>
      <c r="C30" s="136"/>
    </row>
    <row r="31" spans="2:6" ht="12.75" customHeight="1">
      <c r="C31" s="126"/>
    </row>
    <row r="32" spans="2:6" ht="12.75" customHeight="1">
      <c r="C32" s="113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B1"/>
    <mergeCell ref="A8:A13"/>
    <mergeCell ref="B21:F21"/>
    <mergeCell ref="B27:F27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baseColWidth="10" defaultColWidth="12.5703125" defaultRowHeight="15" customHeight="1"/>
  <cols>
    <col min="1" max="1" width="22.140625" customWidth="1"/>
    <col min="2" max="2" width="16.85546875" customWidth="1"/>
    <col min="3" max="3" width="16.28515625" customWidth="1"/>
    <col min="4" max="26" width="10.5703125" customWidth="1"/>
  </cols>
  <sheetData>
    <row r="1" spans="1:5" ht="12.75" customHeight="1">
      <c r="A1" s="137" t="s">
        <v>250</v>
      </c>
      <c r="B1" s="138">
        <f>'Ejercicio 11'!D5</f>
        <v>4000</v>
      </c>
      <c r="C1" s="7" t="s">
        <v>122</v>
      </c>
      <c r="D1" s="139" t="s">
        <v>251</v>
      </c>
    </row>
    <row r="2" spans="1:5" ht="12.75" customHeight="1">
      <c r="A2" s="137" t="s">
        <v>252</v>
      </c>
      <c r="B2" s="140">
        <f>'Ejercicio 11'!E5</f>
        <v>5000</v>
      </c>
      <c r="C2" s="7" t="s">
        <v>122</v>
      </c>
    </row>
    <row r="3" spans="1:5" ht="12.75" customHeight="1">
      <c r="B3" s="141"/>
    </row>
    <row r="4" spans="1:5" ht="12.75" customHeight="1"/>
    <row r="5" spans="1:5" ht="12.75" customHeight="1"/>
    <row r="6" spans="1:5" ht="12.75" customHeight="1">
      <c r="A6" s="142"/>
      <c r="B6" s="143" t="s">
        <v>112</v>
      </c>
      <c r="C6" s="143" t="s">
        <v>113</v>
      </c>
    </row>
    <row r="7" spans="1:5" ht="12.75" customHeight="1">
      <c r="A7" s="144" t="s">
        <v>253</v>
      </c>
      <c r="B7" s="145">
        <f>('DE-Costos'!B4/'Gastos Merc en curso y SE'!$B$1)*'Ejercicio 11'!$D$7</f>
        <v>26617166.875919122</v>
      </c>
      <c r="C7" s="145">
        <f>('DE-Costos'!C4/'Gastos Merc en curso y SE'!$B$2)*'Ejercicio 11'!$E$7</f>
        <v>28659984.602941182</v>
      </c>
    </row>
    <row r="8" spans="1:5" ht="12.75" customHeight="1">
      <c r="A8" s="144" t="s">
        <v>254</v>
      </c>
      <c r="B8" s="145">
        <f>('DE-Costos'!B5/'Gastos Merc en curso y SE'!$B$1)*'Ejercicio 11'!$D$7</f>
        <v>1655879.3695191175</v>
      </c>
      <c r="C8" s="145">
        <f>('DE-Costos'!C5/'Gastos Merc en curso y SE'!$B$2)*'Ejercicio 11'!$E$7</f>
        <v>1324703.4956152942</v>
      </c>
      <c r="E8" s="17"/>
    </row>
    <row r="9" spans="1:5" ht="12.75" customHeight="1">
      <c r="A9" s="144" t="s">
        <v>255</v>
      </c>
      <c r="B9" s="145">
        <f>('DE-Costos'!B7/'Gastos Merc en curso y SE'!$B$1)*'Ejercicio 11'!$D$7</f>
        <v>8979537.7084611189</v>
      </c>
      <c r="C9" s="145">
        <f>('DE-Costos'!C7/'Gastos Merc en curso y SE'!$B$2)*'Ejercicio 11'!$E$7</f>
        <v>7183630.1667688955</v>
      </c>
    </row>
    <row r="10" spans="1:5" ht="12.75" customHeight="1">
      <c r="A10" s="144" t="s">
        <v>256</v>
      </c>
      <c r="B10" s="145">
        <f>('DE-Costos'!B8/'Gastos Merc en curso y SE'!$B$1)*'Ejercicio 11'!$D$7</f>
        <v>1338723.3311529413</v>
      </c>
      <c r="C10" s="145">
        <f>('DE-Costos'!C8/'Gastos Merc en curso y SE'!$B$2)*'Ejercicio 11'!$E$7</f>
        <v>1070978.6649223531</v>
      </c>
    </row>
    <row r="11" spans="1:5" ht="12.75" customHeight="1">
      <c r="A11" s="144" t="s">
        <v>257</v>
      </c>
      <c r="B11" s="145">
        <f>('DE-Costos'!B9/'Gastos Merc en curso y SE'!$B$1)*'Ejercicio 11'!$D$7</f>
        <v>2126742.4757973282</v>
      </c>
      <c r="C11" s="145">
        <f>('DE-Costos'!C9/'Gastos Merc en curso y SE'!$B$2)*'Ejercicio 11'!$E$7</f>
        <v>1811887.7471709508</v>
      </c>
    </row>
    <row r="12" spans="1:5" ht="12.75" customHeight="1">
      <c r="A12" s="144" t="s">
        <v>258</v>
      </c>
      <c r="B12" s="145">
        <f>('DE-Costos'!B10/'Gastos Merc en curso y SE'!$B$1)*'Ejercicio 11'!$D$7</f>
        <v>6577691.1565741599</v>
      </c>
      <c r="C12" s="145">
        <f>('DE-Costos'!C10/'Gastos Merc en curso y SE'!$B$2)*'Ejercicio 11'!$E$7</f>
        <v>5539108.3423782401</v>
      </c>
    </row>
    <row r="13" spans="1:5" ht="12.75" customHeight="1">
      <c r="A13" s="144" t="s">
        <v>259</v>
      </c>
      <c r="B13" s="145">
        <f>('DE-Costos'!B11/'Gastos Merc en curso y SE'!$B$1)*'Ejercicio 11'!$D$7</f>
        <v>0</v>
      </c>
      <c r="C13" s="145">
        <f>('DE-Costos'!C11/'Gastos Merc en curso y SE'!$B$2)*'Ejercicio 11'!$E$7</f>
        <v>0</v>
      </c>
    </row>
    <row r="14" spans="1:5" ht="12.75" customHeight="1">
      <c r="A14" s="144" t="s">
        <v>260</v>
      </c>
      <c r="B14" s="145">
        <f>('DE-Costos'!B12/'Gastos Merc en curso y SE'!$B$1)*'Ejercicio 11'!$D$7</f>
        <v>1752001.057365095</v>
      </c>
      <c r="C14" s="145">
        <f>('DE-Costos'!C12/'Gastos Merc en curso y SE'!$B$2)*'Ejercicio 11'!$E$7</f>
        <v>1401600.8458920759</v>
      </c>
    </row>
    <row r="15" spans="1:5" ht="12.75" customHeight="1">
      <c r="A15" s="144" t="s">
        <v>261</v>
      </c>
      <c r="B15" s="145">
        <f>('DE-Costos'!B13/'Gastos Merc en curso y SE'!$B$1)*'Ejercicio 11'!$D$7</f>
        <v>6622045.3035425292</v>
      </c>
      <c r="C15" s="145">
        <f>('DE-Costos'!C13/'Gastos Merc en curso y SE'!$B$2)*'Ejercicio 11'!$E$7</f>
        <v>5115346.7869246891</v>
      </c>
    </row>
    <row r="16" spans="1:5" ht="12.75" customHeight="1">
      <c r="A16" s="144" t="s">
        <v>262</v>
      </c>
      <c r="B16" s="145">
        <f>('DE-Costos'!B14/'Gastos Merc en curso y SE'!$B$1)*'Ejercicio 11'!$D$7</f>
        <v>1113395.7455666284</v>
      </c>
      <c r="C16" s="145">
        <f>('DE-Costos'!C14/'Gastos Merc en curso y SE'!$B$2)*'Ejercicio 11'!$E$7</f>
        <v>1042144.8130522736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0"/>
  <sheetViews>
    <sheetView workbookViewId="0">
      <selection sqref="A1:A2"/>
    </sheetView>
  </sheetViews>
  <sheetFormatPr baseColWidth="10" defaultColWidth="12.5703125" defaultRowHeight="15" customHeight="1"/>
  <cols>
    <col min="1" max="1" width="20.85546875" customWidth="1"/>
    <col min="2" max="2" width="34.28515625" customWidth="1"/>
    <col min="3" max="3" width="17.7109375" customWidth="1"/>
    <col min="4" max="4" width="21.5703125" customWidth="1"/>
    <col min="5" max="5" width="17.7109375" customWidth="1"/>
    <col min="6" max="6" width="19.140625" customWidth="1"/>
    <col min="7" max="26" width="10.5703125" customWidth="1"/>
  </cols>
  <sheetData>
    <row r="1" spans="1:7" ht="12.75" customHeight="1">
      <c r="A1" s="622" t="s">
        <v>263</v>
      </c>
      <c r="B1" s="622" t="s">
        <v>264</v>
      </c>
      <c r="C1" s="623" t="s">
        <v>112</v>
      </c>
      <c r="D1" s="543"/>
      <c r="E1" s="623" t="s">
        <v>265</v>
      </c>
      <c r="F1" s="543"/>
    </row>
    <row r="2" spans="1:7" ht="12.75" customHeight="1">
      <c r="A2" s="596"/>
      <c r="B2" s="596"/>
      <c r="C2" s="146" t="s">
        <v>266</v>
      </c>
      <c r="D2" s="146" t="s">
        <v>267</v>
      </c>
      <c r="E2" s="146" t="s">
        <v>266</v>
      </c>
      <c r="F2" s="146" t="s">
        <v>267</v>
      </c>
    </row>
    <row r="3" spans="1:7" ht="12.75" customHeight="1">
      <c r="A3" s="137" t="s">
        <v>268</v>
      </c>
      <c r="B3" s="147">
        <f>'DE-Inv AF y Am'!B7</f>
        <v>1933884297.5206611</v>
      </c>
      <c r="C3" s="148">
        <v>0.01</v>
      </c>
      <c r="D3" s="149">
        <f t="shared" ref="D3:D7" si="0">B3*C3</f>
        <v>19338842.97520661</v>
      </c>
      <c r="E3" s="150">
        <v>8.0000000000000002E-3</v>
      </c>
      <c r="F3" s="149">
        <f t="shared" ref="F3:F7" si="1">B3*E3</f>
        <v>15471074.38016529</v>
      </c>
    </row>
    <row r="4" spans="1:7" ht="12.75" customHeight="1">
      <c r="A4" s="137" t="s">
        <v>269</v>
      </c>
      <c r="B4" s="147">
        <f>'DE-Inv AF y Am'!B8</f>
        <v>0</v>
      </c>
      <c r="C4" s="150">
        <v>1.4999999999999999E-2</v>
      </c>
      <c r="D4" s="149">
        <f t="shared" si="0"/>
        <v>0</v>
      </c>
      <c r="E4" s="148">
        <v>0.01</v>
      </c>
      <c r="F4" s="149">
        <f t="shared" si="1"/>
        <v>0</v>
      </c>
    </row>
    <row r="5" spans="1:7" ht="12.75" customHeight="1">
      <c r="A5" s="137" t="s">
        <v>270</v>
      </c>
      <c r="B5" s="149">
        <f>'DE-Inv AF y Am'!B12</f>
        <v>55250000</v>
      </c>
      <c r="C5" s="150">
        <v>1.4999999999999999E-2</v>
      </c>
      <c r="D5" s="149">
        <f t="shared" si="0"/>
        <v>828750</v>
      </c>
      <c r="E5" s="150">
        <v>8.0000000000000002E-3</v>
      </c>
      <c r="F5" s="149">
        <f t="shared" si="1"/>
        <v>442000</v>
      </c>
    </row>
    <row r="6" spans="1:7" ht="12.75" customHeight="1">
      <c r="A6" s="137" t="s">
        <v>271</v>
      </c>
      <c r="B6" s="147">
        <f>'DE-Inv AF y Am'!B16</f>
        <v>713037970</v>
      </c>
      <c r="C6" s="148">
        <v>0.11</v>
      </c>
      <c r="D6" s="149">
        <f t="shared" si="0"/>
        <v>78434176.700000003</v>
      </c>
      <c r="E6" s="148">
        <v>0.11</v>
      </c>
      <c r="F6" s="149">
        <f t="shared" si="1"/>
        <v>78434176.700000003</v>
      </c>
    </row>
    <row r="7" spans="1:7" ht="12.75" customHeight="1">
      <c r="A7" s="137" t="s">
        <v>272</v>
      </c>
      <c r="B7" s="151">
        <f>'DE-Inv AF y Am'!B17</f>
        <v>51585600</v>
      </c>
      <c r="C7" s="150">
        <v>1.4999999999999999E-2</v>
      </c>
      <c r="D7" s="151">
        <f t="shared" si="0"/>
        <v>773784</v>
      </c>
      <c r="E7" s="150">
        <v>1.4999999999999999E-2</v>
      </c>
      <c r="F7" s="151">
        <f t="shared" si="1"/>
        <v>773784</v>
      </c>
    </row>
    <row r="8" spans="1:7" ht="12.75" customHeight="1">
      <c r="A8" s="139"/>
      <c r="B8" s="152" t="s">
        <v>70</v>
      </c>
      <c r="C8" s="153"/>
      <c r="D8" s="154">
        <f>SUM(D3:D7)</f>
        <v>99375553.675206617</v>
      </c>
      <c r="E8" s="139"/>
      <c r="F8" s="154">
        <f>SUM(F3:F7)</f>
        <v>95121035.080165297</v>
      </c>
    </row>
    <row r="9" spans="1:7" ht="12.75" customHeight="1">
      <c r="A9" s="139"/>
      <c r="B9" s="139"/>
      <c r="C9" s="139"/>
      <c r="D9" s="139"/>
      <c r="E9" s="139"/>
      <c r="F9" s="139"/>
    </row>
    <row r="10" spans="1:7" ht="12.75" customHeight="1">
      <c r="A10" s="139"/>
      <c r="B10" s="139"/>
      <c r="C10" s="623" t="s">
        <v>112</v>
      </c>
      <c r="D10" s="543"/>
      <c r="E10" s="623" t="s">
        <v>273</v>
      </c>
      <c r="F10" s="543"/>
    </row>
    <row r="11" spans="1:7" ht="12.75" customHeight="1">
      <c r="B11" s="155" t="s">
        <v>274</v>
      </c>
      <c r="C11" s="156" t="s">
        <v>266</v>
      </c>
      <c r="D11" s="156" t="s">
        <v>267</v>
      </c>
      <c r="E11" s="156" t="s">
        <v>266</v>
      </c>
      <c r="F11" s="156" t="s">
        <v>267</v>
      </c>
    </row>
    <row r="12" spans="1:7" ht="12.75" customHeight="1">
      <c r="B12" s="144" t="s">
        <v>275</v>
      </c>
      <c r="C12" s="148">
        <v>0.02</v>
      </c>
      <c r="D12" s="149">
        <f>C12*'DE-Costos'!$B$4</f>
        <v>9519255.0000000019</v>
      </c>
      <c r="E12" s="148">
        <v>0.02</v>
      </c>
      <c r="F12" s="149">
        <f>E12*'DE-Costos'!$C$4</f>
        <v>12812300.000000002</v>
      </c>
    </row>
    <row r="13" spans="1:7" ht="12.75" customHeight="1">
      <c r="B13" s="144" t="s">
        <v>276</v>
      </c>
      <c r="C13" s="157">
        <v>0.01</v>
      </c>
      <c r="D13" s="149">
        <f>C13*'DE-Costos'!$B$4</f>
        <v>4759627.5000000009</v>
      </c>
      <c r="E13" s="157">
        <v>0.01</v>
      </c>
      <c r="F13" s="149"/>
    </row>
    <row r="14" spans="1:7" ht="12.75" customHeight="1">
      <c r="B14" s="158" t="s">
        <v>277</v>
      </c>
      <c r="C14" s="148">
        <v>0.01</v>
      </c>
      <c r="D14" s="159">
        <f>C14*'DE-Costos'!$B$4</f>
        <v>4759627.5000000009</v>
      </c>
      <c r="E14" s="148">
        <v>0.01</v>
      </c>
      <c r="F14" s="160">
        <f>E14*'DE-Costos'!$C$4</f>
        <v>6406150.0000000009</v>
      </c>
    </row>
    <row r="15" spans="1:7" ht="12.75" customHeight="1">
      <c r="A15" s="139"/>
      <c r="B15" s="152" t="s">
        <v>70</v>
      </c>
      <c r="C15" s="153"/>
      <c r="D15" s="154">
        <f>SUM(D12:D14)</f>
        <v>19038510.000000004</v>
      </c>
      <c r="E15" s="153"/>
      <c r="F15" s="161">
        <f>SUM(F12:F14)</f>
        <v>19218450.000000004</v>
      </c>
    </row>
    <row r="16" spans="1:7" ht="12.75" customHeight="1">
      <c r="A16" s="139"/>
      <c r="B16" s="139"/>
      <c r="C16" s="139"/>
      <c r="D16" s="162"/>
      <c r="E16" s="163"/>
      <c r="F16" s="7"/>
      <c r="G16" s="7"/>
    </row>
    <row r="17" spans="1:7" ht="12.75" customHeight="1">
      <c r="A17" s="139"/>
      <c r="B17" s="139"/>
      <c r="C17" s="164"/>
      <c r="D17" s="165"/>
      <c r="E17" s="164"/>
      <c r="F17" s="7"/>
      <c r="G17" s="7"/>
    </row>
    <row r="18" spans="1:7" ht="12.75" customHeight="1">
      <c r="A18" s="139"/>
      <c r="B18" s="166" t="s">
        <v>278</v>
      </c>
      <c r="C18" s="167" t="s">
        <v>279</v>
      </c>
      <c r="D18" s="168" t="s">
        <v>112</v>
      </c>
      <c r="E18" s="169" t="s">
        <v>113</v>
      </c>
    </row>
    <row r="19" spans="1:7" ht="12.75" customHeight="1">
      <c r="A19" s="139"/>
      <c r="B19" s="170"/>
      <c r="C19" s="171" t="s">
        <v>263</v>
      </c>
      <c r="D19" s="149">
        <f>D8</f>
        <v>99375553.675206617</v>
      </c>
      <c r="E19" s="172">
        <f>F8</f>
        <v>95121035.080165297</v>
      </c>
    </row>
    <row r="20" spans="1:7" ht="12.75" customHeight="1">
      <c r="A20" s="139"/>
      <c r="B20" s="170"/>
      <c r="C20" s="171" t="s">
        <v>274</v>
      </c>
      <c r="D20" s="149">
        <f>D15</f>
        <v>19038510.000000004</v>
      </c>
      <c r="E20" s="172">
        <f>F15</f>
        <v>19218450.000000004</v>
      </c>
    </row>
    <row r="21" spans="1:7" ht="12.75" customHeight="1">
      <c r="A21" s="139"/>
      <c r="B21" s="170"/>
      <c r="C21" s="173" t="s">
        <v>239</v>
      </c>
      <c r="D21" s="174">
        <f t="shared" ref="D21:E21" si="2">SUM(D19:D20)</f>
        <v>118414063.67520662</v>
      </c>
      <c r="E21" s="175">
        <f t="shared" si="2"/>
        <v>114339485.0801653</v>
      </c>
    </row>
    <row r="22" spans="1:7" ht="12.75" customHeight="1"/>
    <row r="23" spans="1:7" ht="12.75" customHeight="1"/>
    <row r="24" spans="1:7" ht="12.75" customHeight="1"/>
    <row r="25" spans="1:7" ht="12.75" customHeight="1"/>
    <row r="26" spans="1:7" ht="12.75" customHeight="1"/>
    <row r="27" spans="1:7" ht="12.75" customHeight="1"/>
    <row r="28" spans="1:7" ht="12.75" customHeight="1"/>
    <row r="29" spans="1:7" ht="12.75" customHeight="1"/>
    <row r="30" spans="1:7" ht="12.75" customHeight="1"/>
    <row r="31" spans="1:7" ht="12.75" customHeight="1"/>
    <row r="32" spans="1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A2"/>
    <mergeCell ref="B1:B2"/>
    <mergeCell ref="C1:D1"/>
    <mergeCell ref="E1:F1"/>
    <mergeCell ref="C10:D10"/>
    <mergeCell ref="E10:F10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13"/>
  <sheetViews>
    <sheetView workbookViewId="0"/>
  </sheetViews>
  <sheetFormatPr baseColWidth="10" defaultColWidth="12.5703125" defaultRowHeight="15" customHeight="1"/>
  <cols>
    <col min="1" max="1" width="26.5703125" customWidth="1"/>
    <col min="2" max="2" width="21.85546875" customWidth="1"/>
    <col min="3" max="4" width="15.42578125" customWidth="1"/>
    <col min="7" max="7" width="15.5703125" customWidth="1"/>
  </cols>
  <sheetData>
    <row r="1" spans="1:7">
      <c r="A1" s="176" t="s">
        <v>280</v>
      </c>
      <c r="B1" s="177">
        <v>8.0000000000000002E-3</v>
      </c>
      <c r="C1" s="46"/>
      <c r="D1" s="178"/>
      <c r="E1" s="624" t="s">
        <v>281</v>
      </c>
      <c r="F1" s="540"/>
      <c r="G1" s="543"/>
    </row>
    <row r="2" spans="1:7">
      <c r="A2" s="179" t="s">
        <v>282</v>
      </c>
      <c r="B2" s="180">
        <v>0.01</v>
      </c>
      <c r="C2" s="46"/>
      <c r="D2" s="178"/>
      <c r="E2" s="181" t="s">
        <v>182</v>
      </c>
      <c r="F2" s="182" t="s">
        <v>283</v>
      </c>
      <c r="G2" s="183" t="s">
        <v>284</v>
      </c>
    </row>
    <row r="3" spans="1:7">
      <c r="A3" s="46"/>
      <c r="B3" s="46"/>
      <c r="C3" s="46"/>
      <c r="D3" s="46"/>
      <c r="E3" s="177">
        <v>0.9</v>
      </c>
      <c r="F3" s="177">
        <v>0.05</v>
      </c>
      <c r="G3" s="184">
        <v>0.05</v>
      </c>
    </row>
    <row r="4" spans="1:7">
      <c r="A4" s="46"/>
      <c r="B4" s="46"/>
      <c r="C4" s="46"/>
      <c r="D4" s="46"/>
      <c r="E4" s="46"/>
      <c r="F4" s="46"/>
    </row>
    <row r="5" spans="1:7">
      <c r="A5" s="46"/>
      <c r="B5" s="46"/>
      <c r="C5" s="46"/>
      <c r="D5" s="46"/>
      <c r="E5" s="46"/>
      <c r="F5" s="46"/>
    </row>
    <row r="6" spans="1:7">
      <c r="A6" s="46"/>
      <c r="B6" s="46"/>
      <c r="C6" s="46"/>
      <c r="D6" s="46"/>
      <c r="E6" s="46"/>
      <c r="F6" s="46"/>
    </row>
    <row r="7" spans="1:7">
      <c r="A7" s="185" t="s">
        <v>285</v>
      </c>
      <c r="B7" s="186">
        <f>'DE-Inv AF y Am'!B43</f>
        <v>1933884297.5206611</v>
      </c>
      <c r="C7" s="46"/>
      <c r="D7" s="46"/>
      <c r="E7" s="46"/>
      <c r="F7" s="46"/>
    </row>
    <row r="8" spans="1:7">
      <c r="A8" s="46"/>
      <c r="B8" s="46"/>
      <c r="C8" s="46"/>
      <c r="D8" s="46"/>
      <c r="E8" s="46"/>
      <c r="F8" s="46"/>
    </row>
    <row r="9" spans="1:7">
      <c r="A9" s="187" t="s">
        <v>161</v>
      </c>
      <c r="B9" s="188" t="s">
        <v>182</v>
      </c>
      <c r="C9" s="188" t="s">
        <v>283</v>
      </c>
      <c r="D9" s="188" t="s">
        <v>284</v>
      </c>
      <c r="E9" s="46"/>
      <c r="F9" s="46"/>
    </row>
    <row r="10" spans="1:7">
      <c r="A10" s="185" t="s">
        <v>280</v>
      </c>
      <c r="B10" s="189">
        <f t="shared" ref="B10:B11" si="0">B1*$E$3*$B$7</f>
        <v>13923966.942148762</v>
      </c>
      <c r="C10" s="189">
        <f t="shared" ref="C10:C11" si="1">B1*$F$3*$B$7</f>
        <v>773553.71900826448</v>
      </c>
      <c r="D10" s="189">
        <f t="shared" ref="D10:D11" si="2">B1*$G$3*$B$7</f>
        <v>773553.71900826448</v>
      </c>
      <c r="E10" s="46"/>
      <c r="F10" s="46"/>
    </row>
    <row r="11" spans="1:7">
      <c r="A11" s="185" t="s">
        <v>282</v>
      </c>
      <c r="B11" s="189">
        <f t="shared" si="0"/>
        <v>17404958.677685954</v>
      </c>
      <c r="C11" s="189">
        <f t="shared" si="1"/>
        <v>966942.14876033063</v>
      </c>
      <c r="D11" s="189">
        <f t="shared" si="2"/>
        <v>966942.14876033063</v>
      </c>
      <c r="E11" s="46"/>
      <c r="F11" s="46"/>
    </row>
    <row r="12" spans="1:7">
      <c r="A12" s="185" t="s">
        <v>286</v>
      </c>
      <c r="B12" s="189">
        <f t="shared" ref="B12:D12" si="3">SUM(B10:B11)</f>
        <v>31328925.619834714</v>
      </c>
      <c r="C12" s="189">
        <f t="shared" si="3"/>
        <v>1740495.867768595</v>
      </c>
      <c r="D12" s="189">
        <f t="shared" si="3"/>
        <v>1740495.867768595</v>
      </c>
      <c r="E12" s="46"/>
      <c r="F12" s="46"/>
    </row>
    <row r="13" spans="1:7">
      <c r="A13" s="7"/>
      <c r="B13" s="7"/>
      <c r="C13" s="7"/>
      <c r="D13" s="7"/>
      <c r="E13" s="7"/>
      <c r="F13" s="7"/>
    </row>
  </sheetData>
  <mergeCells count="1">
    <mergeCell ref="E1:G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01"/>
  <sheetViews>
    <sheetView workbookViewId="0"/>
  </sheetViews>
  <sheetFormatPr baseColWidth="10" defaultColWidth="12.5703125" defaultRowHeight="15" customHeight="1"/>
  <cols>
    <col min="1" max="1" width="44.5703125" customWidth="1"/>
    <col min="2" max="2" width="18.42578125" customWidth="1"/>
    <col min="3" max="3" width="14.85546875" customWidth="1"/>
    <col min="4" max="4" width="18.28515625" customWidth="1"/>
    <col min="5" max="5" width="16.7109375" customWidth="1"/>
    <col min="6" max="6" width="14.85546875" customWidth="1"/>
    <col min="7" max="7" width="17.28515625" customWidth="1"/>
    <col min="8" max="8" width="11.42578125" customWidth="1"/>
    <col min="9" max="9" width="1.42578125" customWidth="1"/>
    <col min="10" max="10" width="42.85546875" customWidth="1"/>
    <col min="11" max="11" width="14.5703125" customWidth="1"/>
    <col min="12" max="12" width="15.42578125" customWidth="1"/>
    <col min="13" max="13" width="14.7109375" customWidth="1"/>
    <col min="14" max="14" width="11.42578125" customWidth="1"/>
    <col min="15" max="15" width="14.7109375" customWidth="1"/>
    <col min="16" max="16" width="13.42578125" customWidth="1"/>
    <col min="17" max="17" width="21.28515625" customWidth="1"/>
    <col min="18" max="18" width="17" customWidth="1"/>
    <col min="19" max="19" width="10" customWidth="1"/>
    <col min="20" max="20" width="12.28515625" customWidth="1"/>
    <col min="21" max="21" width="10" customWidth="1"/>
    <col min="22" max="22" width="21.7109375" customWidth="1"/>
    <col min="23" max="27" width="10" customWidth="1"/>
  </cols>
  <sheetData>
    <row r="1" spans="1:27" ht="12.75" customHeight="1">
      <c r="A1" s="8"/>
      <c r="B1" s="8"/>
      <c r="C1" s="8"/>
      <c r="D1" s="8"/>
      <c r="E1" s="8"/>
      <c r="F1" s="8"/>
      <c r="G1" s="8"/>
      <c r="H1" s="8"/>
      <c r="I1" s="19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3.5" customHeight="1">
      <c r="A2" s="8"/>
      <c r="B2" s="8"/>
      <c r="C2" s="8"/>
      <c r="D2" s="8"/>
      <c r="E2" s="8"/>
      <c r="F2" s="8"/>
      <c r="G2" s="8"/>
      <c r="H2" s="8"/>
      <c r="I2" s="190"/>
      <c r="J2" s="625" t="s">
        <v>287</v>
      </c>
      <c r="K2" s="613"/>
      <c r="L2" s="613"/>
      <c r="M2" s="8"/>
      <c r="N2" s="8"/>
      <c r="O2" s="8"/>
      <c r="P2" s="8"/>
      <c r="Q2" s="191" t="s">
        <v>288</v>
      </c>
      <c r="R2" s="192" t="s">
        <v>289</v>
      </c>
      <c r="S2" s="192" t="s">
        <v>290</v>
      </c>
      <c r="T2" s="192" t="s">
        <v>239</v>
      </c>
      <c r="U2" s="8"/>
      <c r="V2" s="191" t="s">
        <v>291</v>
      </c>
      <c r="W2" s="192" t="s">
        <v>239</v>
      </c>
      <c r="Y2" s="8"/>
      <c r="Z2" s="8"/>
      <c r="AA2" s="8"/>
    </row>
    <row r="3" spans="1:27" ht="16.5" customHeight="1">
      <c r="A3" s="193" t="s">
        <v>292</v>
      </c>
      <c r="B3" s="626" t="s">
        <v>293</v>
      </c>
      <c r="C3" s="627"/>
      <c r="D3" s="626" t="s">
        <v>294</v>
      </c>
      <c r="E3" s="628"/>
      <c r="F3" s="8"/>
      <c r="G3" s="8"/>
      <c r="H3" s="8"/>
      <c r="I3" s="190"/>
      <c r="J3" s="8"/>
      <c r="K3" s="8"/>
      <c r="L3" s="8"/>
      <c r="M3" s="8"/>
      <c r="N3" s="8"/>
      <c r="O3" s="8"/>
      <c r="P3" s="8"/>
      <c r="Q3" s="194" t="s">
        <v>295</v>
      </c>
      <c r="R3" s="36">
        <v>86000</v>
      </c>
      <c r="S3" s="36">
        <v>12</v>
      </c>
      <c r="T3" s="10">
        <f t="shared" ref="T3:T12" si="0">R3*S3</f>
        <v>1032000</v>
      </c>
      <c r="U3" s="8"/>
      <c r="V3" s="11" t="s">
        <v>296</v>
      </c>
      <c r="W3" s="10">
        <v>9000000</v>
      </c>
      <c r="X3" s="37"/>
      <c r="Y3" s="8"/>
      <c r="AA3" s="8"/>
    </row>
    <row r="4" spans="1:27" ht="16.5" customHeight="1">
      <c r="A4" s="195"/>
      <c r="B4" s="196" t="s">
        <v>297</v>
      </c>
      <c r="C4" s="196" t="s">
        <v>112</v>
      </c>
      <c r="D4" s="196" t="s">
        <v>297</v>
      </c>
      <c r="E4" s="197" t="s">
        <v>112</v>
      </c>
      <c r="F4" s="8"/>
      <c r="G4" s="8"/>
      <c r="H4" s="8"/>
      <c r="I4" s="190"/>
      <c r="J4" s="113" t="s">
        <v>298</v>
      </c>
      <c r="K4" s="8" t="s">
        <v>299</v>
      </c>
      <c r="L4" s="198">
        <v>1800000</v>
      </c>
      <c r="M4" s="8" t="s">
        <v>300</v>
      </c>
      <c r="P4" s="8"/>
      <c r="Q4" s="194" t="s">
        <v>301</v>
      </c>
      <c r="R4" s="36">
        <v>114000</v>
      </c>
      <c r="S4" s="36">
        <v>20</v>
      </c>
      <c r="T4" s="10">
        <f t="shared" si="0"/>
        <v>2280000</v>
      </c>
      <c r="U4" s="8"/>
      <c r="V4" s="11" t="s">
        <v>302</v>
      </c>
      <c r="W4" s="10">
        <v>3700000</v>
      </c>
      <c r="X4" s="37"/>
      <c r="Y4" s="8"/>
      <c r="AA4" s="8"/>
    </row>
    <row r="5" spans="1:27" ht="13.5" customHeight="1">
      <c r="A5" s="199"/>
      <c r="B5" s="200"/>
      <c r="C5" s="200"/>
      <c r="D5" s="200"/>
      <c r="E5" s="200"/>
      <c r="F5" s="8"/>
      <c r="G5" s="8"/>
      <c r="H5" s="8"/>
      <c r="I5" s="190"/>
      <c r="P5" s="8"/>
      <c r="Q5" s="194" t="s">
        <v>303</v>
      </c>
      <c r="R5" s="36">
        <v>1180000</v>
      </c>
      <c r="S5" s="36">
        <v>12</v>
      </c>
      <c r="T5" s="10">
        <f t="shared" si="0"/>
        <v>14160000</v>
      </c>
      <c r="U5" s="8"/>
      <c r="V5" s="11" t="s">
        <v>304</v>
      </c>
      <c r="W5" s="10">
        <v>600000</v>
      </c>
      <c r="X5" s="37"/>
      <c r="Y5" s="8"/>
      <c r="AA5" s="8"/>
    </row>
    <row r="6" spans="1:27" ht="12.75" customHeight="1">
      <c r="A6" s="201" t="s">
        <v>305</v>
      </c>
      <c r="B6" s="202"/>
      <c r="C6" s="202"/>
      <c r="D6" s="202"/>
      <c r="E6" s="202"/>
      <c r="F6" s="8"/>
      <c r="G6" s="8"/>
      <c r="H6" s="8"/>
      <c r="I6" s="190"/>
      <c r="P6" s="8"/>
      <c r="Q6" s="194" t="s">
        <v>306</v>
      </c>
      <c r="R6" s="36">
        <v>445000</v>
      </c>
      <c r="S6" s="36">
        <v>1</v>
      </c>
      <c r="T6" s="10">
        <f t="shared" si="0"/>
        <v>445000</v>
      </c>
      <c r="U6" s="8"/>
      <c r="V6" s="11" t="s">
        <v>307</v>
      </c>
      <c r="W6" s="10">
        <v>900000</v>
      </c>
      <c r="X6" s="37"/>
      <c r="Y6" s="8"/>
      <c r="AA6" s="8"/>
    </row>
    <row r="7" spans="1:27" ht="12.75" customHeight="1">
      <c r="A7" s="203" t="s">
        <v>308</v>
      </c>
      <c r="B7" s="204">
        <f>(L4*InfoInicial!B30)/1.21</f>
        <v>1933884297.5206611</v>
      </c>
      <c r="C7" s="204"/>
      <c r="D7" s="204"/>
      <c r="E7" s="204"/>
      <c r="F7" s="17"/>
      <c r="G7" s="8"/>
      <c r="H7" s="8"/>
      <c r="I7" s="190"/>
      <c r="J7" s="17"/>
      <c r="P7" s="8"/>
      <c r="Q7" s="194" t="s">
        <v>309</v>
      </c>
      <c r="R7" s="36">
        <v>540000</v>
      </c>
      <c r="S7" s="36">
        <v>12</v>
      </c>
      <c r="T7" s="10">
        <f t="shared" si="0"/>
        <v>6480000</v>
      </c>
      <c r="U7" s="8"/>
      <c r="V7" s="11" t="s">
        <v>310</v>
      </c>
      <c r="W7" s="10">
        <v>1600000</v>
      </c>
      <c r="X7" s="37"/>
      <c r="Y7" s="8"/>
      <c r="AA7" s="8"/>
    </row>
    <row r="8" spans="1:27" ht="12.75" customHeight="1">
      <c r="A8" s="203" t="s">
        <v>285</v>
      </c>
      <c r="B8" s="204">
        <v>0</v>
      </c>
      <c r="C8" s="204"/>
      <c r="D8" s="204"/>
      <c r="E8" s="204"/>
      <c r="F8" s="17"/>
      <c r="G8" s="8"/>
      <c r="H8" s="8"/>
      <c r="I8" s="190"/>
      <c r="J8" s="192" t="s">
        <v>311</v>
      </c>
      <c r="K8" s="192" t="s">
        <v>289</v>
      </c>
      <c r="L8" s="192" t="s">
        <v>290</v>
      </c>
      <c r="M8" s="192" t="s">
        <v>239</v>
      </c>
      <c r="N8" s="8"/>
      <c r="O8" s="8"/>
      <c r="P8" s="8"/>
      <c r="Q8" s="194" t="s">
        <v>312</v>
      </c>
      <c r="R8" s="36">
        <v>15000</v>
      </c>
      <c r="S8" s="36">
        <v>12</v>
      </c>
      <c r="T8" s="10">
        <f t="shared" si="0"/>
        <v>180000</v>
      </c>
      <c r="U8" s="8"/>
      <c r="V8" s="11" t="s">
        <v>313</v>
      </c>
      <c r="W8" s="10">
        <v>1200000</v>
      </c>
      <c r="X8" s="37"/>
      <c r="Y8" s="8"/>
      <c r="AA8" s="8"/>
    </row>
    <row r="9" spans="1:27" ht="12.75" customHeight="1">
      <c r="A9" s="203" t="s">
        <v>314</v>
      </c>
      <c r="B9" s="205">
        <f>W11</f>
        <v>27800000</v>
      </c>
      <c r="C9" s="204"/>
      <c r="D9" s="204"/>
      <c r="E9" s="204"/>
      <c r="F9" s="8"/>
      <c r="G9" s="8"/>
      <c r="H9" s="8"/>
      <c r="I9" s="190"/>
      <c r="J9" s="206" t="s">
        <v>315</v>
      </c>
      <c r="K9" s="207">
        <v>22000000</v>
      </c>
      <c r="L9" s="10">
        <v>1</v>
      </c>
      <c r="M9" s="207">
        <f t="shared" ref="M9:M18" si="1">K9*L9</f>
        <v>22000000</v>
      </c>
      <c r="N9" s="8"/>
      <c r="O9" s="8"/>
      <c r="P9" s="8"/>
      <c r="Q9" s="194" t="s">
        <v>316</v>
      </c>
      <c r="R9" s="36">
        <v>400000</v>
      </c>
      <c r="S9" s="36">
        <v>4</v>
      </c>
      <c r="T9" s="10">
        <f t="shared" si="0"/>
        <v>1600000</v>
      </c>
      <c r="U9" s="8"/>
      <c r="V9" s="11" t="s">
        <v>317</v>
      </c>
      <c r="W9" s="10">
        <v>800000</v>
      </c>
      <c r="X9" s="37"/>
      <c r="Y9" s="8"/>
      <c r="AA9" s="8"/>
    </row>
    <row r="10" spans="1:27" ht="12.75" customHeight="1">
      <c r="A10" s="203" t="s">
        <v>318</v>
      </c>
      <c r="B10" s="204"/>
      <c r="C10" s="204"/>
      <c r="D10" s="204"/>
      <c r="E10" s="204"/>
      <c r="F10" s="8"/>
      <c r="G10" s="8"/>
      <c r="H10" s="8"/>
      <c r="I10" s="190"/>
      <c r="J10" s="208" t="s">
        <v>319</v>
      </c>
      <c r="K10" s="207">
        <v>500000</v>
      </c>
      <c r="L10" s="10">
        <v>2</v>
      </c>
      <c r="M10" s="207">
        <f t="shared" si="1"/>
        <v>1000000</v>
      </c>
      <c r="N10" s="8"/>
      <c r="O10" s="8"/>
      <c r="P10" s="8"/>
      <c r="Q10" s="194" t="s">
        <v>320</v>
      </c>
      <c r="R10" s="36">
        <v>420000</v>
      </c>
      <c r="S10" s="36">
        <v>25</v>
      </c>
      <c r="T10" s="10">
        <f t="shared" si="0"/>
        <v>10500000</v>
      </c>
      <c r="U10" s="8"/>
      <c r="V10" s="11" t="s">
        <v>321</v>
      </c>
      <c r="W10" s="10">
        <v>10000000</v>
      </c>
      <c r="X10" s="37"/>
      <c r="Y10" s="8"/>
      <c r="AA10" s="8"/>
    </row>
    <row r="11" spans="1:27" ht="12.75" customHeight="1">
      <c r="A11" s="203" t="s">
        <v>322</v>
      </c>
      <c r="B11" s="204">
        <v>0</v>
      </c>
      <c r="C11" s="204"/>
      <c r="D11" s="204"/>
      <c r="E11" s="204"/>
      <c r="F11" s="8"/>
      <c r="G11" s="8"/>
      <c r="H11" s="8"/>
      <c r="I11" s="190"/>
      <c r="J11" s="208" t="s">
        <v>323</v>
      </c>
      <c r="K11" s="207">
        <v>1200000</v>
      </c>
      <c r="L11" s="10">
        <v>1</v>
      </c>
      <c r="M11" s="207">
        <f t="shared" si="1"/>
        <v>1200000</v>
      </c>
      <c r="N11" s="8"/>
      <c r="O11" s="8"/>
      <c r="P11" s="8"/>
      <c r="Q11" s="194" t="s">
        <v>324</v>
      </c>
      <c r="R11" s="36">
        <v>93000</v>
      </c>
      <c r="S11" s="36">
        <v>7</v>
      </c>
      <c r="T11" s="10">
        <f t="shared" si="0"/>
        <v>651000</v>
      </c>
      <c r="W11" s="10">
        <f>SUM(W3:W10)</f>
        <v>27800000</v>
      </c>
      <c r="Y11" s="8"/>
      <c r="Z11" s="8"/>
      <c r="AA11" s="8"/>
    </row>
    <row r="12" spans="1:27" ht="12.75" customHeight="1">
      <c r="A12" s="203" t="s">
        <v>325</v>
      </c>
      <c r="B12" s="204">
        <f>SUM($M$27:$M$34)</f>
        <v>55250000</v>
      </c>
      <c r="C12" s="204"/>
      <c r="D12" s="204"/>
      <c r="E12" s="204"/>
      <c r="F12" s="8"/>
      <c r="G12" s="8"/>
      <c r="H12" s="8"/>
      <c r="I12" s="190"/>
      <c r="J12" s="208" t="s">
        <v>326</v>
      </c>
      <c r="K12" s="207">
        <v>175000</v>
      </c>
      <c r="L12" s="10">
        <v>1</v>
      </c>
      <c r="M12" s="207">
        <f t="shared" si="1"/>
        <v>175000</v>
      </c>
      <c r="N12" s="8"/>
      <c r="O12" s="8"/>
      <c r="P12" s="8"/>
      <c r="Q12" s="194" t="s">
        <v>327</v>
      </c>
      <c r="R12" s="36">
        <v>190000</v>
      </c>
      <c r="S12" s="36">
        <v>5</v>
      </c>
      <c r="T12" s="10">
        <f t="shared" si="0"/>
        <v>950000</v>
      </c>
      <c r="W12" s="8"/>
      <c r="X12" s="8"/>
      <c r="Y12" s="8"/>
      <c r="Z12" s="8"/>
      <c r="AA12" s="8"/>
    </row>
    <row r="13" spans="1:27" ht="12.75" customHeight="1">
      <c r="A13" s="209"/>
      <c r="B13" s="204"/>
      <c r="C13" s="204"/>
      <c r="D13" s="204"/>
      <c r="E13" s="204"/>
      <c r="F13" s="8"/>
      <c r="G13" s="8"/>
      <c r="H13" s="8"/>
      <c r="I13" s="190"/>
      <c r="J13" s="208" t="s">
        <v>328</v>
      </c>
      <c r="K13" s="207">
        <v>425000</v>
      </c>
      <c r="L13" s="10">
        <v>1</v>
      </c>
      <c r="M13" s="207">
        <f t="shared" si="1"/>
        <v>425000</v>
      </c>
      <c r="N13" s="8"/>
      <c r="O13" s="8"/>
      <c r="P13" s="8"/>
      <c r="Q13" s="194"/>
      <c r="R13" s="36"/>
      <c r="S13" s="36"/>
      <c r="T13" s="10"/>
      <c r="U13" s="8"/>
      <c r="V13" s="8"/>
      <c r="W13" s="8"/>
      <c r="X13" s="8"/>
      <c r="Y13" s="8"/>
      <c r="Z13" s="8"/>
      <c r="AA13" s="8"/>
    </row>
    <row r="14" spans="1:27" ht="12.75" customHeight="1">
      <c r="A14" s="209" t="s">
        <v>329</v>
      </c>
      <c r="B14" s="204">
        <v>0</v>
      </c>
      <c r="C14" s="204"/>
      <c r="D14" s="204"/>
      <c r="E14" s="204"/>
      <c r="F14" s="8"/>
      <c r="G14" s="8"/>
      <c r="H14" s="8"/>
      <c r="I14" s="190"/>
      <c r="J14" s="208" t="s">
        <v>330</v>
      </c>
      <c r="K14" s="207">
        <v>42500</v>
      </c>
      <c r="L14" s="10">
        <v>1</v>
      </c>
      <c r="M14" s="207">
        <f t="shared" si="1"/>
        <v>42500</v>
      </c>
      <c r="N14" s="8"/>
      <c r="O14" s="8"/>
      <c r="P14" s="8"/>
      <c r="Q14" s="194" t="s">
        <v>331</v>
      </c>
      <c r="R14" s="36">
        <v>700000</v>
      </c>
      <c r="S14" s="36">
        <v>3</v>
      </c>
      <c r="T14" s="10">
        <f t="shared" ref="T14:T29" si="2">R14*S14</f>
        <v>2100000</v>
      </c>
      <c r="U14" s="8"/>
      <c r="V14" s="8"/>
      <c r="W14" s="8"/>
      <c r="X14" s="8"/>
      <c r="Y14" s="8"/>
      <c r="Z14" s="8"/>
      <c r="AA14" s="8"/>
    </row>
    <row r="15" spans="1:27" ht="12.75" customHeight="1">
      <c r="A15" s="203" t="s">
        <v>332</v>
      </c>
      <c r="B15" s="204">
        <f>B12*0.05</f>
        <v>2762500</v>
      </c>
      <c r="C15" s="204"/>
      <c r="D15" s="204"/>
      <c r="E15" s="204"/>
      <c r="F15" s="8"/>
      <c r="G15" s="8"/>
      <c r="H15" s="8"/>
      <c r="I15" s="190"/>
      <c r="J15" s="208" t="s">
        <v>333</v>
      </c>
      <c r="K15" s="207">
        <v>68274</v>
      </c>
      <c r="L15" s="10">
        <v>1</v>
      </c>
      <c r="M15" s="207">
        <f t="shared" si="1"/>
        <v>68274</v>
      </c>
      <c r="O15" s="8"/>
      <c r="P15" s="8"/>
      <c r="Q15" s="11" t="s">
        <v>334</v>
      </c>
      <c r="R15" s="10">
        <v>80000</v>
      </c>
      <c r="S15" s="10">
        <v>5</v>
      </c>
      <c r="T15" s="10">
        <f t="shared" si="2"/>
        <v>400000</v>
      </c>
      <c r="U15" s="8"/>
      <c r="V15" s="8"/>
      <c r="W15" s="8"/>
      <c r="X15" s="8"/>
      <c r="Y15" s="8"/>
      <c r="Z15" s="8"/>
      <c r="AA15" s="8"/>
    </row>
    <row r="16" spans="1:27" ht="12.75" customHeight="1">
      <c r="A16" s="203" t="s">
        <v>335</v>
      </c>
      <c r="B16" s="204">
        <f>M19</f>
        <v>713037970</v>
      </c>
      <c r="C16" s="204"/>
      <c r="D16" s="204"/>
      <c r="E16" s="204"/>
      <c r="F16" s="8"/>
      <c r="G16" s="8"/>
      <c r="H16" s="8"/>
      <c r="I16" s="190"/>
      <c r="J16" s="208" t="s">
        <v>336</v>
      </c>
      <c r="K16" s="207">
        <f>M47</f>
        <v>2600</v>
      </c>
      <c r="L16" s="71">
        <f>N45</f>
        <v>358</v>
      </c>
      <c r="M16" s="207">
        <f t="shared" si="1"/>
        <v>930800</v>
      </c>
      <c r="P16" s="8"/>
      <c r="Q16" s="11" t="s">
        <v>337</v>
      </c>
      <c r="R16" s="10">
        <v>160000</v>
      </c>
      <c r="S16" s="10">
        <v>3</v>
      </c>
      <c r="T16" s="10">
        <f t="shared" si="2"/>
        <v>480000</v>
      </c>
      <c r="V16" s="8"/>
      <c r="W16" s="8"/>
      <c r="X16" s="8"/>
      <c r="Y16" s="8"/>
      <c r="Z16" s="8"/>
      <c r="AA16" s="8"/>
    </row>
    <row r="17" spans="1:27" ht="12.75" customHeight="1">
      <c r="A17" s="203" t="s">
        <v>338</v>
      </c>
      <c r="B17" s="204">
        <f>T30</f>
        <v>51585600</v>
      </c>
      <c r="C17" s="204"/>
      <c r="D17" s="204"/>
      <c r="E17" s="204"/>
      <c r="F17" s="8"/>
      <c r="G17" s="8"/>
      <c r="H17" s="8"/>
      <c r="I17" s="190"/>
      <c r="J17" s="11" t="s">
        <v>339</v>
      </c>
      <c r="K17" s="210">
        <f>L57</f>
        <v>1688</v>
      </c>
      <c r="L17" s="10">
        <f>N53</f>
        <v>291667</v>
      </c>
      <c r="M17" s="207">
        <f t="shared" si="1"/>
        <v>492333896</v>
      </c>
      <c r="P17" s="8"/>
      <c r="Q17" s="194" t="s">
        <v>340</v>
      </c>
      <c r="R17" s="36">
        <v>150000</v>
      </c>
      <c r="S17" s="36">
        <v>4</v>
      </c>
      <c r="T17" s="10">
        <f t="shared" si="2"/>
        <v>600000</v>
      </c>
      <c r="V17" s="8"/>
      <c r="W17" s="8"/>
      <c r="X17" s="8"/>
      <c r="Y17" s="8"/>
      <c r="Z17" s="8"/>
      <c r="AA17" s="8"/>
    </row>
    <row r="18" spans="1:27" ht="12.75" customHeight="1">
      <c r="A18" s="203" t="s">
        <v>341</v>
      </c>
      <c r="B18" s="204"/>
      <c r="C18" s="204"/>
      <c r="D18" s="204"/>
      <c r="E18" s="204"/>
      <c r="F18" s="8"/>
      <c r="G18" s="8"/>
      <c r="H18" s="8"/>
      <c r="I18" s="190"/>
      <c r="J18" s="11" t="s">
        <v>342</v>
      </c>
      <c r="K18" s="210">
        <f>L61</f>
        <v>22270</v>
      </c>
      <c r="L18" s="10">
        <f>P53</f>
        <v>8750</v>
      </c>
      <c r="M18" s="207">
        <f t="shared" si="1"/>
        <v>194862500</v>
      </c>
      <c r="P18" s="8"/>
      <c r="Q18" s="194" t="s">
        <v>343</v>
      </c>
      <c r="R18" s="36">
        <v>560000</v>
      </c>
      <c r="S18" s="36">
        <v>3</v>
      </c>
      <c r="T18" s="10">
        <f t="shared" si="2"/>
        <v>1680000</v>
      </c>
      <c r="V18" s="8"/>
      <c r="W18" s="8"/>
      <c r="X18" s="8"/>
      <c r="Y18" s="8"/>
      <c r="Z18" s="8"/>
      <c r="AA18" s="8"/>
    </row>
    <row r="19" spans="1:27" ht="12.75" customHeight="1">
      <c r="A19" s="203" t="s">
        <v>344</v>
      </c>
      <c r="B19" s="204">
        <f>SUM(B7:B18)*InfoInicial!I13</f>
        <v>55686407.350413226</v>
      </c>
      <c r="C19" s="204"/>
      <c r="D19" s="204"/>
      <c r="E19" s="204"/>
      <c r="F19" s="8"/>
      <c r="G19" s="8"/>
      <c r="H19" s="8"/>
      <c r="I19" s="190"/>
      <c r="L19" s="92" t="s">
        <v>239</v>
      </c>
      <c r="M19" s="207">
        <f>SUM(M9:M18)</f>
        <v>713037970</v>
      </c>
      <c r="P19" s="8"/>
      <c r="Q19" s="194" t="s">
        <v>345</v>
      </c>
      <c r="R19" s="36">
        <v>69000</v>
      </c>
      <c r="S19" s="36">
        <v>3</v>
      </c>
      <c r="T19" s="10">
        <f t="shared" si="2"/>
        <v>207000</v>
      </c>
      <c r="V19" s="8"/>
      <c r="W19" s="8"/>
      <c r="X19" s="8"/>
      <c r="Y19" s="8"/>
      <c r="Z19" s="8"/>
      <c r="AA19" s="8"/>
    </row>
    <row r="20" spans="1:27" ht="12.75" customHeight="1">
      <c r="A20" s="201" t="s">
        <v>346</v>
      </c>
      <c r="B20" s="204">
        <f>SUM(B7:B19)</f>
        <v>2840006774.8710747</v>
      </c>
      <c r="C20" s="204"/>
      <c r="D20" s="204"/>
      <c r="E20" s="204"/>
      <c r="F20" s="8"/>
      <c r="G20" s="8"/>
      <c r="H20" s="8"/>
      <c r="I20" s="190"/>
      <c r="P20" s="8"/>
      <c r="Q20" s="194" t="s">
        <v>347</v>
      </c>
      <c r="R20" s="36">
        <v>150000</v>
      </c>
      <c r="S20" s="36">
        <v>3</v>
      </c>
      <c r="T20" s="10">
        <f t="shared" si="2"/>
        <v>450000</v>
      </c>
      <c r="V20" s="8"/>
      <c r="W20" s="8"/>
      <c r="X20" s="8"/>
      <c r="Y20" s="8"/>
      <c r="Z20" s="8"/>
      <c r="AA20" s="8"/>
    </row>
    <row r="21" spans="1:27" ht="12.75" customHeight="1">
      <c r="A21" s="203"/>
      <c r="B21" s="204"/>
      <c r="C21" s="204"/>
      <c r="D21" s="204"/>
      <c r="E21" s="204"/>
      <c r="F21" s="8"/>
      <c r="G21" s="8"/>
      <c r="H21" s="8"/>
      <c r="I21" s="190"/>
      <c r="P21" s="8"/>
      <c r="Q21" s="194" t="s">
        <v>348</v>
      </c>
      <c r="R21" s="36">
        <v>580000</v>
      </c>
      <c r="S21" s="36">
        <v>3</v>
      </c>
      <c r="T21" s="10">
        <f t="shared" si="2"/>
        <v>1740000</v>
      </c>
      <c r="V21" s="8"/>
      <c r="W21" s="8"/>
      <c r="X21" s="8"/>
      <c r="Y21" s="8"/>
      <c r="Z21" s="8"/>
      <c r="AA21" s="8"/>
    </row>
    <row r="22" spans="1:27" ht="12.75" customHeight="1">
      <c r="A22" s="201" t="s">
        <v>349</v>
      </c>
      <c r="B22" s="204"/>
      <c r="C22" s="204"/>
      <c r="D22" s="204"/>
      <c r="E22" s="204"/>
      <c r="F22" s="8"/>
      <c r="G22" s="8"/>
      <c r="H22" s="8"/>
      <c r="I22" s="190"/>
      <c r="P22" s="8"/>
      <c r="Q22" s="194" t="s">
        <v>350</v>
      </c>
      <c r="R22" s="36">
        <v>770000</v>
      </c>
      <c r="S22" s="36">
        <v>2</v>
      </c>
      <c r="T22" s="10">
        <f t="shared" si="2"/>
        <v>1540000</v>
      </c>
      <c r="V22" s="8"/>
      <c r="W22" s="8"/>
      <c r="X22" s="8"/>
      <c r="Y22" s="8"/>
      <c r="Z22" s="8"/>
      <c r="AA22" s="8"/>
    </row>
    <row r="23" spans="1:27" ht="12.75" customHeight="1">
      <c r="A23" s="203" t="s">
        <v>351</v>
      </c>
      <c r="B23" s="205">
        <v>300000</v>
      </c>
      <c r="C23" s="204"/>
      <c r="D23" s="204"/>
      <c r="E23" s="204"/>
      <c r="F23" s="8"/>
      <c r="G23" s="8"/>
      <c r="H23" s="8"/>
      <c r="I23" s="190"/>
      <c r="P23" s="8"/>
      <c r="Q23" s="194" t="s">
        <v>352</v>
      </c>
      <c r="R23" s="36">
        <v>260000</v>
      </c>
      <c r="S23" s="36">
        <v>1</v>
      </c>
      <c r="T23" s="10">
        <f t="shared" si="2"/>
        <v>260000</v>
      </c>
      <c r="V23" s="8"/>
      <c r="W23" s="8"/>
      <c r="X23" s="8"/>
      <c r="Y23" s="8"/>
      <c r="Z23" s="8"/>
      <c r="AA23" s="8"/>
    </row>
    <row r="24" spans="1:27" ht="12.75" customHeight="1">
      <c r="A24" s="203" t="s">
        <v>353</v>
      </c>
      <c r="B24" s="204">
        <v>623000</v>
      </c>
      <c r="C24" s="204"/>
      <c r="D24" s="204"/>
      <c r="E24" s="204"/>
      <c r="F24" s="8"/>
      <c r="G24" s="8"/>
      <c r="H24" s="8"/>
      <c r="I24" s="190"/>
      <c r="P24" s="8"/>
      <c r="Q24" s="194" t="s">
        <v>354</v>
      </c>
      <c r="R24" s="36">
        <v>200000</v>
      </c>
      <c r="S24" s="36">
        <v>1</v>
      </c>
      <c r="T24" s="10">
        <f t="shared" si="2"/>
        <v>200000</v>
      </c>
      <c r="V24" s="8"/>
      <c r="W24" s="8"/>
      <c r="X24" s="8"/>
      <c r="Y24" s="8"/>
      <c r="Z24" s="8"/>
      <c r="AA24" s="8"/>
    </row>
    <row r="25" spans="1:27" ht="12.75" customHeight="1">
      <c r="A25" s="203" t="s">
        <v>355</v>
      </c>
      <c r="B25" s="204">
        <v>18050000</v>
      </c>
      <c r="C25" s="204"/>
      <c r="D25" s="204"/>
      <c r="E25" s="204"/>
      <c r="F25" s="8"/>
      <c r="G25" s="8"/>
      <c r="H25" s="8"/>
      <c r="I25" s="190"/>
      <c r="P25" s="8"/>
      <c r="Q25" s="194" t="s">
        <v>356</v>
      </c>
      <c r="R25" s="36">
        <v>180000</v>
      </c>
      <c r="S25" s="36">
        <v>3</v>
      </c>
      <c r="T25" s="10">
        <f t="shared" si="2"/>
        <v>540000</v>
      </c>
      <c r="V25" s="8"/>
      <c r="W25" s="8"/>
      <c r="X25" s="8"/>
      <c r="Y25" s="8"/>
      <c r="Z25" s="8"/>
      <c r="AA25" s="8"/>
    </row>
    <row r="26" spans="1:27" ht="12.75" customHeight="1">
      <c r="A26" s="209" t="s">
        <v>357</v>
      </c>
      <c r="B26" s="204">
        <v>0</v>
      </c>
      <c r="C26" s="204"/>
      <c r="D26" s="204"/>
      <c r="E26" s="204"/>
      <c r="F26" s="8"/>
      <c r="G26" s="8"/>
      <c r="H26" s="8"/>
      <c r="I26" s="190"/>
      <c r="J26" s="191" t="s">
        <v>358</v>
      </c>
      <c r="K26" s="192" t="s">
        <v>289</v>
      </c>
      <c r="L26" s="192" t="s">
        <v>290</v>
      </c>
      <c r="M26" s="192" t="s">
        <v>239</v>
      </c>
      <c r="N26" s="192" t="s">
        <v>359</v>
      </c>
      <c r="O26" s="8"/>
      <c r="P26" s="8"/>
      <c r="Q26" s="194" t="s">
        <v>360</v>
      </c>
      <c r="R26" s="36">
        <v>16000</v>
      </c>
      <c r="S26" s="36">
        <v>4</v>
      </c>
      <c r="T26" s="10">
        <f t="shared" si="2"/>
        <v>64000</v>
      </c>
      <c r="V26" s="8"/>
      <c r="W26" s="8"/>
      <c r="X26" s="8"/>
      <c r="Y26" s="8"/>
      <c r="Z26" s="8"/>
      <c r="AA26" s="8"/>
    </row>
    <row r="27" spans="1:27" ht="12.75" customHeight="1">
      <c r="A27" s="209" t="s">
        <v>361</v>
      </c>
      <c r="B27" s="204">
        <v>0</v>
      </c>
      <c r="C27" s="205">
        <v>9152278.705017874</v>
      </c>
      <c r="D27" s="204"/>
      <c r="E27" s="204"/>
      <c r="F27" s="17"/>
      <c r="G27" s="8"/>
      <c r="H27" s="8"/>
      <c r="I27" s="190"/>
      <c r="J27" s="11" t="s">
        <v>362</v>
      </c>
      <c r="K27" s="207">
        <v>5850000</v>
      </c>
      <c r="L27" s="10">
        <v>1</v>
      </c>
      <c r="M27" s="207">
        <f t="shared" ref="M27:M34" si="3">K27*L27</f>
        <v>5850000</v>
      </c>
      <c r="N27" s="10" t="s">
        <v>363</v>
      </c>
      <c r="O27" s="8"/>
      <c r="P27" s="8"/>
      <c r="Q27" s="194" t="s">
        <v>364</v>
      </c>
      <c r="R27" s="36">
        <v>160000</v>
      </c>
      <c r="S27" s="36">
        <v>10</v>
      </c>
      <c r="T27" s="10">
        <f t="shared" si="2"/>
        <v>1600000</v>
      </c>
      <c r="V27" s="8"/>
      <c r="W27" s="8"/>
      <c r="X27" s="8"/>
      <c r="Y27" s="8"/>
      <c r="Z27" s="8"/>
      <c r="AA27" s="8"/>
    </row>
    <row r="28" spans="1:27" ht="12.75" customHeight="1">
      <c r="A28" s="209" t="s">
        <v>365</v>
      </c>
      <c r="B28" s="204">
        <v>150000</v>
      </c>
      <c r="C28" s="204"/>
      <c r="D28" s="204"/>
      <c r="E28" s="204"/>
      <c r="F28" s="8"/>
      <c r="G28" s="8"/>
      <c r="H28" s="8"/>
      <c r="I28" s="190"/>
      <c r="J28" s="11" t="s">
        <v>366</v>
      </c>
      <c r="K28" s="207">
        <v>9750000</v>
      </c>
      <c r="L28" s="10">
        <v>1</v>
      </c>
      <c r="M28" s="207">
        <f t="shared" si="3"/>
        <v>9750000</v>
      </c>
      <c r="N28" s="10" t="s">
        <v>363</v>
      </c>
      <c r="O28" s="8"/>
      <c r="P28" s="8"/>
      <c r="Q28" s="194" t="s">
        <v>367</v>
      </c>
      <c r="R28" s="36">
        <v>422200</v>
      </c>
      <c r="S28" s="36">
        <v>3</v>
      </c>
      <c r="T28" s="10">
        <f t="shared" si="2"/>
        <v>1266600</v>
      </c>
      <c r="U28" s="8" t="s">
        <v>368</v>
      </c>
      <c r="V28" s="8"/>
      <c r="W28" s="8"/>
      <c r="X28" s="8"/>
      <c r="Y28" s="8"/>
      <c r="Z28" s="8"/>
      <c r="AA28" s="8"/>
    </row>
    <row r="29" spans="1:27" ht="12.75" customHeight="1">
      <c r="A29" s="209" t="s">
        <v>369</v>
      </c>
      <c r="B29" s="204"/>
      <c r="C29" s="204"/>
      <c r="D29" s="204"/>
      <c r="E29" s="204"/>
      <c r="F29" s="8"/>
      <c r="G29" s="8"/>
      <c r="H29" s="8"/>
      <c r="I29" s="190"/>
      <c r="J29" s="11" t="s">
        <v>370</v>
      </c>
      <c r="K29" s="207">
        <v>3000000</v>
      </c>
      <c r="L29" s="10">
        <v>2</v>
      </c>
      <c r="M29" s="207">
        <f t="shared" si="3"/>
        <v>6000000</v>
      </c>
      <c r="N29" s="10" t="s">
        <v>363</v>
      </c>
      <c r="O29" s="8"/>
      <c r="P29" s="8"/>
      <c r="Q29" s="194" t="s">
        <v>371</v>
      </c>
      <c r="R29" s="36">
        <v>45000</v>
      </c>
      <c r="S29" s="36">
        <v>4</v>
      </c>
      <c r="T29" s="10">
        <f t="shared" si="2"/>
        <v>180000</v>
      </c>
      <c r="V29" s="8"/>
      <c r="W29" s="8"/>
      <c r="X29" s="8"/>
      <c r="Y29" s="8"/>
      <c r="Z29" s="8"/>
      <c r="AA29" s="8"/>
    </row>
    <row r="30" spans="1:27" ht="12.75" customHeight="1">
      <c r="A30" s="203" t="s">
        <v>372</v>
      </c>
      <c r="B30" s="204">
        <f>SUM(B23:B29)*InfoInicial!I13</f>
        <v>382460</v>
      </c>
      <c r="C30" s="204">
        <f>SUM(C23:C29)*InfoInicial!I13</f>
        <v>183045.57410035748</v>
      </c>
      <c r="D30" s="204"/>
      <c r="E30" s="204"/>
      <c r="F30" s="8"/>
      <c r="G30" s="8"/>
      <c r="H30" s="8"/>
      <c r="I30" s="190"/>
      <c r="J30" s="11" t="s">
        <v>373</v>
      </c>
      <c r="K30" s="207">
        <v>4750000</v>
      </c>
      <c r="L30" s="10">
        <v>2</v>
      </c>
      <c r="M30" s="207">
        <f t="shared" si="3"/>
        <v>9500000</v>
      </c>
      <c r="N30" s="10" t="s">
        <v>363</v>
      </c>
      <c r="O30" s="8"/>
      <c r="P30" s="8"/>
      <c r="S30" s="92" t="s">
        <v>239</v>
      </c>
      <c r="T30" s="10">
        <f>SUM(T3:T29)</f>
        <v>51585600</v>
      </c>
      <c r="U30" s="8"/>
      <c r="V30" s="8"/>
      <c r="W30" s="8"/>
      <c r="X30" s="8"/>
      <c r="Y30" s="8"/>
      <c r="Z30" s="8"/>
      <c r="AA30" s="8"/>
    </row>
    <row r="31" spans="1:27" ht="12.75" customHeight="1">
      <c r="A31" s="201" t="s">
        <v>374</v>
      </c>
      <c r="B31" s="204">
        <f t="shared" ref="B31:C31" si="4">SUM(B23:B30)</f>
        <v>19505460</v>
      </c>
      <c r="C31" s="204">
        <f t="shared" si="4"/>
        <v>9335324.2791182324</v>
      </c>
      <c r="D31" s="204"/>
      <c r="E31" s="204"/>
      <c r="F31" s="8"/>
      <c r="G31" s="8"/>
      <c r="H31" s="8"/>
      <c r="I31" s="190"/>
      <c r="J31" s="11" t="s">
        <v>375</v>
      </c>
      <c r="K31" s="207">
        <v>8500000</v>
      </c>
      <c r="L31" s="10">
        <v>1</v>
      </c>
      <c r="M31" s="207">
        <f t="shared" si="3"/>
        <v>8500000</v>
      </c>
      <c r="N31" s="10" t="s">
        <v>363</v>
      </c>
      <c r="O31" s="8"/>
      <c r="P31" s="8"/>
      <c r="U31" s="8"/>
      <c r="V31" s="8"/>
      <c r="W31" s="8"/>
      <c r="X31" s="8"/>
      <c r="Y31" s="8"/>
      <c r="Z31" s="8"/>
      <c r="AA31" s="8"/>
    </row>
    <row r="32" spans="1:27" ht="12.75" customHeight="1">
      <c r="A32" s="203"/>
      <c r="B32" s="204"/>
      <c r="C32" s="204"/>
      <c r="D32" s="204"/>
      <c r="E32" s="204"/>
      <c r="F32" s="8"/>
      <c r="G32" s="8"/>
      <c r="H32" s="8"/>
      <c r="I32" s="190"/>
      <c r="J32" s="11" t="s">
        <v>376</v>
      </c>
      <c r="K32" s="207">
        <v>7400000</v>
      </c>
      <c r="L32" s="10">
        <v>1</v>
      </c>
      <c r="M32" s="207">
        <f t="shared" si="3"/>
        <v>7400000</v>
      </c>
      <c r="N32" s="10" t="s">
        <v>363</v>
      </c>
      <c r="O32" s="8"/>
      <c r="P32" s="8"/>
      <c r="U32" s="8"/>
      <c r="V32" s="8"/>
      <c r="W32" s="8"/>
      <c r="X32" s="8"/>
      <c r="Y32" s="8"/>
      <c r="Z32" s="8"/>
      <c r="AA32" s="8"/>
    </row>
    <row r="33" spans="1:27" ht="12.75" customHeight="1">
      <c r="A33" s="201" t="s">
        <v>377</v>
      </c>
      <c r="B33" s="204">
        <f t="shared" ref="B33:C33" si="5">B20+B31</f>
        <v>2859512234.8710747</v>
      </c>
      <c r="C33" s="204">
        <f t="shared" si="5"/>
        <v>9335324.2791182324</v>
      </c>
      <c r="D33" s="204"/>
      <c r="E33" s="204"/>
      <c r="F33" s="8"/>
      <c r="G33" s="8"/>
      <c r="H33" s="8"/>
      <c r="I33" s="190"/>
      <c r="J33" s="11" t="s">
        <v>58</v>
      </c>
      <c r="K33" s="207">
        <v>3250000</v>
      </c>
      <c r="L33" s="10">
        <v>1</v>
      </c>
      <c r="M33" s="207">
        <f t="shared" si="3"/>
        <v>3250000</v>
      </c>
      <c r="N33" s="10" t="s">
        <v>363</v>
      </c>
      <c r="O33" s="8"/>
      <c r="P33" s="8"/>
      <c r="U33" s="8"/>
      <c r="V33" s="8"/>
      <c r="W33" s="8"/>
      <c r="X33" s="8"/>
      <c r="Y33" s="8"/>
      <c r="Z33" s="8"/>
      <c r="AA33" s="8"/>
    </row>
    <row r="34" spans="1:27" ht="12.75" customHeight="1">
      <c r="A34" s="203"/>
      <c r="B34" s="204"/>
      <c r="C34" s="204"/>
      <c r="D34" s="204"/>
      <c r="E34" s="204"/>
      <c r="F34" s="8"/>
      <c r="G34" s="8"/>
      <c r="H34" s="8"/>
      <c r="I34" s="190"/>
      <c r="J34" s="11" t="s">
        <v>378</v>
      </c>
      <c r="K34" s="207">
        <v>5000000</v>
      </c>
      <c r="L34" s="10">
        <v>1</v>
      </c>
      <c r="M34" s="207">
        <f t="shared" si="3"/>
        <v>5000000</v>
      </c>
      <c r="N34" s="10" t="s">
        <v>363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>
      <c r="A35" s="201" t="s">
        <v>379</v>
      </c>
      <c r="B35" s="204">
        <f t="shared" ref="B35:C35" si="6">B33*0.21</f>
        <v>600497569.32292569</v>
      </c>
      <c r="C35" s="204">
        <f t="shared" si="6"/>
        <v>1960418.0986148287</v>
      </c>
      <c r="D35" s="204"/>
      <c r="E35" s="204"/>
      <c r="F35" s="8"/>
      <c r="G35" s="8"/>
      <c r="H35" s="8"/>
      <c r="I35" s="190"/>
      <c r="J35" s="8"/>
      <c r="K35" s="8"/>
      <c r="L35" s="8"/>
      <c r="M35" s="8"/>
      <c r="N35" s="8"/>
      <c r="O35" s="8"/>
      <c r="P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>
      <c r="A36" s="203"/>
      <c r="B36" s="204"/>
      <c r="C36" s="204"/>
      <c r="D36" s="204"/>
      <c r="E36" s="204"/>
      <c r="F36" s="8"/>
      <c r="G36" s="8"/>
      <c r="H36" s="8"/>
      <c r="I36" s="190"/>
      <c r="J36" s="8"/>
      <c r="K36" s="8"/>
      <c r="L36" s="8"/>
      <c r="M36" s="8"/>
      <c r="N36" s="8"/>
      <c r="O36" s="8"/>
      <c r="P36" s="8"/>
      <c r="T36" s="8"/>
      <c r="U36" s="8"/>
      <c r="V36" s="8"/>
      <c r="W36" s="8"/>
      <c r="X36" s="8"/>
      <c r="Y36" s="8"/>
      <c r="Z36" s="8"/>
      <c r="AA36" s="8"/>
    </row>
    <row r="37" spans="1:27" ht="13.5" customHeight="1">
      <c r="A37" s="211" t="s">
        <v>380</v>
      </c>
      <c r="B37" s="212">
        <f t="shared" ref="B37:C37" si="7">B33+B35</f>
        <v>3460009804.1940002</v>
      </c>
      <c r="C37" s="212">
        <f t="shared" si="7"/>
        <v>11295742.377733061</v>
      </c>
      <c r="D37" s="212"/>
      <c r="E37" s="212"/>
      <c r="F37" s="8"/>
      <c r="G37" s="8"/>
      <c r="H37" s="8"/>
      <c r="I37" s="190"/>
      <c r="J37" s="113" t="s">
        <v>381</v>
      </c>
      <c r="K37" s="8" t="s">
        <v>382</v>
      </c>
      <c r="L37" s="8"/>
      <c r="M37" s="8"/>
      <c r="N37" s="8"/>
      <c r="O37" s="8"/>
      <c r="P37" s="8"/>
      <c r="T37" s="8"/>
      <c r="U37" s="8"/>
      <c r="V37" s="8"/>
      <c r="W37" s="8"/>
      <c r="X37" s="8"/>
      <c r="Y37" s="8"/>
      <c r="Z37" s="8"/>
      <c r="AA37" s="8"/>
    </row>
    <row r="38" spans="1:27" ht="13.5" customHeight="1">
      <c r="A38" s="8"/>
      <c r="B38" s="8"/>
      <c r="C38" s="8"/>
      <c r="D38" s="8"/>
      <c r="E38" s="8"/>
      <c r="F38" s="8"/>
      <c r="G38" s="8"/>
      <c r="H38" s="8"/>
      <c r="I38" s="190"/>
      <c r="J38" s="113" t="s">
        <v>383</v>
      </c>
      <c r="K38" s="8" t="s">
        <v>384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3.5" customHeight="1">
      <c r="A39" s="8"/>
      <c r="B39" s="8"/>
      <c r="C39" s="8"/>
      <c r="D39" s="8"/>
      <c r="E39" s="8"/>
      <c r="F39" s="8"/>
      <c r="G39" s="8"/>
      <c r="H39" s="8"/>
      <c r="I39" s="190"/>
      <c r="J39" s="113" t="s">
        <v>385</v>
      </c>
      <c r="K39" s="8" t="s">
        <v>386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3.5" customHeight="1">
      <c r="A40" s="213" t="s">
        <v>387</v>
      </c>
      <c r="B40" s="214" t="s">
        <v>388</v>
      </c>
      <c r="C40" s="214" t="s">
        <v>266</v>
      </c>
      <c r="D40" s="626" t="s">
        <v>389</v>
      </c>
      <c r="E40" s="629"/>
      <c r="F40" s="627"/>
      <c r="G40" s="215" t="s">
        <v>390</v>
      </c>
      <c r="H40" s="8"/>
      <c r="I40" s="190"/>
      <c r="J40" s="8"/>
      <c r="K40" s="92"/>
      <c r="L40" s="8"/>
      <c r="M40" s="8"/>
      <c r="O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3.5" customHeight="1">
      <c r="A41" s="216"/>
      <c r="B41" s="196" t="s">
        <v>391</v>
      </c>
      <c r="C41" s="196"/>
      <c r="D41" s="196" t="s">
        <v>392</v>
      </c>
      <c r="E41" s="196" t="s">
        <v>393</v>
      </c>
      <c r="F41" s="196" t="s">
        <v>394</v>
      </c>
      <c r="G41" s="217"/>
      <c r="H41" s="8"/>
      <c r="I41" s="190"/>
      <c r="J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3.5" customHeight="1">
      <c r="A42" s="218" t="s">
        <v>395</v>
      </c>
      <c r="B42" s="219"/>
      <c r="C42" s="219"/>
      <c r="D42" s="219"/>
      <c r="E42" s="219"/>
      <c r="F42" s="220"/>
      <c r="G42" s="221"/>
      <c r="H42" s="8"/>
      <c r="I42" s="190"/>
      <c r="J42" s="8"/>
      <c r="L42" s="8"/>
      <c r="M42" s="126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>
      <c r="A43" s="203" t="s">
        <v>308</v>
      </c>
      <c r="B43" s="204">
        <f>B7</f>
        <v>1933884297.5206611</v>
      </c>
      <c r="C43" s="204"/>
      <c r="D43" s="204"/>
      <c r="E43" s="204"/>
      <c r="F43" s="204"/>
      <c r="G43" s="222">
        <f>B43-D43</f>
        <v>1933884297.5206611</v>
      </c>
      <c r="H43" s="8"/>
      <c r="I43" s="190"/>
      <c r="J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>
      <c r="A44" s="203" t="s">
        <v>285</v>
      </c>
      <c r="B44" s="204">
        <v>0</v>
      </c>
      <c r="C44" s="223">
        <f>1/InfoInicial!B7</f>
        <v>3.3333333333333333E-2</v>
      </c>
      <c r="D44" s="204">
        <v>0</v>
      </c>
      <c r="E44" s="204">
        <v>0</v>
      </c>
      <c r="F44" s="204">
        <v>0</v>
      </c>
      <c r="G44" s="222">
        <v>0</v>
      </c>
      <c r="H44" s="8"/>
      <c r="I44" s="190"/>
      <c r="J44" s="8"/>
      <c r="L44" s="605" t="s">
        <v>396</v>
      </c>
      <c r="M44" s="540"/>
      <c r="N44" s="540"/>
      <c r="O44" s="540"/>
      <c r="P44" s="543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>
      <c r="A45" s="203" t="s">
        <v>314</v>
      </c>
      <c r="B45" s="204">
        <f>B9</f>
        <v>27800000</v>
      </c>
      <c r="C45" s="223">
        <f>1/InfoInicial!B8</f>
        <v>0.1</v>
      </c>
      <c r="D45" s="204">
        <f t="shared" ref="D45:F45" si="8">$B45*$C45</f>
        <v>2780000</v>
      </c>
      <c r="E45" s="204">
        <f t="shared" si="8"/>
        <v>2780000</v>
      </c>
      <c r="F45" s="204">
        <f t="shared" si="8"/>
        <v>2780000</v>
      </c>
      <c r="G45" s="222">
        <f t="shared" ref="G45:G46" si="9">B45-D45*10</f>
        <v>0</v>
      </c>
      <c r="H45" s="8"/>
      <c r="I45" s="190"/>
      <c r="J45" s="8"/>
      <c r="K45" s="37" t="s">
        <v>397</v>
      </c>
      <c r="L45" s="11">
        <f>(1000*5000)/4</f>
        <v>1250000</v>
      </c>
      <c r="M45" s="11" t="s">
        <v>236</v>
      </c>
      <c r="N45" s="224">
        <v>358</v>
      </c>
      <c r="O45" s="225" t="s">
        <v>398</v>
      </c>
      <c r="P45" s="226">
        <f>N45*M47</f>
        <v>930800</v>
      </c>
      <c r="Q45" s="8" t="s">
        <v>399</v>
      </c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>
      <c r="A46" s="209" t="s">
        <v>400</v>
      </c>
      <c r="B46" s="204">
        <f>B12+B15</f>
        <v>58012500</v>
      </c>
      <c r="C46" s="223">
        <f>1/InfoInicial!B9</f>
        <v>0.1</v>
      </c>
      <c r="D46" s="204">
        <f t="shared" ref="D46:F46" si="10">$B46*$C46</f>
        <v>5801250</v>
      </c>
      <c r="E46" s="204">
        <f t="shared" si="10"/>
        <v>5801250</v>
      </c>
      <c r="F46" s="204">
        <f t="shared" si="10"/>
        <v>5801250</v>
      </c>
      <c r="G46" s="222">
        <f t="shared" si="9"/>
        <v>0</v>
      </c>
      <c r="H46" s="8"/>
      <c r="I46" s="190"/>
      <c r="J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>
      <c r="A47" s="209" t="s">
        <v>401</v>
      </c>
      <c r="B47" s="204">
        <f t="shared" ref="B47:B48" si="11">B16</f>
        <v>713037970</v>
      </c>
      <c r="C47" s="223">
        <f>1/InfoInicial!B10</f>
        <v>0.2</v>
      </c>
      <c r="D47" s="204">
        <f t="shared" ref="D47:E47" si="12">$B47*$C47</f>
        <v>142607594</v>
      </c>
      <c r="E47" s="204">
        <f t="shared" si="12"/>
        <v>142607594</v>
      </c>
      <c r="F47" s="204">
        <v>0</v>
      </c>
      <c r="G47" s="222">
        <f t="shared" ref="G47:G49" si="13">B47-D47*5</f>
        <v>0</v>
      </c>
      <c r="H47" s="8"/>
      <c r="I47" s="190"/>
      <c r="J47" s="8"/>
      <c r="L47" s="118" t="s">
        <v>240</v>
      </c>
      <c r="M47" s="121">
        <v>2600</v>
      </c>
      <c r="N47" s="113" t="s">
        <v>402</v>
      </c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>
      <c r="A48" s="209" t="s">
        <v>403</v>
      </c>
      <c r="B48" s="204">
        <f t="shared" si="11"/>
        <v>51585600</v>
      </c>
      <c r="C48" s="223">
        <f>1/InfoInicial!B11</f>
        <v>0.2</v>
      </c>
      <c r="D48" s="204">
        <f t="shared" ref="D48:E48" si="14">$B48*$C48</f>
        <v>10317120</v>
      </c>
      <c r="E48" s="204">
        <f t="shared" si="14"/>
        <v>10317120</v>
      </c>
      <c r="F48" s="204">
        <v>0</v>
      </c>
      <c r="G48" s="222">
        <f t="shared" si="13"/>
        <v>0</v>
      </c>
      <c r="H48" s="8"/>
      <c r="I48" s="190"/>
      <c r="J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>
      <c r="A49" s="209" t="s">
        <v>404</v>
      </c>
      <c r="B49" s="204">
        <f>B19+D19</f>
        <v>55686407.350413226</v>
      </c>
      <c r="C49" s="223">
        <f>1/InfoInicial!B13</f>
        <v>0.2</v>
      </c>
      <c r="D49" s="204">
        <f t="shared" ref="D49:E49" si="15">$B49*$C49</f>
        <v>11137281.470082646</v>
      </c>
      <c r="E49" s="204">
        <f t="shared" si="15"/>
        <v>11137281.470082646</v>
      </c>
      <c r="F49" s="204">
        <v>0</v>
      </c>
      <c r="G49" s="222">
        <f t="shared" si="13"/>
        <v>0</v>
      </c>
      <c r="H49" s="8"/>
      <c r="I49" s="190"/>
      <c r="J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>
      <c r="A50" s="209" t="s">
        <v>405</v>
      </c>
      <c r="B50" s="204">
        <v>0</v>
      </c>
      <c r="C50" s="223">
        <f>1/InfoInicial!B12</f>
        <v>0.33333333333333331</v>
      </c>
      <c r="D50" s="204">
        <f t="shared" ref="D50:F50" si="16">$B50*$C50</f>
        <v>0</v>
      </c>
      <c r="E50" s="204">
        <f t="shared" si="16"/>
        <v>0</v>
      </c>
      <c r="F50" s="204">
        <f t="shared" si="16"/>
        <v>0</v>
      </c>
      <c r="G50" s="222">
        <v>0</v>
      </c>
      <c r="H50" s="8"/>
      <c r="I50" s="190"/>
      <c r="J50" s="8"/>
      <c r="N50" s="92"/>
      <c r="O50" s="92"/>
      <c r="P50" s="92"/>
      <c r="Q50" s="92"/>
      <c r="R50" s="92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>
      <c r="A51" s="227" t="s">
        <v>406</v>
      </c>
      <c r="B51" s="204">
        <f>SUM(B43:B50)</f>
        <v>2840006774.8710747</v>
      </c>
      <c r="C51" s="228"/>
      <c r="D51" s="204">
        <f t="shared" ref="D51:F51" si="17">SUM(D44:D50)</f>
        <v>172643245.47008264</v>
      </c>
      <c r="E51" s="204">
        <f t="shared" si="17"/>
        <v>172643245.47008264</v>
      </c>
      <c r="F51" s="204">
        <f t="shared" si="17"/>
        <v>8581250</v>
      </c>
      <c r="G51" s="222">
        <f>B51-3*D51-2*E51-5*F51</f>
        <v>1933884297.5206616</v>
      </c>
      <c r="H51" s="8"/>
      <c r="I51" s="190"/>
      <c r="J51" s="8"/>
      <c r="N51" s="605" t="s">
        <v>407</v>
      </c>
      <c r="O51" s="540"/>
      <c r="P51" s="540"/>
      <c r="Q51" s="543"/>
      <c r="R51" s="10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>
      <c r="A52" s="201"/>
      <c r="B52" s="229"/>
      <c r="C52" s="230"/>
      <c r="D52" s="231"/>
      <c r="E52" s="231"/>
      <c r="F52" s="231"/>
      <c r="G52" s="232"/>
      <c r="H52" s="8"/>
      <c r="I52" s="190"/>
      <c r="L52" s="10" t="s">
        <v>408</v>
      </c>
      <c r="M52" s="10" t="s">
        <v>409</v>
      </c>
      <c r="N52" s="605" t="s">
        <v>410</v>
      </c>
      <c r="O52" s="543"/>
      <c r="P52" s="605" t="s">
        <v>304</v>
      </c>
      <c r="Q52" s="543"/>
      <c r="R52" s="10" t="s">
        <v>239</v>
      </c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>
      <c r="A53" s="227" t="s">
        <v>411</v>
      </c>
      <c r="B53" s="204">
        <f>B31+C31</f>
        <v>28840784.279118232</v>
      </c>
      <c r="C53" s="223">
        <f>1/InfoInicial!B13</f>
        <v>0.2</v>
      </c>
      <c r="D53" s="204">
        <f t="shared" ref="D53:E53" si="18">$B53*$C53</f>
        <v>5768156.8558236472</v>
      </c>
      <c r="E53" s="204">
        <f t="shared" si="18"/>
        <v>5768156.8558236472</v>
      </c>
      <c r="F53" s="204">
        <v>0</v>
      </c>
      <c r="G53" s="222">
        <f>B53-D53*5</f>
        <v>0</v>
      </c>
      <c r="H53" s="8"/>
      <c r="I53" s="190"/>
      <c r="L53" s="44">
        <v>8750000</v>
      </c>
      <c r="M53" s="10">
        <v>1250</v>
      </c>
      <c r="N53" s="10">
        <v>291667</v>
      </c>
      <c r="O53" s="210">
        <f>N53*L57</f>
        <v>492333896</v>
      </c>
      <c r="P53" s="10">
        <v>8750</v>
      </c>
      <c r="Q53" s="210">
        <f>P53*L61</f>
        <v>194862500</v>
      </c>
      <c r="R53" s="210">
        <f>O53+Q53</f>
        <v>687196396</v>
      </c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>
      <c r="A54" s="201"/>
      <c r="B54" s="202"/>
      <c r="C54" s="202"/>
      <c r="D54" s="233"/>
      <c r="E54" s="234"/>
      <c r="F54" s="234"/>
      <c r="G54" s="235"/>
      <c r="H54" s="236"/>
      <c r="I54" s="237"/>
      <c r="S54" s="8"/>
      <c r="T54" s="8"/>
      <c r="U54" s="8"/>
      <c r="V54" s="8"/>
      <c r="W54" s="8"/>
      <c r="X54" s="8"/>
      <c r="Y54" s="8"/>
      <c r="Z54" s="8"/>
      <c r="AA54" s="8"/>
    </row>
    <row r="55" spans="1:27" ht="13.5" customHeight="1">
      <c r="A55" s="211" t="s">
        <v>412</v>
      </c>
      <c r="B55" s="212">
        <f>B51+B53</f>
        <v>2868847559.1501927</v>
      </c>
      <c r="C55" s="212"/>
      <c r="D55" s="212">
        <f t="shared" ref="D55:F55" si="19">D51+D53</f>
        <v>178411402.32590628</v>
      </c>
      <c r="E55" s="212">
        <f t="shared" si="19"/>
        <v>178411402.32590628</v>
      </c>
      <c r="F55" s="212">
        <f t="shared" si="19"/>
        <v>8581250</v>
      </c>
      <c r="G55" s="238">
        <f>G51</f>
        <v>1933884297.5206616</v>
      </c>
      <c r="H55" s="239"/>
      <c r="I55" s="240"/>
      <c r="S55" s="8"/>
      <c r="T55" s="8"/>
      <c r="U55" s="8"/>
      <c r="V55" s="8"/>
      <c r="W55" s="8"/>
      <c r="X55" s="8"/>
      <c r="Y55" s="8"/>
      <c r="Z55" s="8"/>
      <c r="AA55" s="8"/>
    </row>
    <row r="56" spans="1:27" ht="13.5" customHeight="1">
      <c r="A56" s="8"/>
      <c r="B56" s="8"/>
      <c r="C56" s="8"/>
      <c r="D56" s="8"/>
      <c r="E56" s="8"/>
      <c r="F56" s="8"/>
      <c r="G56" s="8"/>
      <c r="H56" s="8"/>
      <c r="I56" s="190"/>
      <c r="L56" s="241" t="s">
        <v>413</v>
      </c>
      <c r="M56" s="113" t="s">
        <v>414</v>
      </c>
      <c r="N56" s="242"/>
      <c r="Q56" s="242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>
      <c r="A57" s="8"/>
      <c r="B57" s="8"/>
      <c r="C57" s="8"/>
      <c r="D57" s="37"/>
      <c r="E57" s="8"/>
      <c r="F57" s="8"/>
      <c r="G57" s="8"/>
      <c r="H57" s="8"/>
      <c r="I57" s="190"/>
      <c r="L57" s="243">
        <v>1688</v>
      </c>
      <c r="M57" s="242"/>
      <c r="N57" s="242"/>
      <c r="Q57" s="242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>
      <c r="A58" s="8"/>
      <c r="B58" s="8"/>
      <c r="C58" s="8"/>
      <c r="D58" s="8"/>
      <c r="E58" s="8"/>
      <c r="F58" s="8"/>
      <c r="G58" s="8"/>
      <c r="H58" s="8"/>
      <c r="I58" s="8"/>
      <c r="L58" s="241">
        <f>30</f>
        <v>30</v>
      </c>
      <c r="M58" s="8" t="s">
        <v>415</v>
      </c>
      <c r="N58" s="242"/>
      <c r="Q58" s="242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>
      <c r="A59" s="8"/>
      <c r="B59" s="8"/>
      <c r="C59" s="8"/>
      <c r="D59" s="8"/>
      <c r="E59" s="8"/>
      <c r="F59" s="8"/>
      <c r="G59" s="8"/>
      <c r="H59" s="8"/>
      <c r="I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L60" s="241" t="s">
        <v>416</v>
      </c>
      <c r="M60" s="113" t="s">
        <v>417</v>
      </c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L61" s="243">
        <f>22270</f>
        <v>22270</v>
      </c>
      <c r="M61" s="242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L62" s="241">
        <v>1000</v>
      </c>
      <c r="M62" s="8" t="s">
        <v>418</v>
      </c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2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mergeCells count="8">
    <mergeCell ref="N51:Q51"/>
    <mergeCell ref="N52:O52"/>
    <mergeCell ref="P52:Q52"/>
    <mergeCell ref="J2:L2"/>
    <mergeCell ref="B3:C3"/>
    <mergeCell ref="D3:E3"/>
    <mergeCell ref="D40:F40"/>
    <mergeCell ref="L44:P44"/>
  </mergeCells>
  <hyperlinks>
    <hyperlink ref="J4" r:id="rId1" location="position=10&amp;search_layout=grid&amp;type=item&amp;tracking_id=0bfa1e80-f939-4613-b9c2-5152c3262cbb" xr:uid="{00000000-0004-0000-1000-000000000000}"/>
    <hyperlink ref="J37" r:id="rId2" xr:uid="{00000000-0004-0000-1000-000001000000}"/>
    <hyperlink ref="J38" r:id="rId3" location=":~:text=Tanto%20en%20CABA%20como%20en,disponga%20la%20compa%C3%B1ia%20de%20seguros)." xr:uid="{00000000-0004-0000-1000-000002000000}"/>
    <hyperlink ref="J39" r:id="rId4" xr:uid="{00000000-0004-0000-1000-000003000000}"/>
    <hyperlink ref="N47" r:id="rId5" location="searchVariation%3D174645647545%26position%3D4%26search_layout%3Dgrid%26type%3Ditem%26tracking_id%3D4291ee21-22bf-4939-9bf7-413ede7b6573#polycard_client=search-nordic&amp;searchVariation=174645647545&amp;position=4&amp;search_layout=grid&amp;type=item&amp;tracking_id=4291ee21-22bf-4939-9bf7-413ede7b6573" xr:uid="{00000000-0004-0000-1000-000004000000}"/>
    <hyperlink ref="M56" r:id="rId6" location="polycard_client=search-nordic&amp;searchVariation=MLA29106841&amp;position=2&amp;search_layout=grid&amp;type=product&amp;tracking_id=822af6ef-2040-" xr:uid="{00000000-0004-0000-1000-000005000000}"/>
    <hyperlink ref="M60" r:id="rId7" location="polycard_client=search-nordic&amp;position=2&amp;search_layout=stack&amp;type=item&amp;tracking_id=cb55a88d-eba8-458c-a8cf-aad896fb2873" xr:uid="{00000000-0004-0000-1000-000006000000}"/>
  </hyperlinks>
  <pageMargins left="0.7" right="0.7" top="0.75" bottom="0.75" header="0" footer="0"/>
  <pageSetup orientation="landscape"/>
  <legacy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996"/>
  <sheetViews>
    <sheetView workbookViewId="0">
      <selection sqref="A1:K1"/>
    </sheetView>
  </sheetViews>
  <sheetFormatPr baseColWidth="10" defaultColWidth="12.5703125" defaultRowHeight="15" customHeight="1"/>
  <cols>
    <col min="1" max="1" width="41.42578125" customWidth="1"/>
    <col min="2" max="2" width="19.42578125" customWidth="1"/>
    <col min="3" max="3" width="19.5703125" customWidth="1"/>
    <col min="4" max="4" width="17.85546875" customWidth="1"/>
    <col min="5" max="5" width="19.140625" customWidth="1"/>
    <col min="6" max="6" width="19" customWidth="1"/>
    <col min="7" max="7" width="17.42578125" customWidth="1"/>
    <col min="8" max="8" width="17.85546875" customWidth="1"/>
    <col min="9" max="9" width="19.5703125" customWidth="1"/>
    <col min="10" max="10" width="18.42578125" customWidth="1"/>
    <col min="11" max="11" width="19.42578125" customWidth="1"/>
    <col min="12" max="12" width="17.42578125" customWidth="1"/>
    <col min="13" max="13" width="10" customWidth="1"/>
    <col min="14" max="14" width="2.42578125" customWidth="1"/>
    <col min="15" max="15" width="10" customWidth="1"/>
    <col min="16" max="16" width="20.28515625" customWidth="1"/>
    <col min="17" max="17" width="52.28515625" customWidth="1"/>
    <col min="18" max="18" width="23.42578125" customWidth="1"/>
    <col min="19" max="19" width="18.140625" customWidth="1"/>
    <col min="20" max="21" width="20" customWidth="1"/>
    <col min="22" max="22" width="16" customWidth="1"/>
    <col min="23" max="23" width="15.140625" customWidth="1"/>
    <col min="24" max="32" width="10" customWidth="1"/>
  </cols>
  <sheetData>
    <row r="1" spans="1:32" ht="16.5" customHeight="1">
      <c r="A1" s="633" t="s">
        <v>419</v>
      </c>
      <c r="B1" s="629"/>
      <c r="C1" s="629"/>
      <c r="D1" s="629"/>
      <c r="E1" s="629"/>
      <c r="F1" s="629"/>
      <c r="G1" s="629"/>
      <c r="H1" s="629"/>
      <c r="I1" s="629"/>
      <c r="J1" s="629"/>
      <c r="K1" s="628"/>
      <c r="L1" s="8"/>
      <c r="M1" s="8"/>
      <c r="N1" s="244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12.75" customHeight="1">
      <c r="A2" s="245"/>
      <c r="B2" s="634" t="s">
        <v>420</v>
      </c>
      <c r="C2" s="635"/>
      <c r="D2" s="635"/>
      <c r="E2" s="635"/>
      <c r="F2" s="635"/>
      <c r="G2" s="635"/>
      <c r="H2" s="635"/>
      <c r="I2" s="635"/>
      <c r="J2" s="635"/>
      <c r="K2" s="636"/>
      <c r="L2" s="8"/>
      <c r="M2" s="8"/>
      <c r="N2" s="244"/>
      <c r="O2" s="625" t="s">
        <v>287</v>
      </c>
      <c r="P2" s="613"/>
      <c r="Q2" s="613"/>
      <c r="R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13.5" customHeight="1">
      <c r="A3" s="245" t="s">
        <v>421</v>
      </c>
      <c r="B3" s="196" t="s">
        <v>112</v>
      </c>
      <c r="C3" s="196" t="s">
        <v>422</v>
      </c>
      <c r="D3" s="196" t="s">
        <v>423</v>
      </c>
      <c r="E3" s="196" t="s">
        <v>424</v>
      </c>
      <c r="F3" s="196" t="s">
        <v>425</v>
      </c>
      <c r="G3" s="196" t="s">
        <v>426</v>
      </c>
      <c r="H3" s="196" t="s">
        <v>427</v>
      </c>
      <c r="I3" s="196" t="s">
        <v>428</v>
      </c>
      <c r="J3" s="196" t="s">
        <v>429</v>
      </c>
      <c r="K3" s="197" t="s">
        <v>430</v>
      </c>
      <c r="L3" s="8"/>
      <c r="M3" s="8"/>
      <c r="N3" s="244"/>
      <c r="O3" s="8"/>
      <c r="P3" s="8"/>
      <c r="Q3" s="8"/>
      <c r="R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13.5" customHeight="1">
      <c r="A4" s="199" t="s">
        <v>431</v>
      </c>
      <c r="B4" s="246">
        <f>'Materia Prima'!C10+'Materia Prima'!K5</f>
        <v>475962750.00000012</v>
      </c>
      <c r="C4" s="246">
        <f>'Materia Prima'!$C$11+'Materia Prima'!$K$6</f>
        <v>640615000.00000012</v>
      </c>
      <c r="D4" s="246">
        <f>'Materia Prima'!$C$11+'Materia Prima'!$K$6</f>
        <v>640615000.00000012</v>
      </c>
      <c r="E4" s="246">
        <f>'Materia Prima'!$C$11+'Materia Prima'!$K$6</f>
        <v>640615000.00000012</v>
      </c>
      <c r="F4" s="246">
        <f>'Materia Prima'!$C$11+'Materia Prima'!$K$6</f>
        <v>640615000.00000012</v>
      </c>
      <c r="G4" s="246">
        <f>'Materia Prima'!$C$11+'Materia Prima'!$K$6</f>
        <v>640615000.00000012</v>
      </c>
      <c r="H4" s="246">
        <f>'Materia Prima'!$C$11+'Materia Prima'!$K$6</f>
        <v>640615000.00000012</v>
      </c>
      <c r="I4" s="246">
        <f>'Materia Prima'!$C$11+'Materia Prima'!$K$6</f>
        <v>640615000.00000012</v>
      </c>
      <c r="J4" s="246">
        <f>'Materia Prima'!$C$11+'Materia Prima'!$K$6</f>
        <v>640615000.00000012</v>
      </c>
      <c r="K4" s="246">
        <f>'Materia Prima'!$C$11+'Materia Prima'!$K$6</f>
        <v>640615000.00000012</v>
      </c>
      <c r="L4" s="8"/>
      <c r="M4" s="8"/>
      <c r="N4" s="244"/>
      <c r="O4" s="8"/>
      <c r="P4" s="113" t="s">
        <v>432</v>
      </c>
      <c r="Q4" s="8" t="s">
        <v>433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12.75" customHeight="1">
      <c r="A5" s="203" t="s">
        <v>434</v>
      </c>
      <c r="B5" s="228">
        <f t="shared" ref="B5:K5" si="0">$W$34</f>
        <v>29610097.199999999</v>
      </c>
      <c r="C5" s="228">
        <f t="shared" si="0"/>
        <v>29610097.199999999</v>
      </c>
      <c r="D5" s="228">
        <f t="shared" si="0"/>
        <v>29610097.199999999</v>
      </c>
      <c r="E5" s="228">
        <f t="shared" si="0"/>
        <v>29610097.199999999</v>
      </c>
      <c r="F5" s="228">
        <f t="shared" si="0"/>
        <v>29610097.199999999</v>
      </c>
      <c r="G5" s="228">
        <f t="shared" si="0"/>
        <v>29610097.199999999</v>
      </c>
      <c r="H5" s="228">
        <f t="shared" si="0"/>
        <v>29610097.199999999</v>
      </c>
      <c r="I5" s="228">
        <f t="shared" si="0"/>
        <v>29610097.199999999</v>
      </c>
      <c r="J5" s="228">
        <f t="shared" si="0"/>
        <v>29610097.199999999</v>
      </c>
      <c r="K5" s="247">
        <f t="shared" si="0"/>
        <v>29610097.199999999</v>
      </c>
      <c r="L5" s="8"/>
      <c r="M5" s="8"/>
      <c r="N5" s="244"/>
      <c r="O5" s="8"/>
      <c r="P5" s="248" t="s">
        <v>435</v>
      </c>
      <c r="Q5" s="249" t="s">
        <v>436</v>
      </c>
      <c r="R5" s="249" t="s">
        <v>437</v>
      </c>
      <c r="S5" s="250" t="s">
        <v>438</v>
      </c>
      <c r="T5" s="249" t="s">
        <v>439</v>
      </c>
      <c r="U5" s="249" t="s">
        <v>440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12.75" customHeight="1">
      <c r="A6" s="203" t="s">
        <v>441</v>
      </c>
      <c r="B6" s="228"/>
      <c r="C6" s="228"/>
      <c r="D6" s="228"/>
      <c r="E6" s="228"/>
      <c r="F6" s="228"/>
      <c r="G6" s="228"/>
      <c r="H6" s="228"/>
      <c r="I6" s="228"/>
      <c r="J6" s="228"/>
      <c r="K6" s="247"/>
      <c r="L6" s="8"/>
      <c r="M6" s="8"/>
      <c r="N6" s="244"/>
      <c r="O6" s="8"/>
      <c r="P6" s="251" t="s">
        <v>442</v>
      </c>
      <c r="Q6" s="252">
        <v>1</v>
      </c>
      <c r="R6" s="252">
        <v>3.5</v>
      </c>
      <c r="S6" s="252">
        <v>5440</v>
      </c>
      <c r="T6" s="252">
        <f t="shared" ref="T6:T12" si="1">Q6*R6*S6</f>
        <v>19040</v>
      </c>
      <c r="U6" s="100">
        <f t="shared" ref="U6:U12" si="2">T6*95.624</f>
        <v>1820680.96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12.75" customHeight="1">
      <c r="A7" s="203" t="s">
        <v>255</v>
      </c>
      <c r="B7" s="228">
        <f>'DE-Inv AF y Am'!$D$55*0.9</f>
        <v>160570262.09331566</v>
      </c>
      <c r="C7" s="228">
        <f>'DE-Inv AF y Am'!$D$55*0.9</f>
        <v>160570262.09331566</v>
      </c>
      <c r="D7" s="228">
        <f>'DE-Inv AF y Am'!$D$55*0.9</f>
        <v>160570262.09331566</v>
      </c>
      <c r="E7" s="228">
        <f>'DE-Inv AF y Am'!$D$55*0.9</f>
        <v>160570262.09331566</v>
      </c>
      <c r="F7" s="228">
        <f>'DE-Inv AF y Am'!$D$55*0.9</f>
        <v>160570262.09331566</v>
      </c>
      <c r="G7" s="228">
        <f>'DE-Inv AF y Am'!$D$55*0.9</f>
        <v>160570262.09331566</v>
      </c>
      <c r="H7" s="228">
        <f>'DE-Inv AF y Am'!$D$55*0.9</f>
        <v>160570262.09331566</v>
      </c>
      <c r="I7" s="228">
        <f>'DE-Inv AF y Am'!$D$55*0.9</f>
        <v>160570262.09331566</v>
      </c>
      <c r="J7" s="228">
        <f>'DE-Inv AF y Am'!$D$55*0.9</f>
        <v>160570262.09331566</v>
      </c>
      <c r="K7" s="247">
        <f>'DE-Inv AF y Am'!$D$55*0.9</f>
        <v>160570262.09331566</v>
      </c>
      <c r="L7" s="8"/>
      <c r="M7" s="8"/>
      <c r="N7" s="244"/>
      <c r="O7" s="8"/>
      <c r="P7" s="251" t="s">
        <v>443</v>
      </c>
      <c r="Q7" s="252">
        <v>1</v>
      </c>
      <c r="R7" s="252">
        <v>15</v>
      </c>
      <c r="S7" s="252">
        <v>5440</v>
      </c>
      <c r="T7" s="252">
        <f t="shared" si="1"/>
        <v>81600</v>
      </c>
      <c r="U7" s="100">
        <f t="shared" si="2"/>
        <v>7802918.3999999994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ht="12.75" customHeight="1">
      <c r="A8" s="203" t="s">
        <v>256</v>
      </c>
      <c r="B8" s="228">
        <f t="shared" ref="B8:K8" si="3">$W$33</f>
        <v>23938777.600000001</v>
      </c>
      <c r="C8" s="228">
        <f t="shared" si="3"/>
        <v>23938777.600000001</v>
      </c>
      <c r="D8" s="228">
        <f t="shared" si="3"/>
        <v>23938777.600000001</v>
      </c>
      <c r="E8" s="228">
        <f t="shared" si="3"/>
        <v>23938777.600000001</v>
      </c>
      <c r="F8" s="228">
        <f t="shared" si="3"/>
        <v>23938777.600000001</v>
      </c>
      <c r="G8" s="228">
        <f t="shared" si="3"/>
        <v>23938777.600000001</v>
      </c>
      <c r="H8" s="228">
        <f t="shared" si="3"/>
        <v>23938777.600000001</v>
      </c>
      <c r="I8" s="228">
        <f t="shared" si="3"/>
        <v>23938777.600000001</v>
      </c>
      <c r="J8" s="228">
        <f t="shared" si="3"/>
        <v>23938777.600000001</v>
      </c>
      <c r="K8" s="247">
        <f t="shared" si="3"/>
        <v>23938777.600000001</v>
      </c>
      <c r="L8" s="8"/>
      <c r="M8" s="8"/>
      <c r="N8" s="244"/>
      <c r="O8" s="8"/>
      <c r="P8" s="251" t="s">
        <v>370</v>
      </c>
      <c r="Q8" s="252">
        <v>2</v>
      </c>
      <c r="R8" s="252">
        <v>0.55000000000000004</v>
      </c>
      <c r="S8" s="252">
        <v>5440</v>
      </c>
      <c r="T8" s="252">
        <f t="shared" si="1"/>
        <v>5984.0000000000009</v>
      </c>
      <c r="U8" s="100">
        <f t="shared" si="2"/>
        <v>572214.01600000006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12.75" customHeight="1">
      <c r="A9" s="203" t="s">
        <v>257</v>
      </c>
      <c r="B9" s="253">
        <f>'Materiales área producción'!C13</f>
        <v>38029975.242710754</v>
      </c>
      <c r="C9" s="253">
        <f>'Materiales área producción'!D13</f>
        <v>40499758.992710754</v>
      </c>
      <c r="D9" s="253">
        <f>'Materiales área producción'!E13</f>
        <v>40499758.992710754</v>
      </c>
      <c r="E9" s="253">
        <f>'Materiales área producción'!F13</f>
        <v>40499758.992710754</v>
      </c>
      <c r="F9" s="253">
        <f>'Materiales área producción'!G13</f>
        <v>40499758.992710754</v>
      </c>
      <c r="G9" s="253">
        <f>'Materiales área producción'!H13</f>
        <v>40499758.992710754</v>
      </c>
      <c r="H9" s="253">
        <f>'Materiales área producción'!I13</f>
        <v>40499758.992710754</v>
      </c>
      <c r="I9" s="253">
        <f>'Materiales área producción'!J13</f>
        <v>40499758.992710754</v>
      </c>
      <c r="J9" s="253">
        <f>'Materiales área producción'!K13</f>
        <v>40499758.992710754</v>
      </c>
      <c r="K9" s="247">
        <f>'Materiales área producción'!L13</f>
        <v>40499758.992710754</v>
      </c>
      <c r="L9" s="8"/>
      <c r="M9" s="8"/>
      <c r="N9" s="244"/>
      <c r="O9" s="8"/>
      <c r="P9" s="251" t="s">
        <v>373</v>
      </c>
      <c r="Q9" s="252">
        <v>2</v>
      </c>
      <c r="R9" s="252">
        <v>92.5</v>
      </c>
      <c r="S9" s="252">
        <v>5440</v>
      </c>
      <c r="T9" s="252">
        <f t="shared" si="1"/>
        <v>1006400</v>
      </c>
      <c r="U9" s="100">
        <f t="shared" si="2"/>
        <v>96235993.599999994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12.75" customHeight="1">
      <c r="A10" s="203" t="s">
        <v>258</v>
      </c>
      <c r="B10" s="228">
        <f>0.95*U13</f>
        <v>117620931.86432</v>
      </c>
      <c r="C10" s="228">
        <f t="shared" ref="C10:K10" si="4">$U$13</f>
        <v>123811507.2256</v>
      </c>
      <c r="D10" s="228">
        <f t="shared" si="4"/>
        <v>123811507.2256</v>
      </c>
      <c r="E10" s="228">
        <f t="shared" si="4"/>
        <v>123811507.2256</v>
      </c>
      <c r="F10" s="228">
        <f t="shared" si="4"/>
        <v>123811507.2256</v>
      </c>
      <c r="G10" s="228">
        <f t="shared" si="4"/>
        <v>123811507.2256</v>
      </c>
      <c r="H10" s="228">
        <f t="shared" si="4"/>
        <v>123811507.2256</v>
      </c>
      <c r="I10" s="228">
        <f t="shared" si="4"/>
        <v>123811507.2256</v>
      </c>
      <c r="J10" s="228">
        <f t="shared" si="4"/>
        <v>123811507.2256</v>
      </c>
      <c r="K10" s="247">
        <f t="shared" si="4"/>
        <v>123811507.2256</v>
      </c>
      <c r="L10" s="8"/>
      <c r="M10" s="8"/>
      <c r="N10" s="244"/>
      <c r="O10" s="8"/>
      <c r="P10" s="251" t="s">
        <v>444</v>
      </c>
      <c r="Q10" s="252">
        <v>1</v>
      </c>
      <c r="R10" s="252">
        <v>30</v>
      </c>
      <c r="S10" s="252">
        <v>5440</v>
      </c>
      <c r="T10" s="252">
        <f t="shared" si="1"/>
        <v>163200</v>
      </c>
      <c r="U10" s="100">
        <f t="shared" si="2"/>
        <v>15605836.799999999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ht="12.75" customHeight="1">
      <c r="A11" s="203" t="s">
        <v>259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47">
        <v>0</v>
      </c>
      <c r="L11" s="17"/>
      <c r="M11" s="8"/>
      <c r="N11" s="244"/>
      <c r="O11" s="8"/>
      <c r="P11" s="251" t="s">
        <v>58</v>
      </c>
      <c r="Q11" s="252">
        <v>1</v>
      </c>
      <c r="R11" s="252">
        <v>1.21</v>
      </c>
      <c r="S11" s="252">
        <v>5440</v>
      </c>
      <c r="T11" s="252">
        <f t="shared" si="1"/>
        <v>6582.4</v>
      </c>
      <c r="U11" s="100">
        <f t="shared" si="2"/>
        <v>629435.41759999993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ht="12.75" customHeight="1">
      <c r="A12" s="203" t="s">
        <v>260</v>
      </c>
      <c r="B12" s="228">
        <f>'Tasas e Impuestos'!$B$12</f>
        <v>31328925.619834714</v>
      </c>
      <c r="C12" s="228">
        <f>'Tasas e Impuestos'!$B$12</f>
        <v>31328925.619834714</v>
      </c>
      <c r="D12" s="228">
        <f>'Tasas e Impuestos'!$B$12</f>
        <v>31328925.619834714</v>
      </c>
      <c r="E12" s="228">
        <f>'Tasas e Impuestos'!$B$12</f>
        <v>31328925.619834714</v>
      </c>
      <c r="F12" s="228">
        <f>'Tasas e Impuestos'!$B$12</f>
        <v>31328925.619834714</v>
      </c>
      <c r="G12" s="228">
        <f>'Tasas e Impuestos'!$B$12</f>
        <v>31328925.619834714</v>
      </c>
      <c r="H12" s="228">
        <f>'Tasas e Impuestos'!$B$12</f>
        <v>31328925.619834714</v>
      </c>
      <c r="I12" s="228">
        <f>'Tasas e Impuestos'!$B$12</f>
        <v>31328925.619834714</v>
      </c>
      <c r="J12" s="228">
        <f>'Tasas e Impuestos'!$B$12</f>
        <v>31328925.619834714</v>
      </c>
      <c r="K12" s="228">
        <f>'Tasas e Impuestos'!$B$12</f>
        <v>31328925.619834714</v>
      </c>
      <c r="L12" s="17"/>
      <c r="M12" s="8"/>
      <c r="N12" s="244"/>
      <c r="O12" s="8"/>
      <c r="P12" s="251" t="s">
        <v>378</v>
      </c>
      <c r="Q12" s="252">
        <v>1</v>
      </c>
      <c r="R12" s="252">
        <v>2.2000000000000002</v>
      </c>
      <c r="S12" s="252">
        <v>5440</v>
      </c>
      <c r="T12" s="252">
        <f t="shared" si="1"/>
        <v>11968.000000000002</v>
      </c>
      <c r="U12" s="100">
        <f t="shared" si="2"/>
        <v>1144428.0320000001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12.75" customHeight="1">
      <c r="A13" s="203" t="s">
        <v>261</v>
      </c>
      <c r="B13" s="253">
        <f>Seguros!$D$21</f>
        <v>118414063.67520662</v>
      </c>
      <c r="C13" s="253">
        <f>Seguros!$E$21</f>
        <v>114339485.0801653</v>
      </c>
      <c r="D13" s="253">
        <f>Seguros!$E$21</f>
        <v>114339485.0801653</v>
      </c>
      <c r="E13" s="253">
        <f>Seguros!$E$21</f>
        <v>114339485.0801653</v>
      </c>
      <c r="F13" s="253">
        <f>Seguros!$E$21</f>
        <v>114339485.0801653</v>
      </c>
      <c r="G13" s="253">
        <f>Seguros!$E$21</f>
        <v>114339485.0801653</v>
      </c>
      <c r="H13" s="253">
        <f>Seguros!$E$21</f>
        <v>114339485.0801653</v>
      </c>
      <c r="I13" s="253">
        <f>Seguros!$E$21</f>
        <v>114339485.0801653</v>
      </c>
      <c r="J13" s="253">
        <f>Seguros!$E$21</f>
        <v>114339485.0801653</v>
      </c>
      <c r="K13" s="247">
        <f>Seguros!$E$21</f>
        <v>114339485.0801653</v>
      </c>
      <c r="L13" s="8"/>
      <c r="M13" s="8"/>
      <c r="N13" s="244"/>
      <c r="O13" s="8"/>
      <c r="P13" s="8"/>
      <c r="Q13" s="8"/>
      <c r="R13" s="8"/>
      <c r="S13" s="8"/>
      <c r="T13" s="8"/>
      <c r="U13" s="100">
        <f>SUM(U6:U12)</f>
        <v>123811507.2256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ht="12.75" customHeight="1">
      <c r="A14" s="203" t="s">
        <v>262</v>
      </c>
      <c r="B14" s="228">
        <f>SUM(B4:B13)*InfoInicial!$I$13</f>
        <v>19909515.665907759</v>
      </c>
      <c r="C14" s="228">
        <f>SUM(C4:C13)*InfoInicial!$I$13</f>
        <v>23294276.276232533</v>
      </c>
      <c r="D14" s="228">
        <f>SUM(D4:D13)*InfoInicial!$I$13</f>
        <v>23294276.276232533</v>
      </c>
      <c r="E14" s="228">
        <f>SUM(E4:E13)*InfoInicial!$I$13</f>
        <v>23294276.276232533</v>
      </c>
      <c r="F14" s="228">
        <f>SUM(F4:F13)*InfoInicial!$I$13</f>
        <v>23294276.276232533</v>
      </c>
      <c r="G14" s="228">
        <f>SUM(G4:G13)*InfoInicial!$I$13</f>
        <v>23294276.276232533</v>
      </c>
      <c r="H14" s="228">
        <f>SUM(H4:H13)*InfoInicial!$I$13</f>
        <v>23294276.276232533</v>
      </c>
      <c r="I14" s="228">
        <f>SUM(I4:I13)*InfoInicial!$I$13</f>
        <v>23294276.276232533</v>
      </c>
      <c r="J14" s="228">
        <f>SUM(J4:J13)*InfoInicial!$I$13</f>
        <v>23294276.276232533</v>
      </c>
      <c r="K14" s="247">
        <f>SUM(K4:K13)*InfoInicial!$I$13</f>
        <v>23294276.276232533</v>
      </c>
      <c r="L14" s="8"/>
      <c r="M14" s="8"/>
      <c r="N14" s="244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12.75" customHeight="1">
      <c r="A15" s="201" t="s">
        <v>445</v>
      </c>
      <c r="B15" s="254">
        <f t="shared" ref="B15:K15" si="5">SUM(B4:B14)</f>
        <v>1015385298.9612956</v>
      </c>
      <c r="C15" s="254">
        <f t="shared" si="5"/>
        <v>1188008090.0878592</v>
      </c>
      <c r="D15" s="254">
        <f t="shared" si="5"/>
        <v>1188008090.0878592</v>
      </c>
      <c r="E15" s="254">
        <f t="shared" si="5"/>
        <v>1188008090.0878592</v>
      </c>
      <c r="F15" s="254">
        <f t="shared" si="5"/>
        <v>1188008090.0878592</v>
      </c>
      <c r="G15" s="254">
        <f t="shared" si="5"/>
        <v>1188008090.0878592</v>
      </c>
      <c r="H15" s="254">
        <f t="shared" si="5"/>
        <v>1188008090.0878592</v>
      </c>
      <c r="I15" s="254">
        <f t="shared" si="5"/>
        <v>1188008090.0878592</v>
      </c>
      <c r="J15" s="254">
        <f t="shared" si="5"/>
        <v>1188008090.0878592</v>
      </c>
      <c r="K15" s="255">
        <f t="shared" si="5"/>
        <v>1188008090.0878592</v>
      </c>
      <c r="L15" s="8"/>
      <c r="M15" s="8"/>
      <c r="N15" s="244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12.75" customHeight="1">
      <c r="A16" s="256"/>
      <c r="B16" s="257"/>
      <c r="C16" s="257"/>
      <c r="D16" s="257"/>
      <c r="E16" s="257"/>
      <c r="F16" s="257"/>
      <c r="G16" s="258"/>
      <c r="H16" s="258"/>
      <c r="I16" s="258"/>
      <c r="J16" s="258"/>
      <c r="K16" s="259"/>
      <c r="L16" s="8"/>
      <c r="M16" s="8"/>
      <c r="N16" s="244"/>
      <c r="O16" s="8"/>
      <c r="P16" s="248" t="s">
        <v>446</v>
      </c>
      <c r="Q16" s="260" t="s">
        <v>290</v>
      </c>
      <c r="R16" s="260" t="s">
        <v>437</v>
      </c>
      <c r="S16" s="250" t="s">
        <v>438</v>
      </c>
      <c r="T16" s="260" t="s">
        <v>439</v>
      </c>
      <c r="U16" s="249" t="s">
        <v>440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ht="12.75" customHeight="1">
      <c r="A17" s="261" t="s">
        <v>447</v>
      </c>
      <c r="B17" s="262">
        <f t="shared" ref="B17:K17" si="6">1-B18</f>
        <v>0.53536605562321804</v>
      </c>
      <c r="C17" s="262">
        <f t="shared" si="6"/>
        <v>0.59824917197335692</v>
      </c>
      <c r="D17" s="262">
        <f t="shared" si="6"/>
        <v>0.59824917197335692</v>
      </c>
      <c r="E17" s="262">
        <f t="shared" si="6"/>
        <v>0.59824917197335692</v>
      </c>
      <c r="F17" s="262">
        <f t="shared" si="6"/>
        <v>0.59824917197335692</v>
      </c>
      <c r="G17" s="262">
        <f t="shared" si="6"/>
        <v>0.59824917197335692</v>
      </c>
      <c r="H17" s="262">
        <f t="shared" si="6"/>
        <v>0.59824917197335692</v>
      </c>
      <c r="I17" s="262">
        <f t="shared" si="6"/>
        <v>0.59824917197335692</v>
      </c>
      <c r="J17" s="262">
        <f t="shared" si="6"/>
        <v>0.59824917197335692</v>
      </c>
      <c r="K17" s="263">
        <f t="shared" si="6"/>
        <v>0.59824917197335692</v>
      </c>
      <c r="L17" s="8"/>
      <c r="M17" s="8"/>
      <c r="N17" s="244"/>
      <c r="O17" s="8"/>
      <c r="P17" s="251" t="s">
        <v>371</v>
      </c>
      <c r="Q17" s="252">
        <v>4</v>
      </c>
      <c r="R17" s="264">
        <v>0.06</v>
      </c>
      <c r="S17" s="58">
        <v>1188</v>
      </c>
      <c r="T17" s="252">
        <f t="shared" ref="T17:T27" si="7">Q17*R17*S17</f>
        <v>285.12</v>
      </c>
      <c r="U17" s="265">
        <f t="shared" ref="U17:U27" si="8">T17*95.624</f>
        <v>27264.314879999998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ht="13.5" customHeight="1">
      <c r="A18" s="266" t="s">
        <v>448</v>
      </c>
      <c r="B18" s="267">
        <f t="shared" ref="B18:K18" si="9">(B7+B8+B10+B11+B12+B13+B14)/B15</f>
        <v>0.46463394437678196</v>
      </c>
      <c r="C18" s="267">
        <f t="shared" si="9"/>
        <v>0.40175082802664308</v>
      </c>
      <c r="D18" s="267">
        <f t="shared" si="9"/>
        <v>0.40175082802664308</v>
      </c>
      <c r="E18" s="267">
        <f t="shared" si="9"/>
        <v>0.40175082802664308</v>
      </c>
      <c r="F18" s="267">
        <f t="shared" si="9"/>
        <v>0.40175082802664308</v>
      </c>
      <c r="G18" s="267">
        <f t="shared" si="9"/>
        <v>0.40175082802664308</v>
      </c>
      <c r="H18" s="267">
        <f t="shared" si="9"/>
        <v>0.40175082802664308</v>
      </c>
      <c r="I18" s="267">
        <f t="shared" si="9"/>
        <v>0.40175082802664308</v>
      </c>
      <c r="J18" s="267">
        <f t="shared" si="9"/>
        <v>0.40175082802664308</v>
      </c>
      <c r="K18" s="268">
        <f t="shared" si="9"/>
        <v>0.40175082802664308</v>
      </c>
      <c r="L18" s="8"/>
      <c r="M18" s="8"/>
      <c r="N18" s="244"/>
      <c r="O18" s="8"/>
      <c r="P18" s="251" t="s">
        <v>449</v>
      </c>
      <c r="Q18" s="252">
        <v>12</v>
      </c>
      <c r="R18" s="264">
        <v>0.02</v>
      </c>
      <c r="S18" s="269">
        <v>5440</v>
      </c>
      <c r="T18" s="252">
        <f t="shared" si="7"/>
        <v>1305.5999999999999</v>
      </c>
      <c r="U18" s="265">
        <f t="shared" si="8"/>
        <v>124846.69439999998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244"/>
      <c r="O19" s="8"/>
      <c r="P19" s="251" t="s">
        <v>343</v>
      </c>
      <c r="Q19" s="252">
        <v>3</v>
      </c>
      <c r="R19" s="264">
        <v>1.0129999999999999</v>
      </c>
      <c r="S19" s="269">
        <v>4200</v>
      </c>
      <c r="T19" s="252">
        <f t="shared" si="7"/>
        <v>12763.8</v>
      </c>
      <c r="U19" s="265">
        <f t="shared" si="8"/>
        <v>1220525.6111999999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13.5" customHeight="1">
      <c r="A20" s="270"/>
      <c r="B20" s="626" t="s">
        <v>450</v>
      </c>
      <c r="C20" s="629"/>
      <c r="D20" s="629"/>
      <c r="E20" s="629"/>
      <c r="F20" s="629"/>
      <c r="G20" s="629"/>
      <c r="H20" s="629"/>
      <c r="I20" s="629"/>
      <c r="J20" s="629"/>
      <c r="K20" s="629"/>
      <c r="L20" s="628"/>
      <c r="M20" s="8"/>
      <c r="N20" s="244"/>
      <c r="O20" s="8"/>
      <c r="P20" s="251" t="s">
        <v>306</v>
      </c>
      <c r="Q20" s="252">
        <v>1</v>
      </c>
      <c r="R20" s="264">
        <v>0.6</v>
      </c>
      <c r="S20" s="269">
        <v>1560</v>
      </c>
      <c r="T20" s="252">
        <f t="shared" si="7"/>
        <v>936</v>
      </c>
      <c r="U20" s="265">
        <f t="shared" si="8"/>
        <v>89504.063999999998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ht="12.75" customHeight="1">
      <c r="A21" s="245"/>
      <c r="B21" s="634" t="s">
        <v>451</v>
      </c>
      <c r="C21" s="635"/>
      <c r="D21" s="635"/>
      <c r="E21" s="635"/>
      <c r="F21" s="635"/>
      <c r="G21" s="635"/>
      <c r="H21" s="635"/>
      <c r="I21" s="635"/>
      <c r="J21" s="635"/>
      <c r="K21" s="637"/>
      <c r="L21" s="271" t="s">
        <v>452</v>
      </c>
      <c r="M21" s="8"/>
      <c r="N21" s="244"/>
      <c r="O21" s="8"/>
      <c r="P21" s="251" t="s">
        <v>354</v>
      </c>
      <c r="Q21" s="252">
        <v>1</v>
      </c>
      <c r="R21" s="264">
        <v>0.64</v>
      </c>
      <c r="S21" s="269">
        <v>600</v>
      </c>
      <c r="T21" s="252">
        <f t="shared" si="7"/>
        <v>384</v>
      </c>
      <c r="U21" s="265">
        <f t="shared" si="8"/>
        <v>36719.615999999995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ht="13.5" customHeight="1">
      <c r="A22" s="245" t="s">
        <v>421</v>
      </c>
      <c r="B22" s="272" t="s">
        <v>112</v>
      </c>
      <c r="C22" s="272" t="s">
        <v>422</v>
      </c>
      <c r="D22" s="272" t="s">
        <v>423</v>
      </c>
      <c r="E22" s="272" t="s">
        <v>424</v>
      </c>
      <c r="F22" s="272" t="s">
        <v>425</v>
      </c>
      <c r="G22" s="272" t="s">
        <v>426</v>
      </c>
      <c r="H22" s="272" t="s">
        <v>427</v>
      </c>
      <c r="I22" s="272" t="s">
        <v>428</v>
      </c>
      <c r="J22" s="272" t="s">
        <v>429</v>
      </c>
      <c r="K22" s="272" t="s">
        <v>430</v>
      </c>
      <c r="L22" s="273" t="s">
        <v>112</v>
      </c>
      <c r="M22" s="8"/>
      <c r="N22" s="244"/>
      <c r="O22" s="8"/>
      <c r="P22" s="251" t="s">
        <v>453</v>
      </c>
      <c r="Q22" s="252">
        <v>20</v>
      </c>
      <c r="R22" s="264">
        <v>0.1</v>
      </c>
      <c r="S22" s="269">
        <v>5440</v>
      </c>
      <c r="T22" s="252">
        <f t="shared" si="7"/>
        <v>10880</v>
      </c>
      <c r="U22" s="265">
        <f t="shared" si="8"/>
        <v>1040389.12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ht="13.5" customHeight="1">
      <c r="A23" s="199" t="s">
        <v>431</v>
      </c>
      <c r="B23" s="274">
        <f>'Gastos Merc en curso y SE'!B7</f>
        <v>26617166.875919122</v>
      </c>
      <c r="C23" s="274">
        <f>'Gastos Merc en curso y SE'!$C$7</f>
        <v>28659984.602941182</v>
      </c>
      <c r="D23" s="274">
        <f>'Gastos Merc en curso y SE'!$C$7</f>
        <v>28659984.602941182</v>
      </c>
      <c r="E23" s="274">
        <f>'Gastos Merc en curso y SE'!$C$7</f>
        <v>28659984.602941182</v>
      </c>
      <c r="F23" s="274">
        <f>'Gastos Merc en curso y SE'!$C$7</f>
        <v>28659984.602941182</v>
      </c>
      <c r="G23" s="274">
        <f>'Gastos Merc en curso y SE'!$C$7</f>
        <v>28659984.602941182</v>
      </c>
      <c r="H23" s="274">
        <f>'Gastos Merc en curso y SE'!$C$7</f>
        <v>28659984.602941182</v>
      </c>
      <c r="I23" s="274">
        <f>'Gastos Merc en curso y SE'!$C$7</f>
        <v>28659984.602941182</v>
      </c>
      <c r="J23" s="274">
        <f>'Gastos Merc en curso y SE'!$C$7</f>
        <v>28659984.602941182</v>
      </c>
      <c r="K23" s="274">
        <f>'Gastos Merc en curso y SE'!$C$7</f>
        <v>28659984.602941182</v>
      </c>
      <c r="L23" s="247">
        <f t="shared" ref="L23:L25" si="10">(B23/11.5)*3</f>
        <v>6943608.7502397709</v>
      </c>
      <c r="M23" s="8"/>
      <c r="N23" s="244"/>
      <c r="O23" s="8"/>
      <c r="P23" s="251" t="s">
        <v>454</v>
      </c>
      <c r="Q23" s="252">
        <v>1</v>
      </c>
      <c r="R23" s="264">
        <v>2.8500000000000001E-2</v>
      </c>
      <c r="S23" s="269">
        <v>8640</v>
      </c>
      <c r="T23" s="252">
        <f t="shared" si="7"/>
        <v>246.24</v>
      </c>
      <c r="U23" s="265">
        <f t="shared" si="8"/>
        <v>23546.45376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ht="12.75" customHeight="1">
      <c r="A24" s="203" t="s">
        <v>434</v>
      </c>
      <c r="B24" s="253">
        <f>'Gastos Merc en curso y SE'!B8</f>
        <v>1655879.3695191175</v>
      </c>
      <c r="C24" s="274">
        <f>'Gastos Merc en curso y SE'!$C$8</f>
        <v>1324703.4956152942</v>
      </c>
      <c r="D24" s="274">
        <f>'Gastos Merc en curso y SE'!$C$8</f>
        <v>1324703.4956152942</v>
      </c>
      <c r="E24" s="274">
        <f>'Gastos Merc en curso y SE'!$C$8</f>
        <v>1324703.4956152942</v>
      </c>
      <c r="F24" s="274">
        <f>'Gastos Merc en curso y SE'!$C$8</f>
        <v>1324703.4956152942</v>
      </c>
      <c r="G24" s="274">
        <f>'Gastos Merc en curso y SE'!$C$8</f>
        <v>1324703.4956152942</v>
      </c>
      <c r="H24" s="274">
        <f>'Gastos Merc en curso y SE'!$C$8</f>
        <v>1324703.4956152942</v>
      </c>
      <c r="I24" s="274">
        <f>'Gastos Merc en curso y SE'!$C$8</f>
        <v>1324703.4956152942</v>
      </c>
      <c r="J24" s="274">
        <f>'Gastos Merc en curso y SE'!$C$8</f>
        <v>1324703.4956152942</v>
      </c>
      <c r="K24" s="274">
        <f>'Gastos Merc en curso y SE'!$C$8</f>
        <v>1324703.4956152942</v>
      </c>
      <c r="L24" s="275">
        <f t="shared" si="10"/>
        <v>431968.53117890022</v>
      </c>
      <c r="M24" s="8"/>
      <c r="N24" s="244"/>
      <c r="O24" s="8"/>
      <c r="P24" s="251" t="s">
        <v>455</v>
      </c>
      <c r="Q24" s="252">
        <v>1</v>
      </c>
      <c r="R24" s="264">
        <v>0.09</v>
      </c>
      <c r="S24" s="269">
        <v>8640</v>
      </c>
      <c r="T24" s="252">
        <f t="shared" si="7"/>
        <v>777.6</v>
      </c>
      <c r="U24" s="265">
        <f t="shared" si="8"/>
        <v>74357.222399999999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ht="12.75" customHeight="1">
      <c r="A25" s="203" t="s">
        <v>441</v>
      </c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75">
        <f t="shared" si="10"/>
        <v>0</v>
      </c>
      <c r="M25" s="8"/>
      <c r="N25" s="244"/>
      <c r="O25" s="8"/>
      <c r="P25" s="251" t="s">
        <v>352</v>
      </c>
      <c r="Q25" s="252">
        <v>1</v>
      </c>
      <c r="R25" s="264">
        <v>0.9</v>
      </c>
      <c r="S25" s="269">
        <v>1440</v>
      </c>
      <c r="T25" s="252">
        <f t="shared" si="7"/>
        <v>1296</v>
      </c>
      <c r="U25" s="265">
        <f t="shared" si="8"/>
        <v>123928.704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12.75" customHeight="1">
      <c r="A26" s="203" t="s">
        <v>255</v>
      </c>
      <c r="B26" s="228">
        <f>'Gastos Merc en curso y SE'!B9</f>
        <v>8979537.7084611189</v>
      </c>
      <c r="C26" s="228">
        <f>'Gastos Merc en curso y SE'!$C$9</f>
        <v>7183630.1667688955</v>
      </c>
      <c r="D26" s="228">
        <f>'Gastos Merc en curso y SE'!$C$9</f>
        <v>7183630.1667688955</v>
      </c>
      <c r="E26" s="228">
        <f>'Gastos Merc en curso y SE'!$C$9</f>
        <v>7183630.1667688955</v>
      </c>
      <c r="F26" s="228">
        <f>'Gastos Merc en curso y SE'!$C$9</f>
        <v>7183630.1667688955</v>
      </c>
      <c r="G26" s="228">
        <f>'Gastos Merc en curso y SE'!$C$9</f>
        <v>7183630.1667688955</v>
      </c>
      <c r="H26" s="228">
        <f>'Gastos Merc en curso y SE'!$C$9</f>
        <v>7183630.1667688955</v>
      </c>
      <c r="I26" s="228">
        <f>'Gastos Merc en curso y SE'!$C$9</f>
        <v>7183630.1667688955</v>
      </c>
      <c r="J26" s="228">
        <f>'Gastos Merc en curso y SE'!$C$9</f>
        <v>7183630.1667688955</v>
      </c>
      <c r="K26" s="228">
        <f>'Gastos Merc en curso y SE'!$C$9</f>
        <v>7183630.1667688955</v>
      </c>
      <c r="L26" s="275">
        <v>0</v>
      </c>
      <c r="M26" s="8"/>
      <c r="N26" s="244"/>
      <c r="O26" s="8"/>
      <c r="P26" s="251" t="s">
        <v>347</v>
      </c>
      <c r="Q26" s="252">
        <v>1</v>
      </c>
      <c r="R26" s="264">
        <v>0.75</v>
      </c>
      <c r="S26" s="269">
        <v>1080</v>
      </c>
      <c r="T26" s="252">
        <f t="shared" si="7"/>
        <v>810</v>
      </c>
      <c r="U26" s="265">
        <f t="shared" si="8"/>
        <v>77455.44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12.75" customHeight="1">
      <c r="A27" s="203" t="s">
        <v>256</v>
      </c>
      <c r="B27" s="228">
        <f>'Gastos Merc en curso y SE'!B10</f>
        <v>1338723.3311529413</v>
      </c>
      <c r="C27" s="228">
        <f>'Gastos Merc en curso y SE'!$C$10</f>
        <v>1070978.6649223531</v>
      </c>
      <c r="D27" s="228">
        <f>'Gastos Merc en curso y SE'!$C$10</f>
        <v>1070978.6649223531</v>
      </c>
      <c r="E27" s="228">
        <f>'Gastos Merc en curso y SE'!$C$10</f>
        <v>1070978.6649223531</v>
      </c>
      <c r="F27" s="228">
        <f>'Gastos Merc en curso y SE'!$C$10</f>
        <v>1070978.6649223531</v>
      </c>
      <c r="G27" s="228">
        <f>'Gastos Merc en curso y SE'!$C$10</f>
        <v>1070978.6649223531</v>
      </c>
      <c r="H27" s="228">
        <f>'Gastos Merc en curso y SE'!$C$10</f>
        <v>1070978.6649223531</v>
      </c>
      <c r="I27" s="228">
        <f>'Gastos Merc en curso y SE'!$C$10</f>
        <v>1070978.6649223531</v>
      </c>
      <c r="J27" s="228">
        <f>'Gastos Merc en curso y SE'!$C$10</f>
        <v>1070978.6649223531</v>
      </c>
      <c r="K27" s="228">
        <f>'Gastos Merc en curso y SE'!$C$10</f>
        <v>1070978.6649223531</v>
      </c>
      <c r="L27" s="275">
        <v>0</v>
      </c>
      <c r="M27" s="8"/>
      <c r="N27" s="244"/>
      <c r="O27" s="8"/>
      <c r="P27" s="251" t="s">
        <v>456</v>
      </c>
      <c r="Q27" s="252">
        <v>2</v>
      </c>
      <c r="R27" s="264">
        <v>0.56799999999999995</v>
      </c>
      <c r="S27" s="269">
        <v>420</v>
      </c>
      <c r="T27" s="252">
        <f t="shared" si="7"/>
        <v>477.11999999999995</v>
      </c>
      <c r="U27" s="265">
        <f t="shared" si="8"/>
        <v>45624.122879999995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12.75" customHeight="1">
      <c r="A28" s="203" t="s">
        <v>257</v>
      </c>
      <c r="B28" s="228">
        <f>'Gastos Merc en curso y SE'!B11</f>
        <v>2126742.4757973282</v>
      </c>
      <c r="C28" s="228">
        <f>'Gastos Merc en curso y SE'!$C$11</f>
        <v>1811887.7471709508</v>
      </c>
      <c r="D28" s="228">
        <f>'Gastos Merc en curso y SE'!$C$11</f>
        <v>1811887.7471709508</v>
      </c>
      <c r="E28" s="228">
        <f>'Gastos Merc en curso y SE'!$C$11</f>
        <v>1811887.7471709508</v>
      </c>
      <c r="F28" s="228">
        <f>'Gastos Merc en curso y SE'!$C$11</f>
        <v>1811887.7471709508</v>
      </c>
      <c r="G28" s="228">
        <f>'Gastos Merc en curso y SE'!$C$11</f>
        <v>1811887.7471709508</v>
      </c>
      <c r="H28" s="228">
        <f>'Gastos Merc en curso y SE'!$C$11</f>
        <v>1811887.7471709508</v>
      </c>
      <c r="I28" s="228">
        <f>'Gastos Merc en curso y SE'!$C$11</f>
        <v>1811887.7471709508</v>
      </c>
      <c r="J28" s="228">
        <f>'Gastos Merc en curso y SE'!$C$11</f>
        <v>1811887.7471709508</v>
      </c>
      <c r="K28" s="228">
        <f>'Gastos Merc en curso y SE'!$C$11</f>
        <v>1811887.7471709508</v>
      </c>
      <c r="L28" s="275">
        <f t="shared" ref="L28:L30" si="11">(B28/11.5)*3</f>
        <v>554802.38499060739</v>
      </c>
      <c r="M28" s="8"/>
      <c r="N28" s="244"/>
      <c r="O28" s="8"/>
      <c r="P28" s="8"/>
      <c r="Q28" s="8"/>
      <c r="R28" s="8"/>
      <c r="S28" s="8"/>
      <c r="T28" s="8"/>
      <c r="U28" s="265">
        <f>SUM(U17:U27)</f>
        <v>2884161.3635199997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12.75" customHeight="1">
      <c r="A29" s="203" t="s">
        <v>258</v>
      </c>
      <c r="B29" s="228">
        <f>'Gastos Merc en curso y SE'!B12</f>
        <v>6577691.1565741599</v>
      </c>
      <c r="C29" s="228">
        <f>'Gastos Merc en curso y SE'!$C$12</f>
        <v>5539108.3423782401</v>
      </c>
      <c r="D29" s="228">
        <f>'Gastos Merc en curso y SE'!$C$12</f>
        <v>5539108.3423782401</v>
      </c>
      <c r="E29" s="228">
        <f>'Gastos Merc en curso y SE'!$C$12</f>
        <v>5539108.3423782401</v>
      </c>
      <c r="F29" s="228">
        <f>'Gastos Merc en curso y SE'!$C$12</f>
        <v>5539108.3423782401</v>
      </c>
      <c r="G29" s="228">
        <f>'Gastos Merc en curso y SE'!$C$12</f>
        <v>5539108.3423782401</v>
      </c>
      <c r="H29" s="228">
        <f>'Gastos Merc en curso y SE'!$C$12</f>
        <v>5539108.3423782401</v>
      </c>
      <c r="I29" s="228">
        <f>'Gastos Merc en curso y SE'!$C$12</f>
        <v>5539108.3423782401</v>
      </c>
      <c r="J29" s="228">
        <f>'Gastos Merc en curso y SE'!$C$12</f>
        <v>5539108.3423782401</v>
      </c>
      <c r="K29" s="228">
        <f>'Gastos Merc en curso y SE'!$C$12</f>
        <v>5539108.3423782401</v>
      </c>
      <c r="L29" s="275">
        <f t="shared" si="11"/>
        <v>1715919.4321497807</v>
      </c>
      <c r="M29" s="8"/>
      <c r="N29" s="244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12.75" customHeight="1">
      <c r="A30" s="203" t="s">
        <v>259</v>
      </c>
      <c r="B30" s="228">
        <f>'Gastos Merc en curso y SE'!B13</f>
        <v>0</v>
      </c>
      <c r="C30" s="228">
        <f>'Gastos Merc en curso y SE'!C13</f>
        <v>0</v>
      </c>
      <c r="D30" s="228"/>
      <c r="E30" s="228"/>
      <c r="F30" s="228"/>
      <c r="G30" s="228"/>
      <c r="H30" s="228"/>
      <c r="I30" s="228"/>
      <c r="J30" s="228"/>
      <c r="K30" s="228"/>
      <c r="L30" s="275">
        <f t="shared" si="11"/>
        <v>0</v>
      </c>
      <c r="M30" s="8"/>
      <c r="N30" s="244"/>
      <c r="O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12.75" customHeight="1">
      <c r="A31" s="203" t="s">
        <v>260</v>
      </c>
      <c r="B31" s="228">
        <f>'Gastos Merc en curso y SE'!B14</f>
        <v>1752001.057365095</v>
      </c>
      <c r="C31" s="228">
        <f>'Gastos Merc en curso y SE'!$C$14</f>
        <v>1401600.8458920759</v>
      </c>
      <c r="D31" s="228">
        <f>'Gastos Merc en curso y SE'!$C$14</f>
        <v>1401600.8458920759</v>
      </c>
      <c r="E31" s="228">
        <f>'Gastos Merc en curso y SE'!$C$14</f>
        <v>1401600.8458920759</v>
      </c>
      <c r="F31" s="228">
        <f>'Gastos Merc en curso y SE'!$C$14</f>
        <v>1401600.8458920759</v>
      </c>
      <c r="G31" s="228">
        <f>'Gastos Merc en curso y SE'!$C$14</f>
        <v>1401600.8458920759</v>
      </c>
      <c r="H31" s="228">
        <f>'Gastos Merc en curso y SE'!$C$14</f>
        <v>1401600.8458920759</v>
      </c>
      <c r="I31" s="228">
        <f>'Gastos Merc en curso y SE'!$C$14</f>
        <v>1401600.8458920759</v>
      </c>
      <c r="J31" s="228">
        <f>'Gastos Merc en curso y SE'!$C$14</f>
        <v>1401600.8458920759</v>
      </c>
      <c r="K31" s="228">
        <f>'Gastos Merc en curso y SE'!$C$14</f>
        <v>1401600.8458920759</v>
      </c>
      <c r="L31" s="275">
        <v>0</v>
      </c>
      <c r="M31" s="8"/>
      <c r="N31" s="244"/>
      <c r="O31" s="8"/>
      <c r="P31" s="113" t="s">
        <v>457</v>
      </c>
      <c r="Q31" s="113" t="s">
        <v>458</v>
      </c>
      <c r="R31" s="8" t="s">
        <v>459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2.75" customHeight="1">
      <c r="A32" s="203" t="s">
        <v>261</v>
      </c>
      <c r="B32" s="228">
        <f>'Gastos Merc en curso y SE'!B15</f>
        <v>6622045.3035425292</v>
      </c>
      <c r="C32" s="228">
        <f>'Gastos Merc en curso y SE'!$C$15</f>
        <v>5115346.7869246891</v>
      </c>
      <c r="D32" s="228">
        <f>'Gastos Merc en curso y SE'!$C$15</f>
        <v>5115346.7869246891</v>
      </c>
      <c r="E32" s="228">
        <f>'Gastos Merc en curso y SE'!$C$15</f>
        <v>5115346.7869246891</v>
      </c>
      <c r="F32" s="228">
        <f>'Gastos Merc en curso y SE'!$C$15</f>
        <v>5115346.7869246891</v>
      </c>
      <c r="G32" s="228">
        <f>'Gastos Merc en curso y SE'!$C$15</f>
        <v>5115346.7869246891</v>
      </c>
      <c r="H32" s="228">
        <f>'Gastos Merc en curso y SE'!$C$15</f>
        <v>5115346.7869246891</v>
      </c>
      <c r="I32" s="228">
        <f>'Gastos Merc en curso y SE'!$C$15</f>
        <v>5115346.7869246891</v>
      </c>
      <c r="J32" s="228">
        <f>'Gastos Merc en curso y SE'!$C$15</f>
        <v>5115346.7869246891</v>
      </c>
      <c r="K32" s="228">
        <f>'Gastos Merc en curso y SE'!$C$15</f>
        <v>5115346.7869246891</v>
      </c>
      <c r="L32" s="275">
        <v>0</v>
      </c>
      <c r="M32" s="8"/>
      <c r="N32" s="244"/>
      <c r="O32" s="8"/>
      <c r="P32" s="276" t="s">
        <v>460</v>
      </c>
      <c r="Q32" s="276" t="s">
        <v>461</v>
      </c>
      <c r="R32" s="276" t="s">
        <v>462</v>
      </c>
      <c r="S32" s="276" t="s">
        <v>290</v>
      </c>
      <c r="T32" s="277" t="s">
        <v>463</v>
      </c>
      <c r="U32" s="276" t="s">
        <v>464</v>
      </c>
      <c r="V32" s="276" t="s">
        <v>465</v>
      </c>
      <c r="W32" s="276" t="s">
        <v>239</v>
      </c>
      <c r="X32" s="8"/>
      <c r="Y32" s="8"/>
      <c r="Z32" s="8"/>
      <c r="AA32" s="8"/>
      <c r="AB32" s="8"/>
      <c r="AC32" s="8"/>
      <c r="AD32" s="8"/>
      <c r="AE32" s="8"/>
      <c r="AF32" s="8"/>
    </row>
    <row r="33" spans="1:32" ht="12.75" customHeight="1">
      <c r="A33" s="256" t="s">
        <v>262</v>
      </c>
      <c r="B33" s="278">
        <f>'Gastos Merc en curso y SE'!B16</f>
        <v>1113395.7455666284</v>
      </c>
      <c r="C33" s="278">
        <f>'Gastos Merc en curso y SE'!$C$16</f>
        <v>1042144.8130522736</v>
      </c>
      <c r="D33" s="278">
        <f>'Gastos Merc en curso y SE'!$C$16</f>
        <v>1042144.8130522736</v>
      </c>
      <c r="E33" s="278">
        <f>'Gastos Merc en curso y SE'!$C$16</f>
        <v>1042144.8130522736</v>
      </c>
      <c r="F33" s="278">
        <f>'Gastos Merc en curso y SE'!$C$16</f>
        <v>1042144.8130522736</v>
      </c>
      <c r="G33" s="278">
        <f>'Gastos Merc en curso y SE'!$C$16</f>
        <v>1042144.8130522736</v>
      </c>
      <c r="H33" s="278">
        <f>'Gastos Merc en curso y SE'!$C$16</f>
        <v>1042144.8130522736</v>
      </c>
      <c r="I33" s="278">
        <f>'Gastos Merc en curso y SE'!$C$16</f>
        <v>1042144.8130522736</v>
      </c>
      <c r="J33" s="278">
        <f>'Gastos Merc en curso y SE'!$C$16</f>
        <v>1042144.8130522736</v>
      </c>
      <c r="K33" s="278">
        <f>'Gastos Merc en curso y SE'!$C$16</f>
        <v>1042144.8130522736</v>
      </c>
      <c r="L33" s="275">
        <f>(B33/11.5)*3</f>
        <v>290451.06406085956</v>
      </c>
      <c r="M33" s="8"/>
      <c r="N33" s="244"/>
      <c r="O33" s="8"/>
      <c r="P33" s="11" t="s">
        <v>466</v>
      </c>
      <c r="Q33" s="279">
        <v>1185088</v>
      </c>
      <c r="R33" s="279">
        <f t="shared" ref="R33:R38" si="12">Q33*12</f>
        <v>14221056</v>
      </c>
      <c r="S33" s="33">
        <v>1</v>
      </c>
      <c r="T33" s="279">
        <f t="shared" ref="T33:T38" si="13">R33*S33</f>
        <v>14221056</v>
      </c>
      <c r="U33" s="279">
        <f t="shared" ref="U33:U38" si="14">R33*0.6</f>
        <v>8532633.5999999996</v>
      </c>
      <c r="V33" s="280">
        <f t="shared" ref="V33:V38" si="15">Q33</f>
        <v>1185088</v>
      </c>
      <c r="W33" s="280">
        <f t="shared" ref="W33:W38" si="16">T33+U33+V33</f>
        <v>23938777.600000001</v>
      </c>
      <c r="X33" s="8"/>
      <c r="Y33" s="37"/>
      <c r="Z33" s="37"/>
      <c r="AA33" s="37"/>
      <c r="AB33" s="37"/>
      <c r="AC33" s="37"/>
      <c r="AD33" s="37"/>
      <c r="AE33" s="37"/>
      <c r="AF33" s="37"/>
    </row>
    <row r="34" spans="1:32" ht="13.5" customHeight="1">
      <c r="A34" s="281" t="s">
        <v>467</v>
      </c>
      <c r="B34" s="282">
        <f t="shared" ref="B34:K34" si="17">SUM(B23:B33)</f>
        <v>56783183.023898043</v>
      </c>
      <c r="C34" s="282">
        <f t="shared" si="17"/>
        <v>53149385.465665951</v>
      </c>
      <c r="D34" s="282">
        <f t="shared" si="17"/>
        <v>53149385.465665951</v>
      </c>
      <c r="E34" s="282">
        <f t="shared" si="17"/>
        <v>53149385.465665951</v>
      </c>
      <c r="F34" s="282">
        <f t="shared" si="17"/>
        <v>53149385.465665951</v>
      </c>
      <c r="G34" s="282">
        <f t="shared" si="17"/>
        <v>53149385.465665951</v>
      </c>
      <c r="H34" s="282">
        <f t="shared" si="17"/>
        <v>53149385.465665951</v>
      </c>
      <c r="I34" s="282">
        <f t="shared" si="17"/>
        <v>53149385.465665951</v>
      </c>
      <c r="J34" s="282">
        <f t="shared" si="17"/>
        <v>53149385.465665951</v>
      </c>
      <c r="K34" s="282">
        <f t="shared" si="17"/>
        <v>53149385.465665951</v>
      </c>
      <c r="L34" s="283">
        <f>SUM($L$23:$L$33)</f>
        <v>9936750.1626199186</v>
      </c>
      <c r="M34" s="8"/>
      <c r="N34" s="244"/>
      <c r="O34" s="8"/>
      <c r="P34" s="11" t="s">
        <v>468</v>
      </c>
      <c r="Q34" s="279">
        <v>284166</v>
      </c>
      <c r="R34" s="279">
        <f t="shared" si="12"/>
        <v>3409992</v>
      </c>
      <c r="S34" s="33">
        <v>8</v>
      </c>
      <c r="T34" s="279">
        <f t="shared" si="13"/>
        <v>27279936</v>
      </c>
      <c r="U34" s="279">
        <f t="shared" si="14"/>
        <v>2045995.2</v>
      </c>
      <c r="V34" s="280">
        <f t="shared" si="15"/>
        <v>284166</v>
      </c>
      <c r="W34" s="280">
        <f t="shared" si="16"/>
        <v>29610097.199999999</v>
      </c>
      <c r="X34" s="8"/>
      <c r="Y34" s="8"/>
      <c r="Z34" s="8"/>
      <c r="AA34" s="8"/>
      <c r="AB34" s="8"/>
      <c r="AC34" s="8"/>
      <c r="AD34" s="8"/>
      <c r="AE34" s="8"/>
      <c r="AF34" s="8"/>
    </row>
    <row r="35" spans="1:32" ht="14.25" customHeight="1">
      <c r="A35" s="5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5">
        <v>9152278.705017874</v>
      </c>
      <c r="M35" s="8"/>
      <c r="N35" s="244"/>
      <c r="O35" s="8"/>
      <c r="P35" s="11" t="s">
        <v>469</v>
      </c>
      <c r="Q35" s="279">
        <v>1452453</v>
      </c>
      <c r="R35" s="279">
        <f t="shared" si="12"/>
        <v>17429436</v>
      </c>
      <c r="S35" s="33">
        <v>1</v>
      </c>
      <c r="T35" s="279">
        <f t="shared" si="13"/>
        <v>17429436</v>
      </c>
      <c r="U35" s="279">
        <f t="shared" si="14"/>
        <v>10457661.6</v>
      </c>
      <c r="V35" s="280">
        <f t="shared" si="15"/>
        <v>1452453</v>
      </c>
      <c r="W35" s="280">
        <f t="shared" si="16"/>
        <v>29339550.600000001</v>
      </c>
      <c r="X35" s="8"/>
      <c r="Y35" s="8"/>
      <c r="Z35" s="8"/>
      <c r="AA35" s="8"/>
      <c r="AB35" s="8"/>
      <c r="AC35" s="8"/>
      <c r="AD35" s="8"/>
      <c r="AE35" s="8"/>
      <c r="AF35" s="8"/>
    </row>
    <row r="36" spans="1:32" ht="13.5" customHeight="1">
      <c r="A36" s="286"/>
      <c r="B36" s="638" t="s">
        <v>470</v>
      </c>
      <c r="C36" s="629"/>
      <c r="D36" s="629"/>
      <c r="E36" s="629"/>
      <c r="F36" s="629"/>
      <c r="G36" s="629"/>
      <c r="H36" s="629"/>
      <c r="I36" s="629"/>
      <c r="J36" s="629"/>
      <c r="K36" s="628"/>
      <c r="L36" s="8"/>
      <c r="M36" s="8"/>
      <c r="N36" s="244"/>
      <c r="O36" s="8"/>
      <c r="P36" s="11" t="s">
        <v>471</v>
      </c>
      <c r="Q36" s="279">
        <v>855278</v>
      </c>
      <c r="R36" s="279">
        <f t="shared" si="12"/>
        <v>10263336</v>
      </c>
      <c r="S36" s="33">
        <v>1</v>
      </c>
      <c r="T36" s="279">
        <f t="shared" si="13"/>
        <v>10263336</v>
      </c>
      <c r="U36" s="279">
        <f t="shared" si="14"/>
        <v>6158001.5999999996</v>
      </c>
      <c r="V36" s="280">
        <f t="shared" si="15"/>
        <v>855278</v>
      </c>
      <c r="W36" s="280">
        <f t="shared" si="16"/>
        <v>17276615.600000001</v>
      </c>
    </row>
    <row r="37" spans="1:32" ht="13.5" customHeight="1">
      <c r="A37" s="216"/>
      <c r="B37" s="272" t="s">
        <v>112</v>
      </c>
      <c r="C37" s="272" t="s">
        <v>422</v>
      </c>
      <c r="D37" s="272" t="s">
        <v>423</v>
      </c>
      <c r="E37" s="272" t="s">
        <v>424</v>
      </c>
      <c r="F37" s="272" t="s">
        <v>425</v>
      </c>
      <c r="G37" s="272" t="s">
        <v>426</v>
      </c>
      <c r="H37" s="272" t="s">
        <v>427</v>
      </c>
      <c r="I37" s="272" t="s">
        <v>428</v>
      </c>
      <c r="J37" s="272" t="s">
        <v>429</v>
      </c>
      <c r="K37" s="273" t="s">
        <v>430</v>
      </c>
      <c r="L37" s="284"/>
      <c r="M37" s="8"/>
      <c r="N37" s="244"/>
      <c r="O37" s="8"/>
      <c r="P37" s="11" t="s">
        <v>472</v>
      </c>
      <c r="Q37" s="279">
        <v>744500</v>
      </c>
      <c r="R37" s="279">
        <f t="shared" si="12"/>
        <v>8934000</v>
      </c>
      <c r="S37" s="33">
        <v>1</v>
      </c>
      <c r="T37" s="279">
        <f t="shared" si="13"/>
        <v>8934000</v>
      </c>
      <c r="U37" s="279">
        <f t="shared" si="14"/>
        <v>5360400</v>
      </c>
      <c r="V37" s="280">
        <f t="shared" si="15"/>
        <v>744500</v>
      </c>
      <c r="W37" s="280">
        <f t="shared" si="16"/>
        <v>15038900</v>
      </c>
    </row>
    <row r="38" spans="1:32" ht="13.5" customHeight="1">
      <c r="A38" s="287" t="s">
        <v>445</v>
      </c>
      <c r="B38" s="288">
        <f t="shared" ref="B38:K38" si="18">+B15</f>
        <v>1015385298.9612956</v>
      </c>
      <c r="C38" s="288">
        <f t="shared" si="18"/>
        <v>1188008090.0878592</v>
      </c>
      <c r="D38" s="288">
        <f t="shared" si="18"/>
        <v>1188008090.0878592</v>
      </c>
      <c r="E38" s="288">
        <f t="shared" si="18"/>
        <v>1188008090.0878592</v>
      </c>
      <c r="F38" s="288">
        <f t="shared" si="18"/>
        <v>1188008090.0878592</v>
      </c>
      <c r="G38" s="288">
        <f t="shared" si="18"/>
        <v>1188008090.0878592</v>
      </c>
      <c r="H38" s="288">
        <f t="shared" si="18"/>
        <v>1188008090.0878592</v>
      </c>
      <c r="I38" s="288">
        <f t="shared" si="18"/>
        <v>1188008090.0878592</v>
      </c>
      <c r="J38" s="288">
        <f t="shared" si="18"/>
        <v>1188008090.0878592</v>
      </c>
      <c r="K38" s="289">
        <f t="shared" si="18"/>
        <v>1188008090.0878592</v>
      </c>
      <c r="L38" s="284"/>
      <c r="M38" s="8"/>
      <c r="N38" s="244"/>
      <c r="O38" s="8"/>
      <c r="P38" s="11" t="s">
        <v>473</v>
      </c>
      <c r="Q38" s="279">
        <v>855278</v>
      </c>
      <c r="R38" s="279">
        <f t="shared" si="12"/>
        <v>10263336</v>
      </c>
      <c r="S38" s="33">
        <v>1</v>
      </c>
      <c r="T38" s="279">
        <f t="shared" si="13"/>
        <v>10263336</v>
      </c>
      <c r="U38" s="279">
        <f t="shared" si="14"/>
        <v>6158001.5999999996</v>
      </c>
      <c r="V38" s="280">
        <f t="shared" si="15"/>
        <v>855278</v>
      </c>
      <c r="W38" s="280">
        <f t="shared" si="16"/>
        <v>17276615.600000001</v>
      </c>
    </row>
    <row r="39" spans="1:32" ht="12.75" customHeight="1">
      <c r="A39" s="203" t="s">
        <v>474</v>
      </c>
      <c r="B39" s="228"/>
      <c r="C39" s="228"/>
      <c r="D39" s="228"/>
      <c r="E39" s="228"/>
      <c r="F39" s="228"/>
      <c r="G39" s="204"/>
      <c r="H39" s="204"/>
      <c r="I39" s="204"/>
      <c r="J39" s="204"/>
      <c r="K39" s="222"/>
      <c r="L39" s="284"/>
      <c r="M39" s="8"/>
      <c r="N39" s="244"/>
      <c r="O39" s="8"/>
    </row>
    <row r="40" spans="1:32" ht="12.75" customHeight="1">
      <c r="A40" s="203" t="s">
        <v>475</v>
      </c>
      <c r="B40" s="228">
        <f>L34</f>
        <v>9936750.1626199186</v>
      </c>
      <c r="C40" s="228">
        <v>0</v>
      </c>
      <c r="D40" s="228"/>
      <c r="E40" s="228">
        <v>0</v>
      </c>
      <c r="F40" s="228">
        <v>0</v>
      </c>
      <c r="G40" s="204">
        <v>0</v>
      </c>
      <c r="H40" s="204">
        <v>0</v>
      </c>
      <c r="I40" s="204">
        <v>0</v>
      </c>
      <c r="J40" s="204">
        <v>0</v>
      </c>
      <c r="K40" s="222">
        <v>0</v>
      </c>
      <c r="L40" s="284"/>
      <c r="M40" s="8"/>
      <c r="N40" s="244"/>
      <c r="O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12.75" customHeight="1">
      <c r="A41" s="203" t="s">
        <v>476</v>
      </c>
      <c r="B41" s="228">
        <f t="shared" ref="B41:K41" si="19">B34</f>
        <v>56783183.023898043</v>
      </c>
      <c r="C41" s="228">
        <f t="shared" si="19"/>
        <v>53149385.465665951</v>
      </c>
      <c r="D41" s="228">
        <f t="shared" si="19"/>
        <v>53149385.465665951</v>
      </c>
      <c r="E41" s="228">
        <f t="shared" si="19"/>
        <v>53149385.465665951</v>
      </c>
      <c r="F41" s="228">
        <f t="shared" si="19"/>
        <v>53149385.465665951</v>
      </c>
      <c r="G41" s="228">
        <f t="shared" si="19"/>
        <v>53149385.465665951</v>
      </c>
      <c r="H41" s="228">
        <f t="shared" si="19"/>
        <v>53149385.465665951</v>
      </c>
      <c r="I41" s="228">
        <f t="shared" si="19"/>
        <v>53149385.465665951</v>
      </c>
      <c r="J41" s="228">
        <f t="shared" si="19"/>
        <v>53149385.465665951</v>
      </c>
      <c r="K41" s="222">
        <f t="shared" si="19"/>
        <v>53149385.465665951</v>
      </c>
      <c r="L41" s="284"/>
      <c r="M41" s="8"/>
      <c r="N41" s="244"/>
      <c r="O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12.75" customHeight="1">
      <c r="A42" s="203" t="s">
        <v>477</v>
      </c>
      <c r="B42" s="228">
        <v>0</v>
      </c>
      <c r="C42" s="228">
        <f t="shared" ref="C42:K42" si="20">B34</f>
        <v>56783183.023898043</v>
      </c>
      <c r="D42" s="228">
        <f t="shared" si="20"/>
        <v>53149385.465665951</v>
      </c>
      <c r="E42" s="228">
        <f t="shared" si="20"/>
        <v>53149385.465665951</v>
      </c>
      <c r="F42" s="228">
        <f t="shared" si="20"/>
        <v>53149385.465665951</v>
      </c>
      <c r="G42" s="228">
        <f t="shared" si="20"/>
        <v>53149385.465665951</v>
      </c>
      <c r="H42" s="228">
        <f t="shared" si="20"/>
        <v>53149385.465665951</v>
      </c>
      <c r="I42" s="228">
        <f t="shared" si="20"/>
        <v>53149385.465665951</v>
      </c>
      <c r="J42" s="228">
        <f t="shared" si="20"/>
        <v>53149385.465665951</v>
      </c>
      <c r="K42" s="222">
        <f t="shared" si="20"/>
        <v>53149385.465665951</v>
      </c>
      <c r="L42" s="284"/>
      <c r="M42" s="8"/>
      <c r="N42" s="244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12.75" customHeight="1">
      <c r="A43" s="203" t="s">
        <v>478</v>
      </c>
      <c r="B43" s="228">
        <f t="shared" ref="B43:K43" si="21">B41-B42</f>
        <v>56783183.023898043</v>
      </c>
      <c r="C43" s="228">
        <f t="shared" si="21"/>
        <v>-3633797.5582320914</v>
      </c>
      <c r="D43" s="228">
        <f t="shared" si="21"/>
        <v>0</v>
      </c>
      <c r="E43" s="228">
        <f t="shared" si="21"/>
        <v>0</v>
      </c>
      <c r="F43" s="228">
        <f t="shared" si="21"/>
        <v>0</v>
      </c>
      <c r="G43" s="228">
        <f t="shared" si="21"/>
        <v>0</v>
      </c>
      <c r="H43" s="228">
        <f t="shared" si="21"/>
        <v>0</v>
      </c>
      <c r="I43" s="228">
        <f t="shared" si="21"/>
        <v>0</v>
      </c>
      <c r="J43" s="228">
        <f t="shared" si="21"/>
        <v>0</v>
      </c>
      <c r="K43" s="222">
        <f t="shared" si="21"/>
        <v>0</v>
      </c>
      <c r="L43" s="284"/>
      <c r="M43" s="8"/>
      <c r="N43" s="244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2.75" customHeight="1">
      <c r="A44" s="201" t="s">
        <v>479</v>
      </c>
      <c r="B44" s="254">
        <f t="shared" ref="B44:K44" si="22">B38-B40-B43</f>
        <v>948665365.77477765</v>
      </c>
      <c r="C44" s="254">
        <f t="shared" si="22"/>
        <v>1191641887.6460912</v>
      </c>
      <c r="D44" s="254">
        <f t="shared" si="22"/>
        <v>1188008090.0878592</v>
      </c>
      <c r="E44" s="254">
        <f t="shared" si="22"/>
        <v>1188008090.0878592</v>
      </c>
      <c r="F44" s="254">
        <f t="shared" si="22"/>
        <v>1188008090.0878592</v>
      </c>
      <c r="G44" s="254">
        <f t="shared" si="22"/>
        <v>1188008090.0878592</v>
      </c>
      <c r="H44" s="254">
        <f t="shared" si="22"/>
        <v>1188008090.0878592</v>
      </c>
      <c r="I44" s="254">
        <f t="shared" si="22"/>
        <v>1188008090.0878592</v>
      </c>
      <c r="J44" s="254">
        <f t="shared" si="22"/>
        <v>1188008090.0878592</v>
      </c>
      <c r="K44" s="290">
        <f t="shared" si="22"/>
        <v>1188008090.0878592</v>
      </c>
      <c r="L44" s="284"/>
      <c r="M44" s="8"/>
      <c r="N44" s="244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12.75" customHeight="1">
      <c r="A45" s="261" t="s">
        <v>480</v>
      </c>
      <c r="B45" s="291">
        <f>B44/'Ejercicio 11'!$D$5</f>
        <v>237166.3414436944</v>
      </c>
      <c r="C45" s="291">
        <f>C44/'Ejercicio 11'!$E$5</f>
        <v>238328.37752921824</v>
      </c>
      <c r="D45" s="291">
        <f>D44/'Ejercicio 11'!$E$5</f>
        <v>237601.61801757183</v>
      </c>
      <c r="E45" s="291">
        <f>E44/'Ejercicio 11'!$E$5</f>
        <v>237601.61801757183</v>
      </c>
      <c r="F45" s="291">
        <f>F44/'Ejercicio 11'!$E$5</f>
        <v>237601.61801757183</v>
      </c>
      <c r="G45" s="291">
        <f>G44/'Ejercicio 11'!$E$5</f>
        <v>237601.61801757183</v>
      </c>
      <c r="H45" s="291">
        <f>H44/'Ejercicio 11'!$E$5</f>
        <v>237601.61801757183</v>
      </c>
      <c r="I45" s="291">
        <f>I44/'Ejercicio 11'!$E$5</f>
        <v>237601.61801757183</v>
      </c>
      <c r="J45" s="291">
        <f>J44/'Ejercicio 11'!$E$5</f>
        <v>237601.61801757183</v>
      </c>
      <c r="K45" s="290">
        <f>K44/'Ejercicio 11'!$E$5</f>
        <v>237601.61801757183</v>
      </c>
      <c r="L45" s="284"/>
      <c r="M45" s="8"/>
      <c r="N45" s="244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2.75" customHeight="1">
      <c r="A46" s="261"/>
      <c r="B46" s="278"/>
      <c r="C46" s="278"/>
      <c r="D46" s="278"/>
      <c r="E46" s="278"/>
      <c r="F46" s="278"/>
      <c r="G46" s="278"/>
      <c r="H46" s="278"/>
      <c r="I46" s="278"/>
      <c r="J46" s="278"/>
      <c r="K46" s="292"/>
      <c r="L46" s="284"/>
      <c r="M46" s="8"/>
      <c r="N46" s="244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2.75" customHeight="1">
      <c r="A47" s="261" t="s">
        <v>481</v>
      </c>
      <c r="B47" s="262">
        <f t="shared" ref="B47:K47" si="23">(B4+B5+B7+B8+B9+B40)/B44</f>
        <v>0.77798625197609073</v>
      </c>
      <c r="C47" s="262">
        <f t="shared" si="23"/>
        <v>0.7512608487222836</v>
      </c>
      <c r="D47" s="262">
        <f t="shared" si="23"/>
        <v>0.75355875381271153</v>
      </c>
      <c r="E47" s="262">
        <f t="shared" si="23"/>
        <v>0.75355875381271153</v>
      </c>
      <c r="F47" s="262">
        <f t="shared" si="23"/>
        <v>0.75355875381271153</v>
      </c>
      <c r="G47" s="262">
        <f t="shared" si="23"/>
        <v>0.75355875381271153</v>
      </c>
      <c r="H47" s="262">
        <f t="shared" si="23"/>
        <v>0.75355875381271153</v>
      </c>
      <c r="I47" s="262">
        <f t="shared" si="23"/>
        <v>0.75355875381271153</v>
      </c>
      <c r="J47" s="262">
        <f t="shared" si="23"/>
        <v>0.75355875381271153</v>
      </c>
      <c r="K47" s="263">
        <f t="shared" si="23"/>
        <v>0.75355875381271153</v>
      </c>
      <c r="L47" s="284"/>
      <c r="M47" s="8"/>
      <c r="N47" s="244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13.5" customHeight="1">
      <c r="A48" s="266" t="s">
        <v>482</v>
      </c>
      <c r="B48" s="267">
        <f t="shared" ref="B48:K48" si="24">(B10+B13+B12+B14)/B44</f>
        <v>0.30281851450395481</v>
      </c>
      <c r="C48" s="267">
        <f t="shared" si="24"/>
        <v>0.2456897472613721</v>
      </c>
      <c r="D48" s="267">
        <f t="shared" si="24"/>
        <v>0.24644124618728852</v>
      </c>
      <c r="E48" s="267">
        <f t="shared" si="24"/>
        <v>0.24644124618728852</v>
      </c>
      <c r="F48" s="267">
        <f t="shared" si="24"/>
        <v>0.24644124618728852</v>
      </c>
      <c r="G48" s="267">
        <f t="shared" si="24"/>
        <v>0.24644124618728852</v>
      </c>
      <c r="H48" s="267">
        <f t="shared" si="24"/>
        <v>0.24644124618728852</v>
      </c>
      <c r="I48" s="267">
        <f t="shared" si="24"/>
        <v>0.24644124618728852</v>
      </c>
      <c r="J48" s="267">
        <f t="shared" si="24"/>
        <v>0.24644124618728852</v>
      </c>
      <c r="K48" s="268">
        <f t="shared" si="24"/>
        <v>0.24644124618728852</v>
      </c>
      <c r="L48" s="284"/>
      <c r="M48" s="8"/>
      <c r="N48" s="244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3.5" customHeight="1">
      <c r="A49" s="8"/>
      <c r="B49" s="8"/>
      <c r="C49" s="198"/>
      <c r="D49" s="8"/>
      <c r="E49" s="8"/>
      <c r="F49" s="8"/>
      <c r="G49" s="8"/>
      <c r="H49" s="8"/>
      <c r="I49" s="8"/>
      <c r="J49" s="8"/>
      <c r="K49" s="8"/>
      <c r="L49" s="8"/>
      <c r="M49" s="8"/>
      <c r="N49" s="244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244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13.5" customHeight="1">
      <c r="A51" s="213"/>
      <c r="B51" s="626" t="s">
        <v>483</v>
      </c>
      <c r="C51" s="629"/>
      <c r="D51" s="629"/>
      <c r="E51" s="629"/>
      <c r="F51" s="629"/>
      <c r="G51" s="629"/>
      <c r="H51" s="629"/>
      <c r="I51" s="629"/>
      <c r="J51" s="629"/>
      <c r="K51" s="628"/>
      <c r="L51" s="8"/>
      <c r="M51" s="8"/>
      <c r="N51" s="244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13.5" customHeight="1">
      <c r="A52" s="293" t="s">
        <v>421</v>
      </c>
      <c r="B52" s="196" t="s">
        <v>112</v>
      </c>
      <c r="C52" s="196" t="s">
        <v>422</v>
      </c>
      <c r="D52" s="196" t="s">
        <v>423</v>
      </c>
      <c r="E52" s="196" t="s">
        <v>424</v>
      </c>
      <c r="F52" s="196" t="s">
        <v>425</v>
      </c>
      <c r="G52" s="196" t="s">
        <v>426</v>
      </c>
      <c r="H52" s="196" t="s">
        <v>427</v>
      </c>
      <c r="I52" s="196" t="s">
        <v>428</v>
      </c>
      <c r="J52" s="196" t="s">
        <v>429</v>
      </c>
      <c r="K52" s="197" t="s">
        <v>430</v>
      </c>
      <c r="L52" s="8"/>
      <c r="M52" s="8"/>
      <c r="N52" s="244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13.5" customHeight="1">
      <c r="A53" s="294" t="s">
        <v>246</v>
      </c>
      <c r="B53" s="295">
        <f t="shared" ref="B53:K53" si="25">SUM($W$35:$W$37)</f>
        <v>61655066.200000003</v>
      </c>
      <c r="C53" s="295">
        <f t="shared" si="25"/>
        <v>61655066.200000003</v>
      </c>
      <c r="D53" s="295">
        <f t="shared" si="25"/>
        <v>61655066.200000003</v>
      </c>
      <c r="E53" s="295">
        <f t="shared" si="25"/>
        <v>61655066.200000003</v>
      </c>
      <c r="F53" s="295">
        <f t="shared" si="25"/>
        <v>61655066.200000003</v>
      </c>
      <c r="G53" s="295">
        <f t="shared" si="25"/>
        <v>61655066.200000003</v>
      </c>
      <c r="H53" s="295">
        <f t="shared" si="25"/>
        <v>61655066.200000003</v>
      </c>
      <c r="I53" s="295">
        <f t="shared" si="25"/>
        <v>61655066.200000003</v>
      </c>
      <c r="J53" s="295">
        <f t="shared" si="25"/>
        <v>61655066.200000003</v>
      </c>
      <c r="K53" s="247">
        <f t="shared" si="25"/>
        <v>61655066.200000003</v>
      </c>
      <c r="L53" s="8"/>
      <c r="M53" s="8"/>
      <c r="N53" s="244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12.75" customHeight="1">
      <c r="A54" s="203" t="s">
        <v>484</v>
      </c>
      <c r="B54" s="296">
        <f>'DE-Inv AF y Am'!$D$55*0.05</f>
        <v>8920570.1162953135</v>
      </c>
      <c r="C54" s="296">
        <f>'DE-Inv AF y Am'!$D$55*0.05</f>
        <v>8920570.1162953135</v>
      </c>
      <c r="D54" s="296">
        <f>'DE-Inv AF y Am'!$D$55*0.05</f>
        <v>8920570.1162953135</v>
      </c>
      <c r="E54" s="296">
        <f>'DE-Inv AF y Am'!$D$55*0.05</f>
        <v>8920570.1162953135</v>
      </c>
      <c r="F54" s="296">
        <f>'DE-Inv AF y Am'!$D$55*0.05</f>
        <v>8920570.1162953135</v>
      </c>
      <c r="G54" s="296">
        <f>'DE-Inv AF y Am'!$D$55*0.05</f>
        <v>8920570.1162953135</v>
      </c>
      <c r="H54" s="296">
        <f>'DE-Inv AF y Am'!$D$55*0.05</f>
        <v>8920570.1162953135</v>
      </c>
      <c r="I54" s="296">
        <f>'DE-Inv AF y Am'!$D$55*0.05</f>
        <v>8920570.1162953135</v>
      </c>
      <c r="J54" s="296">
        <f>'DE-Inv AF y Am'!$D$55*0.05</f>
        <v>8920570.1162953135</v>
      </c>
      <c r="K54" s="247">
        <f>'DE-Inv AF y Am'!$D$55*0.05</f>
        <v>8920570.1162953135</v>
      </c>
      <c r="L54" s="8"/>
      <c r="M54" s="8"/>
      <c r="N54" s="244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12.75" customHeight="1">
      <c r="A55" s="203" t="s">
        <v>485</v>
      </c>
      <c r="B55" s="296">
        <f>'DE-Inv AF y Am'!$B$49*0.5</f>
        <v>27843203.675206613</v>
      </c>
      <c r="C55" s="296">
        <f>'DE-Inv AF y Am'!$B$49*0.5</f>
        <v>27843203.675206613</v>
      </c>
      <c r="D55" s="296">
        <f>'DE-Inv AF y Am'!$B$49*0.5</f>
        <v>27843203.675206613</v>
      </c>
      <c r="E55" s="296">
        <f>'DE-Inv AF y Am'!$B$49*0.5</f>
        <v>27843203.675206613</v>
      </c>
      <c r="F55" s="296">
        <f>'DE-Inv AF y Am'!$B$49*0.5</f>
        <v>27843203.675206613</v>
      </c>
      <c r="G55" s="296">
        <f>'DE-Inv AF y Am'!$B$49*0.5</f>
        <v>27843203.675206613</v>
      </c>
      <c r="H55" s="296">
        <f>'DE-Inv AF y Am'!$B$49*0.5</f>
        <v>27843203.675206613</v>
      </c>
      <c r="I55" s="296">
        <f>'DE-Inv AF y Am'!$B$49*0.5</f>
        <v>27843203.675206613</v>
      </c>
      <c r="J55" s="296">
        <f>'DE-Inv AF y Am'!$B$49*0.5</f>
        <v>27843203.675206613</v>
      </c>
      <c r="K55" s="247">
        <f>'DE-Inv AF y Am'!$B$49*0.5</f>
        <v>27843203.675206613</v>
      </c>
      <c r="L55" s="8"/>
      <c r="M55" s="8"/>
      <c r="N55" s="244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12.75" customHeight="1">
      <c r="A56" s="203" t="s">
        <v>486</v>
      </c>
      <c r="B56" s="228">
        <f t="shared" ref="B56:K56" si="26">$U$28/2</f>
        <v>1442080.6817599998</v>
      </c>
      <c r="C56" s="228">
        <f t="shared" si="26"/>
        <v>1442080.6817599998</v>
      </c>
      <c r="D56" s="228">
        <f t="shared" si="26"/>
        <v>1442080.6817599998</v>
      </c>
      <c r="E56" s="228">
        <f t="shared" si="26"/>
        <v>1442080.6817599998</v>
      </c>
      <c r="F56" s="228">
        <f t="shared" si="26"/>
        <v>1442080.6817599998</v>
      </c>
      <c r="G56" s="228">
        <f t="shared" si="26"/>
        <v>1442080.6817599998</v>
      </c>
      <c r="H56" s="228">
        <f t="shared" si="26"/>
        <v>1442080.6817599998</v>
      </c>
      <c r="I56" s="228">
        <f t="shared" si="26"/>
        <v>1442080.6817599998</v>
      </c>
      <c r="J56" s="228">
        <f t="shared" si="26"/>
        <v>1442080.6817599998</v>
      </c>
      <c r="K56" s="247">
        <f t="shared" si="26"/>
        <v>1442080.6817599998</v>
      </c>
      <c r="L56" s="8"/>
      <c r="M56" s="8"/>
      <c r="N56" s="244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12.75" customHeight="1">
      <c r="A57" s="203" t="s">
        <v>487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47">
        <v>0</v>
      </c>
      <c r="L57" s="8"/>
      <c r="M57" s="8"/>
      <c r="N57" s="244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12.75" customHeight="1">
      <c r="A58" s="203" t="s">
        <v>488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47">
        <v>0</v>
      </c>
      <c r="L58" s="8"/>
      <c r="M58" s="8"/>
      <c r="N58" s="244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12.75" customHeight="1">
      <c r="A59" s="203" t="s">
        <v>489</v>
      </c>
      <c r="B59" s="228">
        <f>'Tasas e Impuestos'!$C$12</f>
        <v>1740495.867768595</v>
      </c>
      <c r="C59" s="228">
        <f>'Tasas e Impuestos'!$C$12</f>
        <v>1740495.867768595</v>
      </c>
      <c r="D59" s="228">
        <f>'Tasas e Impuestos'!$C$12</f>
        <v>1740495.867768595</v>
      </c>
      <c r="E59" s="228">
        <f>'Tasas e Impuestos'!$C$12</f>
        <v>1740495.867768595</v>
      </c>
      <c r="F59" s="228">
        <f>'Tasas e Impuestos'!$C$12</f>
        <v>1740495.867768595</v>
      </c>
      <c r="G59" s="228">
        <f>'Tasas e Impuestos'!$C$12</f>
        <v>1740495.867768595</v>
      </c>
      <c r="H59" s="228">
        <f>'Tasas e Impuestos'!$C$12</f>
        <v>1740495.867768595</v>
      </c>
      <c r="I59" s="228">
        <f>'Tasas e Impuestos'!$C$12</f>
        <v>1740495.867768595</v>
      </c>
      <c r="J59" s="228">
        <f>'Tasas e Impuestos'!$C$12</f>
        <v>1740495.867768595</v>
      </c>
      <c r="K59" s="228">
        <f>'Tasas e Impuestos'!$C$12</f>
        <v>1740495.867768595</v>
      </c>
      <c r="L59" s="8"/>
      <c r="M59" s="8"/>
      <c r="N59" s="244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12.75" customHeight="1">
      <c r="A60" s="203" t="s">
        <v>490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0</v>
      </c>
      <c r="H60" s="228">
        <v>0</v>
      </c>
      <c r="I60" s="228">
        <v>0</v>
      </c>
      <c r="J60" s="228">
        <v>0</v>
      </c>
      <c r="K60" s="247">
        <v>0</v>
      </c>
      <c r="L60" s="8"/>
      <c r="M60" s="8"/>
      <c r="N60" s="244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12.75" customHeight="1">
      <c r="A61" s="203" t="s">
        <v>491</v>
      </c>
      <c r="B61" s="228">
        <f t="shared" ref="B61:K61" si="27">SUM(B53:B60)</f>
        <v>101601416.54103053</v>
      </c>
      <c r="C61" s="228">
        <f t="shared" si="27"/>
        <v>101601416.54103053</v>
      </c>
      <c r="D61" s="228">
        <f t="shared" si="27"/>
        <v>101601416.54103053</v>
      </c>
      <c r="E61" s="228">
        <f t="shared" si="27"/>
        <v>101601416.54103053</v>
      </c>
      <c r="F61" s="228">
        <f t="shared" si="27"/>
        <v>101601416.54103053</v>
      </c>
      <c r="G61" s="228">
        <f t="shared" si="27"/>
        <v>101601416.54103053</v>
      </c>
      <c r="H61" s="228">
        <f t="shared" si="27"/>
        <v>101601416.54103053</v>
      </c>
      <c r="I61" s="228">
        <f t="shared" si="27"/>
        <v>101601416.54103053</v>
      </c>
      <c r="J61" s="228">
        <f t="shared" si="27"/>
        <v>101601416.54103053</v>
      </c>
      <c r="K61" s="247">
        <f t="shared" si="27"/>
        <v>101601416.54103053</v>
      </c>
      <c r="L61" s="8"/>
      <c r="M61" s="8"/>
      <c r="N61" s="244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12.75" customHeight="1">
      <c r="A62" s="203" t="s">
        <v>492</v>
      </c>
      <c r="B62" s="228">
        <f t="shared" ref="B62:K62" si="28">B61*0.02</f>
        <v>2032028.3308206105</v>
      </c>
      <c r="C62" s="228">
        <f t="shared" si="28"/>
        <v>2032028.3308206105</v>
      </c>
      <c r="D62" s="228">
        <f t="shared" si="28"/>
        <v>2032028.3308206105</v>
      </c>
      <c r="E62" s="228">
        <f t="shared" si="28"/>
        <v>2032028.3308206105</v>
      </c>
      <c r="F62" s="228">
        <f t="shared" si="28"/>
        <v>2032028.3308206105</v>
      </c>
      <c r="G62" s="228">
        <f t="shared" si="28"/>
        <v>2032028.3308206105</v>
      </c>
      <c r="H62" s="228">
        <f t="shared" si="28"/>
        <v>2032028.3308206105</v>
      </c>
      <c r="I62" s="228">
        <f t="shared" si="28"/>
        <v>2032028.3308206105</v>
      </c>
      <c r="J62" s="228">
        <f t="shared" si="28"/>
        <v>2032028.3308206105</v>
      </c>
      <c r="K62" s="247">
        <f t="shared" si="28"/>
        <v>2032028.3308206105</v>
      </c>
      <c r="L62" s="8"/>
      <c r="M62" s="8"/>
      <c r="N62" s="244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ht="12.75" customHeight="1">
      <c r="A63" s="203"/>
      <c r="B63" s="229"/>
      <c r="C63" s="229"/>
      <c r="D63" s="229"/>
      <c r="E63" s="229"/>
      <c r="F63" s="229"/>
      <c r="G63" s="231"/>
      <c r="H63" s="231"/>
      <c r="I63" s="231"/>
      <c r="J63" s="231"/>
      <c r="K63" s="247"/>
      <c r="L63" s="8"/>
      <c r="M63" s="8"/>
      <c r="N63" s="244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12.75" customHeight="1">
      <c r="A64" s="201" t="s">
        <v>493</v>
      </c>
      <c r="B64" s="254">
        <f t="shared" ref="B64:K64" si="29">B61+B62</f>
        <v>103633444.87185113</v>
      </c>
      <c r="C64" s="254">
        <f t="shared" si="29"/>
        <v>103633444.87185113</v>
      </c>
      <c r="D64" s="254">
        <f t="shared" si="29"/>
        <v>103633444.87185113</v>
      </c>
      <c r="E64" s="254">
        <f t="shared" si="29"/>
        <v>103633444.87185113</v>
      </c>
      <c r="F64" s="254">
        <f t="shared" si="29"/>
        <v>103633444.87185113</v>
      </c>
      <c r="G64" s="254">
        <f t="shared" si="29"/>
        <v>103633444.87185113</v>
      </c>
      <c r="H64" s="254">
        <f t="shared" si="29"/>
        <v>103633444.87185113</v>
      </c>
      <c r="I64" s="254">
        <f t="shared" si="29"/>
        <v>103633444.87185113</v>
      </c>
      <c r="J64" s="254">
        <f t="shared" si="29"/>
        <v>103633444.87185113</v>
      </c>
      <c r="K64" s="255">
        <f t="shared" si="29"/>
        <v>103633444.87185113</v>
      </c>
      <c r="L64" s="8"/>
      <c r="M64" s="8"/>
      <c r="N64" s="244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12.75" customHeight="1">
      <c r="A65" s="201"/>
      <c r="B65" s="228"/>
      <c r="C65" s="228"/>
      <c r="D65" s="228"/>
      <c r="E65" s="228"/>
      <c r="F65" s="228"/>
      <c r="G65" s="228"/>
      <c r="H65" s="228"/>
      <c r="I65" s="228"/>
      <c r="J65" s="228"/>
      <c r="K65" s="263"/>
      <c r="L65" s="284"/>
      <c r="M65" s="8"/>
      <c r="N65" s="244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12.75" customHeight="1">
      <c r="A66" s="201" t="s">
        <v>481</v>
      </c>
      <c r="B66" s="297">
        <f t="shared" ref="B66:K66" si="30">1-B67</f>
        <v>0.86360411917095392</v>
      </c>
      <c r="C66" s="297">
        <f t="shared" si="30"/>
        <v>0.86360411917095392</v>
      </c>
      <c r="D66" s="297">
        <f t="shared" si="30"/>
        <v>0.86360411917095392</v>
      </c>
      <c r="E66" s="297">
        <f t="shared" si="30"/>
        <v>0.86360411917095392</v>
      </c>
      <c r="F66" s="297">
        <f t="shared" si="30"/>
        <v>0.86360411917095392</v>
      </c>
      <c r="G66" s="297">
        <f t="shared" si="30"/>
        <v>0.86360411917095392</v>
      </c>
      <c r="H66" s="297">
        <f t="shared" si="30"/>
        <v>0.86360411917095392</v>
      </c>
      <c r="I66" s="297">
        <f t="shared" si="30"/>
        <v>0.86360411917095392</v>
      </c>
      <c r="J66" s="297">
        <f t="shared" si="30"/>
        <v>0.86360411917095392</v>
      </c>
      <c r="K66" s="263">
        <f t="shared" si="30"/>
        <v>0.86360411917095392</v>
      </c>
      <c r="L66" s="284"/>
      <c r="M66" s="8"/>
      <c r="N66" s="244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13.5" customHeight="1">
      <c r="A67" s="266" t="s">
        <v>482</v>
      </c>
      <c r="B67" s="267">
        <f t="shared" ref="B67:K67" si="31">(B56+B57+B58+B59+B60+B62+B54)/B64</f>
        <v>0.13639588082904605</v>
      </c>
      <c r="C67" s="267">
        <f t="shared" si="31"/>
        <v>0.13639588082904605</v>
      </c>
      <c r="D67" s="267">
        <f t="shared" si="31"/>
        <v>0.13639588082904605</v>
      </c>
      <c r="E67" s="267">
        <f t="shared" si="31"/>
        <v>0.13639588082904605</v>
      </c>
      <c r="F67" s="267">
        <f t="shared" si="31"/>
        <v>0.13639588082904605</v>
      </c>
      <c r="G67" s="267">
        <f t="shared" si="31"/>
        <v>0.13639588082904605</v>
      </c>
      <c r="H67" s="267">
        <f t="shared" si="31"/>
        <v>0.13639588082904605</v>
      </c>
      <c r="I67" s="267">
        <f t="shared" si="31"/>
        <v>0.13639588082904605</v>
      </c>
      <c r="J67" s="267">
        <f t="shared" si="31"/>
        <v>0.13639588082904605</v>
      </c>
      <c r="K67" s="268">
        <f t="shared" si="31"/>
        <v>0.13639588082904605</v>
      </c>
      <c r="L67" s="284"/>
      <c r="M67" s="8"/>
      <c r="N67" s="244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244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244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13.5" customHeight="1">
      <c r="A70" s="213"/>
      <c r="B70" s="626" t="s">
        <v>494</v>
      </c>
      <c r="C70" s="629"/>
      <c r="D70" s="629"/>
      <c r="E70" s="629"/>
      <c r="F70" s="629"/>
      <c r="G70" s="629"/>
      <c r="H70" s="629"/>
      <c r="I70" s="629"/>
      <c r="J70" s="629"/>
      <c r="K70" s="628"/>
      <c r="L70" s="8"/>
      <c r="M70" s="8"/>
      <c r="N70" s="244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ht="13.5" customHeight="1">
      <c r="A71" s="293" t="s">
        <v>421</v>
      </c>
      <c r="B71" s="196" t="s">
        <v>112</v>
      </c>
      <c r="C71" s="196" t="s">
        <v>422</v>
      </c>
      <c r="D71" s="196" t="s">
        <v>423</v>
      </c>
      <c r="E71" s="196" t="s">
        <v>424</v>
      </c>
      <c r="F71" s="196" t="s">
        <v>425</v>
      </c>
      <c r="G71" s="196" t="s">
        <v>426</v>
      </c>
      <c r="H71" s="196" t="s">
        <v>427</v>
      </c>
      <c r="I71" s="196" t="s">
        <v>428</v>
      </c>
      <c r="J71" s="196" t="s">
        <v>429</v>
      </c>
      <c r="K71" s="197" t="s">
        <v>430</v>
      </c>
      <c r="L71" s="8"/>
      <c r="M71" s="8"/>
      <c r="N71" s="244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ht="13.5" customHeight="1">
      <c r="A72" s="199" t="s">
        <v>246</v>
      </c>
      <c r="B72" s="274">
        <f t="shared" ref="B72:K72" si="32">$W$38</f>
        <v>17276615.600000001</v>
      </c>
      <c r="C72" s="274">
        <f t="shared" si="32"/>
        <v>17276615.600000001</v>
      </c>
      <c r="D72" s="228">
        <f t="shared" si="32"/>
        <v>17276615.600000001</v>
      </c>
      <c r="E72" s="228">
        <f t="shared" si="32"/>
        <v>17276615.600000001</v>
      </c>
      <c r="F72" s="228">
        <f t="shared" si="32"/>
        <v>17276615.600000001</v>
      </c>
      <c r="G72" s="228">
        <f t="shared" si="32"/>
        <v>17276615.600000001</v>
      </c>
      <c r="H72" s="228">
        <f t="shared" si="32"/>
        <v>17276615.600000001</v>
      </c>
      <c r="I72" s="228">
        <f t="shared" si="32"/>
        <v>17276615.600000001</v>
      </c>
      <c r="J72" s="228">
        <f t="shared" si="32"/>
        <v>17276615.600000001</v>
      </c>
      <c r="K72" s="247">
        <f t="shared" si="32"/>
        <v>17276615.600000001</v>
      </c>
      <c r="L72" s="8"/>
      <c r="M72" s="8"/>
      <c r="N72" s="244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ht="12.75" customHeight="1">
      <c r="A73" s="203" t="s">
        <v>484</v>
      </c>
      <c r="B73" s="228">
        <f>'DE-Inv AF y Am'!$D$55*0.05</f>
        <v>8920570.1162953135</v>
      </c>
      <c r="C73" s="228">
        <f>'DE-Inv AF y Am'!$D$55*0.05</f>
        <v>8920570.1162953135</v>
      </c>
      <c r="D73" s="228">
        <f>'DE-Inv AF y Am'!$D$55*0.05</f>
        <v>8920570.1162953135</v>
      </c>
      <c r="E73" s="228">
        <f>'DE-Inv AF y Am'!$D$55*0.05</f>
        <v>8920570.1162953135</v>
      </c>
      <c r="F73" s="228">
        <f>'DE-Inv AF y Am'!$D$55*0.05</f>
        <v>8920570.1162953135</v>
      </c>
      <c r="G73" s="228">
        <f>'DE-Inv AF y Am'!$D$55*0.05</f>
        <v>8920570.1162953135</v>
      </c>
      <c r="H73" s="228">
        <f>'DE-Inv AF y Am'!$D$55*0.05</f>
        <v>8920570.1162953135</v>
      </c>
      <c r="I73" s="228">
        <f>'DE-Inv AF y Am'!$D$55*0.05</f>
        <v>8920570.1162953135</v>
      </c>
      <c r="J73" s="228">
        <f>'DE-Inv AF y Am'!$D$55*0.05</f>
        <v>8920570.1162953135</v>
      </c>
      <c r="K73" s="247">
        <f>'DE-Inv AF y Am'!$D$55*0.05</f>
        <v>8920570.1162953135</v>
      </c>
      <c r="L73" s="8"/>
      <c r="M73" s="8"/>
      <c r="N73" s="244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ht="12.75" customHeight="1">
      <c r="A74" s="203" t="s">
        <v>485</v>
      </c>
      <c r="B74" s="228">
        <f>'DE-Inv AF y Am'!$B$49*0.5</f>
        <v>27843203.675206613</v>
      </c>
      <c r="C74" s="228">
        <f>'DE-Inv AF y Am'!$B$49*0.5</f>
        <v>27843203.675206613</v>
      </c>
      <c r="D74" s="228">
        <f>'DE-Inv AF y Am'!$B$49*0.5</f>
        <v>27843203.675206613</v>
      </c>
      <c r="E74" s="228">
        <f>'DE-Inv AF y Am'!$B$49*0.5</f>
        <v>27843203.675206613</v>
      </c>
      <c r="F74" s="228">
        <f>'DE-Inv AF y Am'!$B$49*0.5</f>
        <v>27843203.675206613</v>
      </c>
      <c r="G74" s="228">
        <f>'DE-Inv AF y Am'!$B$49*0.5</f>
        <v>27843203.675206613</v>
      </c>
      <c r="H74" s="228">
        <f>'DE-Inv AF y Am'!$B$49*0.5</f>
        <v>27843203.675206613</v>
      </c>
      <c r="I74" s="228">
        <f>'DE-Inv AF y Am'!$B$49*0.5</f>
        <v>27843203.675206613</v>
      </c>
      <c r="J74" s="228">
        <f>'DE-Inv AF y Am'!$B$49*0.5</f>
        <v>27843203.675206613</v>
      </c>
      <c r="K74" s="247">
        <f>'DE-Inv AF y Am'!$B$49*0.5</f>
        <v>27843203.675206613</v>
      </c>
      <c r="L74" s="8"/>
      <c r="M74" s="8"/>
      <c r="N74" s="244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ht="12.75" customHeight="1">
      <c r="A75" s="203" t="s">
        <v>495</v>
      </c>
      <c r="B75" s="228">
        <f t="shared" ref="B75:K75" si="33">$U$28/2</f>
        <v>1442080.6817599998</v>
      </c>
      <c r="C75" s="228">
        <f t="shared" si="33"/>
        <v>1442080.6817599998</v>
      </c>
      <c r="D75" s="228">
        <f t="shared" si="33"/>
        <v>1442080.6817599998</v>
      </c>
      <c r="E75" s="228">
        <f t="shared" si="33"/>
        <v>1442080.6817599998</v>
      </c>
      <c r="F75" s="228">
        <f t="shared" si="33"/>
        <v>1442080.6817599998</v>
      </c>
      <c r="G75" s="228">
        <f t="shared" si="33"/>
        <v>1442080.6817599998</v>
      </c>
      <c r="H75" s="228">
        <f t="shared" si="33"/>
        <v>1442080.6817599998</v>
      </c>
      <c r="I75" s="228">
        <f t="shared" si="33"/>
        <v>1442080.6817599998</v>
      </c>
      <c r="J75" s="228">
        <f t="shared" si="33"/>
        <v>1442080.6817599998</v>
      </c>
      <c r="K75" s="247">
        <f t="shared" si="33"/>
        <v>1442080.6817599998</v>
      </c>
      <c r="L75" s="8"/>
      <c r="M75" s="8"/>
      <c r="N75" s="244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ht="12.75" customHeight="1">
      <c r="A76" s="203" t="s">
        <v>487</v>
      </c>
      <c r="B76" s="228">
        <v>0</v>
      </c>
      <c r="C76" s="228">
        <v>0</v>
      </c>
      <c r="D76" s="228">
        <v>0</v>
      </c>
      <c r="E76" s="228">
        <v>0</v>
      </c>
      <c r="F76" s="228">
        <v>0</v>
      </c>
      <c r="G76" s="228">
        <v>0</v>
      </c>
      <c r="H76" s="228">
        <v>0</v>
      </c>
      <c r="I76" s="228">
        <v>0</v>
      </c>
      <c r="J76" s="228">
        <v>0</v>
      </c>
      <c r="K76" s="247">
        <v>0</v>
      </c>
      <c r="L76" s="8"/>
      <c r="M76" s="8"/>
      <c r="N76" s="244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ht="12.75" customHeight="1">
      <c r="A77" s="203" t="s">
        <v>488</v>
      </c>
      <c r="B77" s="228">
        <v>0</v>
      </c>
      <c r="C77" s="228">
        <v>0</v>
      </c>
      <c r="D77" s="228">
        <v>0</v>
      </c>
      <c r="E77" s="228">
        <v>0</v>
      </c>
      <c r="F77" s="228">
        <v>0</v>
      </c>
      <c r="G77" s="228">
        <v>0</v>
      </c>
      <c r="H77" s="228">
        <v>0</v>
      </c>
      <c r="I77" s="228">
        <v>0</v>
      </c>
      <c r="J77" s="228">
        <v>0</v>
      </c>
      <c r="K77" s="247">
        <v>0</v>
      </c>
      <c r="L77" s="8"/>
      <c r="M77" s="8"/>
      <c r="N77" s="244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12.75" customHeight="1">
      <c r="A78" s="203" t="s">
        <v>489</v>
      </c>
      <c r="B78" s="228">
        <f>'Tasas e Impuestos'!$D$12</f>
        <v>1740495.867768595</v>
      </c>
      <c r="C78" s="228">
        <f>'Tasas e Impuestos'!$D$12</f>
        <v>1740495.867768595</v>
      </c>
      <c r="D78" s="228">
        <f>'Tasas e Impuestos'!$D$12</f>
        <v>1740495.867768595</v>
      </c>
      <c r="E78" s="228">
        <f>'Tasas e Impuestos'!$D$12</f>
        <v>1740495.867768595</v>
      </c>
      <c r="F78" s="228">
        <f>'Tasas e Impuestos'!$D$12</f>
        <v>1740495.867768595</v>
      </c>
      <c r="G78" s="228">
        <f>'Tasas e Impuestos'!$D$12</f>
        <v>1740495.867768595</v>
      </c>
      <c r="H78" s="228">
        <f>'Tasas e Impuestos'!$D$12</f>
        <v>1740495.867768595</v>
      </c>
      <c r="I78" s="228">
        <f>'Tasas e Impuestos'!$D$12</f>
        <v>1740495.867768595</v>
      </c>
      <c r="J78" s="228">
        <f>'Tasas e Impuestos'!$D$12</f>
        <v>1740495.867768595</v>
      </c>
      <c r="K78" s="228">
        <f>'Tasas e Impuestos'!$D$12</f>
        <v>1740495.867768595</v>
      </c>
      <c r="L78" s="8"/>
      <c r="M78" s="8"/>
      <c r="N78" s="244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12.75" customHeight="1">
      <c r="A79" s="203" t="s">
        <v>490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47">
        <v>0</v>
      </c>
      <c r="L79" s="8"/>
      <c r="M79" s="8"/>
      <c r="N79" s="244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12.75" customHeight="1">
      <c r="A80" s="203" t="s">
        <v>491</v>
      </c>
      <c r="B80" s="228">
        <f t="shared" ref="B80:K80" si="34">SUM(B72:B79)</f>
        <v>57222965.941030525</v>
      </c>
      <c r="C80" s="228">
        <f t="shared" si="34"/>
        <v>57222965.941030525</v>
      </c>
      <c r="D80" s="228">
        <f t="shared" si="34"/>
        <v>57222965.941030525</v>
      </c>
      <c r="E80" s="228">
        <f t="shared" si="34"/>
        <v>57222965.941030525</v>
      </c>
      <c r="F80" s="228">
        <f t="shared" si="34"/>
        <v>57222965.941030525</v>
      </c>
      <c r="G80" s="228">
        <f t="shared" si="34"/>
        <v>57222965.941030525</v>
      </c>
      <c r="H80" s="228">
        <f t="shared" si="34"/>
        <v>57222965.941030525</v>
      </c>
      <c r="I80" s="228">
        <f t="shared" si="34"/>
        <v>57222965.941030525</v>
      </c>
      <c r="J80" s="228">
        <f t="shared" si="34"/>
        <v>57222965.941030525</v>
      </c>
      <c r="K80" s="247">
        <f t="shared" si="34"/>
        <v>57222965.941030525</v>
      </c>
      <c r="L80" s="8"/>
      <c r="M80" s="8"/>
      <c r="N80" s="244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12.75" customHeight="1">
      <c r="A81" s="203" t="s">
        <v>492</v>
      </c>
      <c r="B81" s="228">
        <f t="shared" ref="B81:K81" si="35">B80*0.02</f>
        <v>1144459.3188206104</v>
      </c>
      <c r="C81" s="228">
        <f t="shared" si="35"/>
        <v>1144459.3188206104</v>
      </c>
      <c r="D81" s="228">
        <f t="shared" si="35"/>
        <v>1144459.3188206104</v>
      </c>
      <c r="E81" s="228">
        <f t="shared" si="35"/>
        <v>1144459.3188206104</v>
      </c>
      <c r="F81" s="228">
        <f t="shared" si="35"/>
        <v>1144459.3188206104</v>
      </c>
      <c r="G81" s="228">
        <f t="shared" si="35"/>
        <v>1144459.3188206104</v>
      </c>
      <c r="H81" s="228">
        <f t="shared" si="35"/>
        <v>1144459.3188206104</v>
      </c>
      <c r="I81" s="228">
        <f t="shared" si="35"/>
        <v>1144459.3188206104</v>
      </c>
      <c r="J81" s="228">
        <f t="shared" si="35"/>
        <v>1144459.3188206104</v>
      </c>
      <c r="K81" s="247">
        <f t="shared" si="35"/>
        <v>1144459.3188206104</v>
      </c>
      <c r="L81" s="8"/>
      <c r="M81" s="8"/>
      <c r="N81" s="244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12.75" customHeight="1">
      <c r="A82" s="203"/>
      <c r="B82" s="229"/>
      <c r="C82" s="229"/>
      <c r="D82" s="229"/>
      <c r="E82" s="229"/>
      <c r="F82" s="229"/>
      <c r="G82" s="231"/>
      <c r="H82" s="231"/>
      <c r="I82" s="231"/>
      <c r="J82" s="231"/>
      <c r="K82" s="247"/>
      <c r="L82" s="8"/>
      <c r="M82" s="8"/>
      <c r="N82" s="244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12.75" customHeight="1">
      <c r="A83" s="201" t="s">
        <v>496</v>
      </c>
      <c r="B83" s="254">
        <f t="shared" ref="B83:K83" si="36">B80+B81</f>
        <v>58367425.259851135</v>
      </c>
      <c r="C83" s="254">
        <f t="shared" si="36"/>
        <v>58367425.259851135</v>
      </c>
      <c r="D83" s="254">
        <f t="shared" si="36"/>
        <v>58367425.259851135</v>
      </c>
      <c r="E83" s="254">
        <f t="shared" si="36"/>
        <v>58367425.259851135</v>
      </c>
      <c r="F83" s="254">
        <f t="shared" si="36"/>
        <v>58367425.259851135</v>
      </c>
      <c r="G83" s="254">
        <f t="shared" si="36"/>
        <v>58367425.259851135</v>
      </c>
      <c r="H83" s="254">
        <f t="shared" si="36"/>
        <v>58367425.259851135</v>
      </c>
      <c r="I83" s="254">
        <f t="shared" si="36"/>
        <v>58367425.259851135</v>
      </c>
      <c r="J83" s="254">
        <f t="shared" si="36"/>
        <v>58367425.259851135</v>
      </c>
      <c r="K83" s="255">
        <f t="shared" si="36"/>
        <v>58367425.259851135</v>
      </c>
      <c r="L83" s="8"/>
      <c r="M83" s="8"/>
      <c r="N83" s="244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12.75" customHeight="1">
      <c r="A84" s="201"/>
      <c r="B84" s="228"/>
      <c r="C84" s="228"/>
      <c r="D84" s="228"/>
      <c r="E84" s="228"/>
      <c r="F84" s="228"/>
      <c r="G84" s="228"/>
      <c r="H84" s="228"/>
      <c r="I84" s="228"/>
      <c r="J84" s="228"/>
      <c r="K84" s="247"/>
      <c r="L84" s="8"/>
      <c r="M84" s="8"/>
      <c r="N84" s="244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12.75" customHeight="1">
      <c r="A85" s="201" t="s">
        <v>481</v>
      </c>
      <c r="B85" s="297">
        <f t="shared" ref="B85:K85" si="37">(B72+B74)/B83</f>
        <v>0.77303083139839857</v>
      </c>
      <c r="C85" s="297">
        <f t="shared" si="37"/>
        <v>0.77303083139839857</v>
      </c>
      <c r="D85" s="297">
        <f t="shared" si="37"/>
        <v>0.77303083139839857</v>
      </c>
      <c r="E85" s="297">
        <f t="shared" si="37"/>
        <v>0.77303083139839857</v>
      </c>
      <c r="F85" s="297">
        <f t="shared" si="37"/>
        <v>0.77303083139839857</v>
      </c>
      <c r="G85" s="297">
        <f t="shared" si="37"/>
        <v>0.77303083139839857</v>
      </c>
      <c r="H85" s="297">
        <f t="shared" si="37"/>
        <v>0.77303083139839857</v>
      </c>
      <c r="I85" s="297">
        <f t="shared" si="37"/>
        <v>0.77303083139839857</v>
      </c>
      <c r="J85" s="297">
        <f t="shared" si="37"/>
        <v>0.77303083139839857</v>
      </c>
      <c r="K85" s="263">
        <f t="shared" si="37"/>
        <v>0.77303083139839857</v>
      </c>
      <c r="L85" s="8"/>
      <c r="M85" s="8"/>
      <c r="N85" s="244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13.5" customHeight="1">
      <c r="A86" s="266" t="s">
        <v>482</v>
      </c>
      <c r="B86" s="267">
        <f t="shared" ref="B86:K86" si="38">1-B85</f>
        <v>0.22696916860160143</v>
      </c>
      <c r="C86" s="267">
        <f t="shared" si="38"/>
        <v>0.22696916860160143</v>
      </c>
      <c r="D86" s="267">
        <f t="shared" si="38"/>
        <v>0.22696916860160143</v>
      </c>
      <c r="E86" s="267">
        <f t="shared" si="38"/>
        <v>0.22696916860160143</v>
      </c>
      <c r="F86" s="267">
        <f t="shared" si="38"/>
        <v>0.22696916860160143</v>
      </c>
      <c r="G86" s="267">
        <f t="shared" si="38"/>
        <v>0.22696916860160143</v>
      </c>
      <c r="H86" s="267">
        <f t="shared" si="38"/>
        <v>0.22696916860160143</v>
      </c>
      <c r="I86" s="267">
        <f t="shared" si="38"/>
        <v>0.22696916860160143</v>
      </c>
      <c r="J86" s="267">
        <f t="shared" si="38"/>
        <v>0.22696916860160143</v>
      </c>
      <c r="K86" s="268">
        <f t="shared" si="38"/>
        <v>0.22696916860160143</v>
      </c>
      <c r="L86" s="8"/>
      <c r="M86" s="8"/>
      <c r="N86" s="244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244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244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16.5" customHeight="1">
      <c r="A89" s="633" t="s">
        <v>497</v>
      </c>
      <c r="B89" s="629"/>
      <c r="C89" s="629"/>
      <c r="D89" s="629"/>
      <c r="E89" s="629"/>
      <c r="F89" s="629"/>
      <c r="G89" s="629"/>
      <c r="H89" s="629"/>
      <c r="I89" s="629"/>
      <c r="J89" s="629"/>
      <c r="K89" s="628"/>
      <c r="L89" s="8"/>
      <c r="M89" s="8"/>
      <c r="N89" s="244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12.75" customHeight="1">
      <c r="A90" s="298"/>
      <c r="B90" s="299" t="s">
        <v>112</v>
      </c>
      <c r="C90" s="299" t="s">
        <v>422</v>
      </c>
      <c r="D90" s="299" t="s">
        <v>423</v>
      </c>
      <c r="E90" s="299" t="s">
        <v>424</v>
      </c>
      <c r="F90" s="299" t="s">
        <v>425</v>
      </c>
      <c r="G90" s="299" t="s">
        <v>426</v>
      </c>
      <c r="H90" s="299" t="s">
        <v>427</v>
      </c>
      <c r="I90" s="299" t="s">
        <v>428</v>
      </c>
      <c r="J90" s="299" t="s">
        <v>429</v>
      </c>
      <c r="K90" s="300" t="s">
        <v>430</v>
      </c>
      <c r="L90" s="8"/>
      <c r="M90" s="8"/>
      <c r="N90" s="244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12.75" customHeight="1">
      <c r="A91" s="203" t="s">
        <v>498</v>
      </c>
      <c r="B91" s="301">
        <f>'Ejercicio 11'!D3</f>
        <v>3375</v>
      </c>
      <c r="C91" s="301">
        <f>'Ejercicio 11'!$E$3</f>
        <v>5000</v>
      </c>
      <c r="D91" s="301">
        <f>'Ejercicio 11'!$E$3</f>
        <v>5000</v>
      </c>
      <c r="E91" s="301">
        <f>'Ejercicio 11'!$E$3</f>
        <v>5000</v>
      </c>
      <c r="F91" s="301">
        <f>'Ejercicio 11'!$E$3</f>
        <v>5000</v>
      </c>
      <c r="G91" s="301">
        <f>'Ejercicio 11'!$E$3</f>
        <v>5000</v>
      </c>
      <c r="H91" s="301">
        <f>'Ejercicio 11'!$E$3</f>
        <v>5000</v>
      </c>
      <c r="I91" s="301">
        <f>'Ejercicio 11'!$E$3</f>
        <v>5000</v>
      </c>
      <c r="J91" s="301">
        <f>'Ejercicio 11'!$E$3</f>
        <v>5000</v>
      </c>
      <c r="K91" s="302">
        <f>'Ejercicio 11'!$E$3</f>
        <v>5000</v>
      </c>
      <c r="L91" s="8"/>
      <c r="M91" s="8"/>
      <c r="N91" s="244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12.75" customHeight="1">
      <c r="A92" s="203" t="s">
        <v>499</v>
      </c>
      <c r="B92" s="228">
        <f>InfoInicial!$B$18*InfoInicial!$B$30</f>
        <v>585000</v>
      </c>
      <c r="C92" s="228">
        <f>InfoInicial!$B$18*InfoInicial!$B$30</f>
        <v>585000</v>
      </c>
      <c r="D92" s="228">
        <f>InfoInicial!$B$18*InfoInicial!$B$30</f>
        <v>585000</v>
      </c>
      <c r="E92" s="228">
        <f>InfoInicial!$B$18*InfoInicial!$B$30</f>
        <v>585000</v>
      </c>
      <c r="F92" s="228">
        <f>InfoInicial!$B$18*InfoInicial!$B$30</f>
        <v>585000</v>
      </c>
      <c r="G92" s="228">
        <f>InfoInicial!$B$18*InfoInicial!$B$30</f>
        <v>585000</v>
      </c>
      <c r="H92" s="228">
        <f>InfoInicial!$B$18*InfoInicial!$B$30</f>
        <v>585000</v>
      </c>
      <c r="I92" s="228">
        <f>InfoInicial!$B$18*InfoInicial!$B$30</f>
        <v>585000</v>
      </c>
      <c r="J92" s="228">
        <f>InfoInicial!$B$18*InfoInicial!$B$30</f>
        <v>585000</v>
      </c>
      <c r="K92" s="247">
        <f>InfoInicial!$B$18*InfoInicial!$B$30</f>
        <v>585000</v>
      </c>
      <c r="L92" s="8"/>
      <c r="M92" s="8"/>
      <c r="N92" s="244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12.75" customHeight="1">
      <c r="A93" s="203"/>
      <c r="B93" s="228"/>
      <c r="C93" s="228"/>
      <c r="D93" s="228"/>
      <c r="E93" s="228"/>
      <c r="F93" s="228"/>
      <c r="G93" s="228"/>
      <c r="H93" s="228"/>
      <c r="I93" s="228"/>
      <c r="J93" s="228"/>
      <c r="K93" s="247"/>
      <c r="L93" s="8"/>
      <c r="M93" s="8"/>
      <c r="N93" s="244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12.75" customHeight="1">
      <c r="A94" s="201" t="s">
        <v>500</v>
      </c>
      <c r="B94" s="254">
        <f>B91*InfoInicial!$B$18*InfoInicial!$B$30</f>
        <v>1974375000</v>
      </c>
      <c r="C94" s="254">
        <f>C91*InfoInicial!$B$18*InfoInicial!$B$30</f>
        <v>2925000000</v>
      </c>
      <c r="D94" s="254">
        <f>D91*InfoInicial!$B$18*InfoInicial!$B$30</f>
        <v>2925000000</v>
      </c>
      <c r="E94" s="254">
        <f>E91*InfoInicial!$B$18*InfoInicial!$B$30</f>
        <v>2925000000</v>
      </c>
      <c r="F94" s="254">
        <f>F91*InfoInicial!$B$18*InfoInicial!$B$30</f>
        <v>2925000000</v>
      </c>
      <c r="G94" s="254">
        <f>G91*InfoInicial!$B$18*InfoInicial!$B$30</f>
        <v>2925000000</v>
      </c>
      <c r="H94" s="254">
        <f>H91*InfoInicial!$B$18*InfoInicial!$B$30</f>
        <v>2925000000</v>
      </c>
      <c r="I94" s="254">
        <f>I91*InfoInicial!$B$18*InfoInicial!$B$30</f>
        <v>2925000000</v>
      </c>
      <c r="J94" s="254">
        <f>J91*InfoInicial!$B$18*InfoInicial!$B$30</f>
        <v>2925000000</v>
      </c>
      <c r="K94" s="255">
        <f>K91*InfoInicial!$B$18*InfoInicial!$B$30</f>
        <v>2925000000</v>
      </c>
      <c r="L94" s="8"/>
      <c r="M94" s="8"/>
      <c r="N94" s="244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12.75" customHeight="1">
      <c r="A95" s="203"/>
      <c r="B95" s="228"/>
      <c r="C95" s="228"/>
      <c r="D95" s="228"/>
      <c r="E95" s="228"/>
      <c r="F95" s="228"/>
      <c r="G95" s="228"/>
      <c r="H95" s="228"/>
      <c r="I95" s="228"/>
      <c r="J95" s="228"/>
      <c r="K95" s="247"/>
      <c r="L95" s="8"/>
      <c r="M95" s="8"/>
      <c r="N95" s="244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ht="12.75" customHeight="1">
      <c r="A96" s="203" t="s">
        <v>501</v>
      </c>
      <c r="B96" s="228">
        <f t="shared" ref="B96:K96" si="39">B4</f>
        <v>475962750.00000012</v>
      </c>
      <c r="C96" s="228">
        <f t="shared" si="39"/>
        <v>640615000.00000012</v>
      </c>
      <c r="D96" s="228">
        <f t="shared" si="39"/>
        <v>640615000.00000012</v>
      </c>
      <c r="E96" s="228">
        <f t="shared" si="39"/>
        <v>640615000.00000012</v>
      </c>
      <c r="F96" s="228">
        <f t="shared" si="39"/>
        <v>640615000.00000012</v>
      </c>
      <c r="G96" s="228">
        <f t="shared" si="39"/>
        <v>640615000.00000012</v>
      </c>
      <c r="H96" s="228">
        <f t="shared" si="39"/>
        <v>640615000.00000012</v>
      </c>
      <c r="I96" s="228">
        <f t="shared" si="39"/>
        <v>640615000.00000012</v>
      </c>
      <c r="J96" s="228">
        <f t="shared" si="39"/>
        <v>640615000.00000012</v>
      </c>
      <c r="K96" s="247">
        <f t="shared" si="39"/>
        <v>640615000.00000012</v>
      </c>
      <c r="L96" s="8"/>
      <c r="M96" s="8"/>
      <c r="N96" s="244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ht="12.75" customHeight="1">
      <c r="A97" s="203" t="s">
        <v>434</v>
      </c>
      <c r="B97" s="228">
        <f t="shared" ref="B97:K97" si="40">B5</f>
        <v>29610097.199999999</v>
      </c>
      <c r="C97" s="228">
        <f t="shared" si="40"/>
        <v>29610097.199999999</v>
      </c>
      <c r="D97" s="228">
        <f t="shared" si="40"/>
        <v>29610097.199999999</v>
      </c>
      <c r="E97" s="228">
        <f t="shared" si="40"/>
        <v>29610097.199999999</v>
      </c>
      <c r="F97" s="228">
        <f t="shared" si="40"/>
        <v>29610097.199999999</v>
      </c>
      <c r="G97" s="228">
        <f t="shared" si="40"/>
        <v>29610097.199999999</v>
      </c>
      <c r="H97" s="228">
        <f t="shared" si="40"/>
        <v>29610097.199999999</v>
      </c>
      <c r="I97" s="228">
        <f t="shared" si="40"/>
        <v>29610097.199999999</v>
      </c>
      <c r="J97" s="228">
        <f t="shared" si="40"/>
        <v>29610097.199999999</v>
      </c>
      <c r="K97" s="247">
        <f t="shared" si="40"/>
        <v>29610097.199999999</v>
      </c>
      <c r="L97" s="8"/>
      <c r="M97" s="8"/>
      <c r="N97" s="244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12.75" customHeight="1">
      <c r="A98" s="203" t="s">
        <v>502</v>
      </c>
      <c r="B98" s="228">
        <f t="shared" ref="B98:K98" si="41">SUM(B7:B14)</f>
        <v>509812451.76129544</v>
      </c>
      <c r="C98" s="228">
        <f t="shared" si="41"/>
        <v>517782992.88785893</v>
      </c>
      <c r="D98" s="228">
        <f t="shared" si="41"/>
        <v>517782992.88785893</v>
      </c>
      <c r="E98" s="228">
        <f t="shared" si="41"/>
        <v>517782992.88785893</v>
      </c>
      <c r="F98" s="253">
        <f t="shared" si="41"/>
        <v>517782992.88785893</v>
      </c>
      <c r="G98" s="253">
        <f t="shared" si="41"/>
        <v>517782992.88785893</v>
      </c>
      <c r="H98" s="228">
        <f t="shared" si="41"/>
        <v>517782992.88785893</v>
      </c>
      <c r="I98" s="228">
        <f t="shared" si="41"/>
        <v>517782992.88785893</v>
      </c>
      <c r="J98" s="228">
        <f t="shared" si="41"/>
        <v>517782992.88785893</v>
      </c>
      <c r="K98" s="247">
        <f t="shared" si="41"/>
        <v>517782992.88785893</v>
      </c>
      <c r="L98" s="7"/>
      <c r="M98" s="8"/>
      <c r="N98" s="244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ht="12.75" customHeight="1">
      <c r="A99" s="203"/>
      <c r="B99" s="228"/>
      <c r="C99" s="228"/>
      <c r="D99" s="228"/>
      <c r="E99" s="228"/>
      <c r="F99" s="228"/>
      <c r="G99" s="228"/>
      <c r="H99" s="228"/>
      <c r="I99" s="228"/>
      <c r="J99" s="228"/>
      <c r="K99" s="247"/>
      <c r="L99" s="8"/>
      <c r="M99" s="8"/>
      <c r="N99" s="244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12.75" customHeight="1">
      <c r="A100" s="203" t="s">
        <v>503</v>
      </c>
      <c r="B100" s="254">
        <f t="shared" ref="B100:K100" si="42">B15</f>
        <v>1015385298.9612956</v>
      </c>
      <c r="C100" s="254">
        <f t="shared" si="42"/>
        <v>1188008090.0878592</v>
      </c>
      <c r="D100" s="254">
        <f t="shared" si="42"/>
        <v>1188008090.0878592</v>
      </c>
      <c r="E100" s="254">
        <f t="shared" si="42"/>
        <v>1188008090.0878592</v>
      </c>
      <c r="F100" s="254">
        <f t="shared" si="42"/>
        <v>1188008090.0878592</v>
      </c>
      <c r="G100" s="254">
        <f t="shared" si="42"/>
        <v>1188008090.0878592</v>
      </c>
      <c r="H100" s="254">
        <f t="shared" si="42"/>
        <v>1188008090.0878592</v>
      </c>
      <c r="I100" s="254">
        <f t="shared" si="42"/>
        <v>1188008090.0878592</v>
      </c>
      <c r="J100" s="254">
        <f t="shared" si="42"/>
        <v>1188008090.0878592</v>
      </c>
      <c r="K100" s="255">
        <f t="shared" si="42"/>
        <v>1188008090.0878592</v>
      </c>
      <c r="L100" s="8"/>
      <c r="M100" s="8"/>
      <c r="N100" s="244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12.75" customHeight="1">
      <c r="A101" s="203"/>
      <c r="B101" s="228"/>
      <c r="C101" s="228"/>
      <c r="D101" s="228"/>
      <c r="E101" s="228"/>
      <c r="F101" s="228"/>
      <c r="G101" s="228"/>
      <c r="H101" s="228"/>
      <c r="I101" s="228"/>
      <c r="J101" s="228"/>
      <c r="K101" s="247"/>
      <c r="L101" s="8"/>
      <c r="M101" s="8"/>
      <c r="N101" s="244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12.75" customHeight="1">
      <c r="A102" s="203" t="s">
        <v>474</v>
      </c>
      <c r="B102" s="228"/>
      <c r="C102" s="228"/>
      <c r="D102" s="228"/>
      <c r="E102" s="228"/>
      <c r="F102" s="228"/>
      <c r="G102" s="228"/>
      <c r="H102" s="228"/>
      <c r="I102" s="228"/>
      <c r="J102" s="228"/>
      <c r="K102" s="247"/>
      <c r="L102" s="8"/>
      <c r="M102" s="8"/>
      <c r="N102" s="244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12.75" customHeight="1">
      <c r="A103" s="209" t="s">
        <v>452</v>
      </c>
      <c r="B103" s="228">
        <f>B40</f>
        <v>9936750.1626199186</v>
      </c>
      <c r="C103" s="228">
        <v>0</v>
      </c>
      <c r="D103" s="228">
        <v>0</v>
      </c>
      <c r="E103" s="228">
        <v>0</v>
      </c>
      <c r="F103" s="228">
        <v>0</v>
      </c>
      <c r="G103" s="228">
        <v>0</v>
      </c>
      <c r="H103" s="228">
        <v>0</v>
      </c>
      <c r="I103" s="228">
        <v>0</v>
      </c>
      <c r="J103" s="228">
        <v>0</v>
      </c>
      <c r="K103" s="247">
        <v>0</v>
      </c>
      <c r="L103" s="8"/>
      <c r="M103" s="8"/>
      <c r="N103" s="244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12.75" customHeight="1">
      <c r="A104" s="209" t="s">
        <v>478</v>
      </c>
      <c r="B104" s="228">
        <f t="shared" ref="B104:K104" si="43">B43</f>
        <v>56783183.023898043</v>
      </c>
      <c r="C104" s="253">
        <f t="shared" si="43"/>
        <v>-3633797.5582320914</v>
      </c>
      <c r="D104" s="253">
        <f t="shared" si="43"/>
        <v>0</v>
      </c>
      <c r="E104" s="253">
        <f t="shared" si="43"/>
        <v>0</v>
      </c>
      <c r="F104" s="253">
        <f t="shared" si="43"/>
        <v>0</v>
      </c>
      <c r="G104" s="253">
        <f t="shared" si="43"/>
        <v>0</v>
      </c>
      <c r="H104" s="253">
        <f t="shared" si="43"/>
        <v>0</v>
      </c>
      <c r="I104" s="253">
        <f t="shared" si="43"/>
        <v>0</v>
      </c>
      <c r="J104" s="253">
        <f t="shared" si="43"/>
        <v>0</v>
      </c>
      <c r="K104" s="247">
        <f t="shared" si="43"/>
        <v>0</v>
      </c>
      <c r="L104" s="17"/>
      <c r="M104" s="8"/>
      <c r="N104" s="244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12.75" customHeight="1">
      <c r="A105" s="203"/>
      <c r="B105" s="228"/>
      <c r="C105" s="228"/>
      <c r="D105" s="228"/>
      <c r="E105" s="228"/>
      <c r="F105" s="228"/>
      <c r="G105" s="228"/>
      <c r="H105" s="228"/>
      <c r="I105" s="228"/>
      <c r="J105" s="228"/>
      <c r="K105" s="247"/>
      <c r="L105" s="8"/>
      <c r="M105" s="8"/>
      <c r="N105" s="244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12.75" customHeight="1">
      <c r="A106" s="201" t="s">
        <v>504</v>
      </c>
      <c r="B106" s="228">
        <f t="shared" ref="B106:K106" si="44">B44</f>
        <v>948665365.77477765</v>
      </c>
      <c r="C106" s="228">
        <f t="shared" si="44"/>
        <v>1191641887.6460912</v>
      </c>
      <c r="D106" s="228">
        <f t="shared" si="44"/>
        <v>1188008090.0878592</v>
      </c>
      <c r="E106" s="228">
        <f t="shared" si="44"/>
        <v>1188008090.0878592</v>
      </c>
      <c r="F106" s="228">
        <f t="shared" si="44"/>
        <v>1188008090.0878592</v>
      </c>
      <c r="G106" s="228">
        <f t="shared" si="44"/>
        <v>1188008090.0878592</v>
      </c>
      <c r="H106" s="228">
        <f t="shared" si="44"/>
        <v>1188008090.0878592</v>
      </c>
      <c r="I106" s="228">
        <f t="shared" si="44"/>
        <v>1188008090.0878592</v>
      </c>
      <c r="J106" s="228">
        <f t="shared" si="44"/>
        <v>1188008090.0878592</v>
      </c>
      <c r="K106" s="247">
        <f t="shared" si="44"/>
        <v>1188008090.0878592</v>
      </c>
      <c r="L106" s="8"/>
      <c r="M106" s="8"/>
      <c r="N106" s="244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12.75" customHeight="1">
      <c r="A107" s="209" t="s">
        <v>505</v>
      </c>
      <c r="B107" s="303">
        <f>'Ejercicio 11'!$D$5</f>
        <v>4000</v>
      </c>
      <c r="C107" s="303">
        <f>'Ejercicio 11'!$E$5</f>
        <v>5000</v>
      </c>
      <c r="D107" s="303">
        <f>'Ejercicio 11'!$E$5</f>
        <v>5000</v>
      </c>
      <c r="E107" s="303">
        <f>'Ejercicio 11'!$E$5</f>
        <v>5000</v>
      </c>
      <c r="F107" s="303">
        <f>'Ejercicio 11'!$E$5</f>
        <v>5000</v>
      </c>
      <c r="G107" s="303">
        <f>'Ejercicio 11'!$E$5</f>
        <v>5000</v>
      </c>
      <c r="H107" s="303">
        <f>'Ejercicio 11'!$E$5</f>
        <v>5000</v>
      </c>
      <c r="I107" s="303">
        <f>'Ejercicio 11'!$E$5</f>
        <v>5000</v>
      </c>
      <c r="J107" s="303">
        <f>'Ejercicio 11'!$E$5</f>
        <v>5000</v>
      </c>
      <c r="K107" s="302">
        <f>'Ejercicio 11'!$E$5</f>
        <v>5000</v>
      </c>
      <c r="L107" s="8"/>
      <c r="M107" s="8"/>
      <c r="N107" s="244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12.75" customHeight="1">
      <c r="A108" s="203" t="s">
        <v>506</v>
      </c>
      <c r="B108" s="228">
        <f>B106/'Ejercicio 11'!$D$5</f>
        <v>237166.3414436944</v>
      </c>
      <c r="C108" s="228">
        <f>C106/'Ejercicio 11'!$E$5</f>
        <v>238328.37752921824</v>
      </c>
      <c r="D108" s="228">
        <f>D106/'Ejercicio 11'!$E$5</f>
        <v>237601.61801757183</v>
      </c>
      <c r="E108" s="228">
        <f>E106/'Ejercicio 11'!$E$5</f>
        <v>237601.61801757183</v>
      </c>
      <c r="F108" s="228">
        <f>F106/'Ejercicio 11'!$E$5</f>
        <v>237601.61801757183</v>
      </c>
      <c r="G108" s="228">
        <f>G106/'Ejercicio 11'!$E$5</f>
        <v>237601.61801757183</v>
      </c>
      <c r="H108" s="228">
        <f>H106/'Ejercicio 11'!$E$5</f>
        <v>237601.61801757183</v>
      </c>
      <c r="I108" s="228">
        <f>I106/'Ejercicio 11'!$E$5</f>
        <v>237601.61801757183</v>
      </c>
      <c r="J108" s="228">
        <f>J106/'Ejercicio 11'!$E$5</f>
        <v>237601.61801757183</v>
      </c>
      <c r="K108" s="247">
        <f>K106/'Ejercicio 11'!$E$5</f>
        <v>237601.61801757183</v>
      </c>
      <c r="L108" s="8"/>
      <c r="M108" s="8"/>
      <c r="N108" s="244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12.75" customHeight="1">
      <c r="A109" s="203"/>
      <c r="B109" s="254"/>
      <c r="C109" s="254"/>
      <c r="D109" s="254"/>
      <c r="E109" s="254"/>
      <c r="F109" s="254"/>
      <c r="G109" s="254"/>
      <c r="H109" s="254"/>
      <c r="I109" s="254"/>
      <c r="J109" s="254"/>
      <c r="K109" s="255"/>
      <c r="L109" s="8"/>
      <c r="M109" s="8"/>
      <c r="N109" s="244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12.75" customHeight="1">
      <c r="A110" s="203" t="s">
        <v>474</v>
      </c>
      <c r="B110" s="254"/>
      <c r="C110" s="254"/>
      <c r="D110" s="254"/>
      <c r="E110" s="254"/>
      <c r="F110" s="254"/>
      <c r="G110" s="254"/>
      <c r="H110" s="254"/>
      <c r="I110" s="254"/>
      <c r="J110" s="254"/>
      <c r="K110" s="255"/>
      <c r="L110" s="8"/>
      <c r="M110" s="8"/>
      <c r="N110" s="244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12.75" customHeight="1">
      <c r="A111" s="203" t="s">
        <v>507</v>
      </c>
      <c r="B111" s="228">
        <f>B108*'Ejercicio 11'!D4</f>
        <v>148228963.402309</v>
      </c>
      <c r="C111" s="228">
        <f>(C108*'Ejercicio 11'!E4)-B111</f>
        <v>726272.55345240235</v>
      </c>
      <c r="D111" s="228">
        <f>D108*'Ejercicio 11'!E4-C108*'Ejercicio 11'!E4</f>
        <v>-454224.69477900863</v>
      </c>
      <c r="E111" s="228">
        <f>E108*'Ejercicio 11'!E4-D108*'Ejercicio 11'!E4</f>
        <v>0</v>
      </c>
      <c r="F111" s="228">
        <f>F108*'Ejercicio 11'!F4-E108*'Ejercicio 11'!F4</f>
        <v>0</v>
      </c>
      <c r="G111" s="228">
        <f>G108*'Ejercicio 11'!G4-F108*'Ejercicio 11'!G4</f>
        <v>0</v>
      </c>
      <c r="H111" s="228">
        <f>H108*'Ejercicio 11'!H4-G108*'Ejercicio 11'!H4</f>
        <v>0</v>
      </c>
      <c r="I111" s="228">
        <f>I108*'Ejercicio 11'!I4-H108*'Ejercicio 11'!I4</f>
        <v>0</v>
      </c>
      <c r="J111" s="228">
        <f>J108*'Ejercicio 11'!J4-I108*'Ejercicio 11'!J4</f>
        <v>0</v>
      </c>
      <c r="K111" s="247">
        <f>K108*'Ejercicio 11'!K4-J108*'Ejercicio 11'!K4</f>
        <v>0</v>
      </c>
      <c r="L111" s="8"/>
      <c r="M111" s="8"/>
      <c r="N111" s="244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ht="12.75" customHeight="1">
      <c r="A112" s="203"/>
      <c r="B112" s="254"/>
      <c r="C112" s="254"/>
      <c r="D112" s="254"/>
      <c r="E112" s="254"/>
      <c r="F112" s="254"/>
      <c r="G112" s="254"/>
      <c r="H112" s="254"/>
      <c r="I112" s="254"/>
      <c r="J112" s="254"/>
      <c r="K112" s="247"/>
      <c r="L112" s="8"/>
      <c r="M112" s="8"/>
      <c r="N112" s="244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12.75" customHeight="1">
      <c r="A113" s="201" t="s">
        <v>508</v>
      </c>
      <c r="B113" s="254">
        <f t="shared" ref="B113:K113" si="45">B106-B111</f>
        <v>800436402.37246871</v>
      </c>
      <c r="C113" s="254">
        <f t="shared" si="45"/>
        <v>1190915615.0926387</v>
      </c>
      <c r="D113" s="254">
        <f t="shared" si="45"/>
        <v>1188462314.7826381</v>
      </c>
      <c r="E113" s="254">
        <f t="shared" si="45"/>
        <v>1188008090.0878592</v>
      </c>
      <c r="F113" s="254">
        <f t="shared" si="45"/>
        <v>1188008090.0878592</v>
      </c>
      <c r="G113" s="254">
        <f t="shared" si="45"/>
        <v>1188008090.0878592</v>
      </c>
      <c r="H113" s="254">
        <f t="shared" si="45"/>
        <v>1188008090.0878592</v>
      </c>
      <c r="I113" s="254">
        <f t="shared" si="45"/>
        <v>1188008090.0878592</v>
      </c>
      <c r="J113" s="254">
        <f t="shared" si="45"/>
        <v>1188008090.0878592</v>
      </c>
      <c r="K113" s="255">
        <f t="shared" si="45"/>
        <v>1188008090.0878592</v>
      </c>
      <c r="L113" s="8"/>
      <c r="M113" s="8"/>
      <c r="N113" s="244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12.75" customHeight="1">
      <c r="A114" s="203"/>
      <c r="B114" s="228"/>
      <c r="C114" s="228"/>
      <c r="D114" s="228"/>
      <c r="E114" s="228"/>
      <c r="F114" s="228"/>
      <c r="G114" s="228"/>
      <c r="H114" s="228"/>
      <c r="I114" s="228"/>
      <c r="J114" s="228"/>
      <c r="K114" s="247"/>
      <c r="L114" s="8"/>
      <c r="M114" s="8"/>
      <c r="N114" s="244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12.75" customHeight="1">
      <c r="A115" s="201" t="s">
        <v>509</v>
      </c>
      <c r="B115" s="254">
        <f t="shared" ref="B115:K115" si="46">B64</f>
        <v>103633444.87185113</v>
      </c>
      <c r="C115" s="254">
        <f t="shared" si="46"/>
        <v>103633444.87185113</v>
      </c>
      <c r="D115" s="254">
        <f t="shared" si="46"/>
        <v>103633444.87185113</v>
      </c>
      <c r="E115" s="254">
        <f t="shared" si="46"/>
        <v>103633444.87185113</v>
      </c>
      <c r="F115" s="254">
        <f t="shared" si="46"/>
        <v>103633444.87185113</v>
      </c>
      <c r="G115" s="254">
        <f t="shared" si="46"/>
        <v>103633444.87185113</v>
      </c>
      <c r="H115" s="254">
        <f t="shared" si="46"/>
        <v>103633444.87185113</v>
      </c>
      <c r="I115" s="254">
        <f t="shared" si="46"/>
        <v>103633444.87185113</v>
      </c>
      <c r="J115" s="254">
        <f t="shared" si="46"/>
        <v>103633444.87185113</v>
      </c>
      <c r="K115" s="255">
        <f t="shared" si="46"/>
        <v>103633444.87185113</v>
      </c>
      <c r="L115" s="8"/>
      <c r="M115" s="8"/>
      <c r="N115" s="244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ht="12.75" customHeight="1">
      <c r="A116" s="201" t="s">
        <v>510</v>
      </c>
      <c r="B116" s="254">
        <f t="shared" ref="B116:K116" si="47">B83</f>
        <v>58367425.259851135</v>
      </c>
      <c r="C116" s="254">
        <f t="shared" si="47"/>
        <v>58367425.259851135</v>
      </c>
      <c r="D116" s="254">
        <f t="shared" si="47"/>
        <v>58367425.259851135</v>
      </c>
      <c r="E116" s="254">
        <f t="shared" si="47"/>
        <v>58367425.259851135</v>
      </c>
      <c r="F116" s="254">
        <f t="shared" si="47"/>
        <v>58367425.259851135</v>
      </c>
      <c r="G116" s="254">
        <f t="shared" si="47"/>
        <v>58367425.259851135</v>
      </c>
      <c r="H116" s="254">
        <f t="shared" si="47"/>
        <v>58367425.259851135</v>
      </c>
      <c r="I116" s="254">
        <f t="shared" si="47"/>
        <v>58367425.259851135</v>
      </c>
      <c r="J116" s="254">
        <f t="shared" si="47"/>
        <v>58367425.259851135</v>
      </c>
      <c r="K116" s="255">
        <f t="shared" si="47"/>
        <v>58367425.259851135</v>
      </c>
      <c r="L116" s="8"/>
      <c r="M116" s="8"/>
      <c r="N116" s="244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12.75" customHeight="1">
      <c r="A117" s="203"/>
      <c r="B117" s="254"/>
      <c r="C117" s="254"/>
      <c r="D117" s="254"/>
      <c r="E117" s="254"/>
      <c r="F117" s="254"/>
      <c r="G117" s="254"/>
      <c r="H117" s="254"/>
      <c r="I117" s="254"/>
      <c r="J117" s="254"/>
      <c r="K117" s="247"/>
      <c r="L117" s="8"/>
      <c r="M117" s="8"/>
      <c r="N117" s="244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12.75" customHeight="1">
      <c r="A118" s="201" t="s">
        <v>511</v>
      </c>
      <c r="B118" s="254">
        <f t="shared" ref="B118:K118" si="48">B113+B115+B116</f>
        <v>962437272.50417089</v>
      </c>
      <c r="C118" s="254">
        <f t="shared" si="48"/>
        <v>1352916485.2243412</v>
      </c>
      <c r="D118" s="254">
        <f t="shared" si="48"/>
        <v>1350463184.9143405</v>
      </c>
      <c r="E118" s="254">
        <f t="shared" si="48"/>
        <v>1350008960.2195616</v>
      </c>
      <c r="F118" s="254">
        <f t="shared" si="48"/>
        <v>1350008960.2195616</v>
      </c>
      <c r="G118" s="254">
        <f t="shared" si="48"/>
        <v>1350008960.2195616</v>
      </c>
      <c r="H118" s="254">
        <f t="shared" si="48"/>
        <v>1350008960.2195616</v>
      </c>
      <c r="I118" s="254">
        <f t="shared" si="48"/>
        <v>1350008960.2195616</v>
      </c>
      <c r="J118" s="254">
        <f t="shared" si="48"/>
        <v>1350008960.2195616</v>
      </c>
      <c r="K118" s="255">
        <f t="shared" si="48"/>
        <v>1350008960.2195616</v>
      </c>
      <c r="L118" s="8"/>
      <c r="M118" s="8"/>
      <c r="N118" s="244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12.75" customHeight="1">
      <c r="A119" s="203"/>
      <c r="B119" s="254"/>
      <c r="C119" s="254"/>
      <c r="D119" s="254"/>
      <c r="E119" s="254"/>
      <c r="F119" s="254"/>
      <c r="G119" s="254"/>
      <c r="H119" s="254"/>
      <c r="I119" s="254"/>
      <c r="J119" s="254"/>
      <c r="K119" s="247"/>
      <c r="L119" s="8"/>
      <c r="M119" s="8"/>
      <c r="N119" s="244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12.75" customHeight="1">
      <c r="A120" s="201" t="s">
        <v>512</v>
      </c>
      <c r="B120" s="228">
        <f t="shared" ref="B120:K120" si="49">B118/B107</f>
        <v>240609.31812604272</v>
      </c>
      <c r="C120" s="228">
        <f t="shared" si="49"/>
        <v>270583.29704486823</v>
      </c>
      <c r="D120" s="228">
        <f t="shared" si="49"/>
        <v>270092.63698286808</v>
      </c>
      <c r="E120" s="228">
        <f t="shared" si="49"/>
        <v>270001.79204391234</v>
      </c>
      <c r="F120" s="228">
        <f t="shared" si="49"/>
        <v>270001.79204391234</v>
      </c>
      <c r="G120" s="228">
        <f t="shared" si="49"/>
        <v>270001.79204391234</v>
      </c>
      <c r="H120" s="228">
        <f t="shared" si="49"/>
        <v>270001.79204391234</v>
      </c>
      <c r="I120" s="228">
        <f t="shared" si="49"/>
        <v>270001.79204391234</v>
      </c>
      <c r="J120" s="228">
        <f t="shared" si="49"/>
        <v>270001.79204391234</v>
      </c>
      <c r="K120" s="247">
        <f t="shared" si="49"/>
        <v>270001.79204391234</v>
      </c>
      <c r="L120" s="8"/>
      <c r="M120" s="8"/>
      <c r="N120" s="244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12.75" customHeight="1">
      <c r="A121" s="203"/>
      <c r="B121" s="254"/>
      <c r="C121" s="254"/>
      <c r="D121" s="254"/>
      <c r="E121" s="254"/>
      <c r="F121" s="254"/>
      <c r="G121" s="254"/>
      <c r="H121" s="254"/>
      <c r="I121" s="254"/>
      <c r="J121" s="254"/>
      <c r="K121" s="247"/>
      <c r="L121" s="8"/>
      <c r="M121" s="8"/>
      <c r="N121" s="244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12.75" customHeight="1">
      <c r="A122" s="201" t="s">
        <v>513</v>
      </c>
      <c r="B122" s="254">
        <f t="shared" ref="B122:K122" si="50">B94-B118</f>
        <v>1011937727.4958291</v>
      </c>
      <c r="C122" s="254">
        <f t="shared" si="50"/>
        <v>1572083514.7756588</v>
      </c>
      <c r="D122" s="254">
        <f t="shared" si="50"/>
        <v>1574536815.0856595</v>
      </c>
      <c r="E122" s="254">
        <f t="shared" si="50"/>
        <v>1574991039.7804384</v>
      </c>
      <c r="F122" s="254">
        <f t="shared" si="50"/>
        <v>1574991039.7804384</v>
      </c>
      <c r="G122" s="254">
        <f t="shared" si="50"/>
        <v>1574991039.7804384</v>
      </c>
      <c r="H122" s="254">
        <f t="shared" si="50"/>
        <v>1574991039.7804384</v>
      </c>
      <c r="I122" s="254">
        <f t="shared" si="50"/>
        <v>1574991039.7804384</v>
      </c>
      <c r="J122" s="254">
        <f t="shared" si="50"/>
        <v>1574991039.7804384</v>
      </c>
      <c r="K122" s="255">
        <f t="shared" si="50"/>
        <v>1574991039.7804384</v>
      </c>
      <c r="L122" s="8"/>
      <c r="M122" s="8"/>
      <c r="N122" s="244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12.75" customHeight="1">
      <c r="A123" s="201" t="s">
        <v>191</v>
      </c>
      <c r="B123" s="228">
        <f>InfoInicial!$B$4*B122</f>
        <v>0</v>
      </c>
      <c r="C123" s="228">
        <f>InfoInicial!$B$4*C122</f>
        <v>0</v>
      </c>
      <c r="D123" s="228">
        <f>InfoInicial!$B$4*D122</f>
        <v>0</v>
      </c>
      <c r="E123" s="228">
        <f>InfoInicial!$B$4*E122</f>
        <v>0</v>
      </c>
      <c r="F123" s="228">
        <f>InfoInicial!$B$4*F122</f>
        <v>0</v>
      </c>
      <c r="G123" s="228">
        <f>InfoInicial!$B$4*G122</f>
        <v>0</v>
      </c>
      <c r="H123" s="228">
        <f>InfoInicial!$B$4*H122</f>
        <v>0</v>
      </c>
      <c r="I123" s="228">
        <f>InfoInicial!$B$4*I122</f>
        <v>0</v>
      </c>
      <c r="J123" s="228">
        <f>InfoInicial!$B$4*J122</f>
        <v>0</v>
      </c>
      <c r="K123" s="247">
        <f>InfoInicial!$B$4*K122</f>
        <v>0</v>
      </c>
      <c r="L123" s="8"/>
      <c r="M123" s="8"/>
      <c r="N123" s="244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12.75" customHeight="1">
      <c r="A124" s="227" t="s">
        <v>514</v>
      </c>
      <c r="B124" s="228">
        <f>(B122-B123)*InfoInicial!$B$3</f>
        <v>354178204.62354016</v>
      </c>
      <c r="C124" s="228">
        <f>(C122-C123)*InfoInicial!$B$3</f>
        <v>550229230.17148054</v>
      </c>
      <c r="D124" s="228">
        <f>(D122-D123)*InfoInicial!$B$3</f>
        <v>551087885.27998078</v>
      </c>
      <c r="E124" s="228">
        <f>(E122-E123)*InfoInicial!$B$3</f>
        <v>551246863.9231534</v>
      </c>
      <c r="F124" s="228">
        <f>(F122-F123)*InfoInicial!$B$3</f>
        <v>551246863.9231534</v>
      </c>
      <c r="G124" s="228">
        <f>(G122-G123)*InfoInicial!$B$3</f>
        <v>551246863.9231534</v>
      </c>
      <c r="H124" s="228">
        <f>(H122-H123)*InfoInicial!$B$3</f>
        <v>551246863.9231534</v>
      </c>
      <c r="I124" s="228">
        <f>(I122-I123)*InfoInicial!$B$3</f>
        <v>551246863.9231534</v>
      </c>
      <c r="J124" s="228">
        <f>(J122-J123)*InfoInicial!$B$3</f>
        <v>551246863.9231534</v>
      </c>
      <c r="K124" s="247">
        <f>(K122-K123)*InfoInicial!$B$3</f>
        <v>551246863.9231534</v>
      </c>
      <c r="L124" s="8"/>
      <c r="M124" s="8"/>
      <c r="N124" s="244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12.75" customHeight="1">
      <c r="A125" s="201"/>
      <c r="B125" s="254"/>
      <c r="C125" s="254"/>
      <c r="D125" s="254"/>
      <c r="E125" s="254"/>
      <c r="F125" s="254"/>
      <c r="G125" s="254"/>
      <c r="H125" s="254"/>
      <c r="I125" s="254"/>
      <c r="J125" s="254"/>
      <c r="K125" s="247"/>
      <c r="L125" s="8"/>
      <c r="M125" s="8"/>
      <c r="N125" s="244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12.75" customHeight="1">
      <c r="A126" s="227" t="s">
        <v>515</v>
      </c>
      <c r="B126" s="254">
        <f t="shared" ref="B126:K126" si="51">B122-B123-B124</f>
        <v>657759522.87228894</v>
      </c>
      <c r="C126" s="254">
        <f t="shared" si="51"/>
        <v>1021854284.6041783</v>
      </c>
      <c r="D126" s="254">
        <f t="shared" si="51"/>
        <v>1023448929.8056787</v>
      </c>
      <c r="E126" s="254">
        <f t="shared" si="51"/>
        <v>1023744175.857285</v>
      </c>
      <c r="F126" s="254">
        <f t="shared" si="51"/>
        <v>1023744175.857285</v>
      </c>
      <c r="G126" s="254">
        <f t="shared" si="51"/>
        <v>1023744175.857285</v>
      </c>
      <c r="H126" s="254">
        <f t="shared" si="51"/>
        <v>1023744175.857285</v>
      </c>
      <c r="I126" s="254">
        <f t="shared" si="51"/>
        <v>1023744175.857285</v>
      </c>
      <c r="J126" s="254">
        <f t="shared" si="51"/>
        <v>1023744175.857285</v>
      </c>
      <c r="K126" s="255">
        <f t="shared" si="51"/>
        <v>1023744175.857285</v>
      </c>
      <c r="L126" s="8"/>
      <c r="M126" s="8"/>
      <c r="N126" s="244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12.75" customHeight="1">
      <c r="A127" s="201" t="s">
        <v>516</v>
      </c>
      <c r="B127" s="304">
        <f t="shared" ref="B127:K127" si="52">B126/B94</f>
        <v>0.33314822304389435</v>
      </c>
      <c r="C127" s="304">
        <f t="shared" si="52"/>
        <v>0.34935189217236867</v>
      </c>
      <c r="D127" s="304">
        <f t="shared" si="52"/>
        <v>0.34989707001903547</v>
      </c>
      <c r="E127" s="304">
        <f t="shared" si="52"/>
        <v>0.34999800884009746</v>
      </c>
      <c r="F127" s="304">
        <f t="shared" si="52"/>
        <v>0.34999800884009746</v>
      </c>
      <c r="G127" s="304">
        <f t="shared" si="52"/>
        <v>0.34999800884009746</v>
      </c>
      <c r="H127" s="304">
        <f t="shared" si="52"/>
        <v>0.34999800884009746</v>
      </c>
      <c r="I127" s="304">
        <f t="shared" si="52"/>
        <v>0.34999800884009746</v>
      </c>
      <c r="J127" s="304">
        <f t="shared" si="52"/>
        <v>0.34999800884009746</v>
      </c>
      <c r="K127" s="305">
        <f t="shared" si="52"/>
        <v>0.34999800884009746</v>
      </c>
      <c r="L127" s="8"/>
      <c r="M127" s="8"/>
      <c r="N127" s="244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12.75" customHeight="1">
      <c r="A128" s="201"/>
      <c r="B128" s="304"/>
      <c r="C128" s="304"/>
      <c r="D128" s="304"/>
      <c r="E128" s="304"/>
      <c r="F128" s="304"/>
      <c r="G128" s="304"/>
      <c r="H128" s="304"/>
      <c r="I128" s="304"/>
      <c r="J128" s="304"/>
      <c r="K128" s="306"/>
      <c r="L128" s="8"/>
      <c r="M128" s="8"/>
      <c r="N128" s="244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ht="12.75" customHeight="1">
      <c r="A129" s="201" t="s">
        <v>517</v>
      </c>
      <c r="B129" s="304"/>
      <c r="C129" s="304"/>
      <c r="D129" s="304"/>
      <c r="E129" s="304"/>
      <c r="F129" s="304"/>
      <c r="G129" s="304"/>
      <c r="H129" s="304"/>
      <c r="I129" s="304"/>
      <c r="J129" s="304"/>
      <c r="K129" s="306"/>
      <c r="L129" s="8"/>
      <c r="M129" s="8"/>
      <c r="N129" s="244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12.75" customHeight="1">
      <c r="A130" s="227" t="s">
        <v>518</v>
      </c>
      <c r="B130" s="228">
        <f t="shared" ref="B130:K130" si="53">B126</f>
        <v>657759522.87228894</v>
      </c>
      <c r="C130" s="228">
        <f t="shared" si="53"/>
        <v>1021854284.6041783</v>
      </c>
      <c r="D130" s="228">
        <f t="shared" si="53"/>
        <v>1023448929.8056787</v>
      </c>
      <c r="E130" s="228">
        <f t="shared" si="53"/>
        <v>1023744175.857285</v>
      </c>
      <c r="F130" s="228">
        <f t="shared" si="53"/>
        <v>1023744175.857285</v>
      </c>
      <c r="G130" s="228">
        <f t="shared" si="53"/>
        <v>1023744175.857285</v>
      </c>
      <c r="H130" s="228">
        <f t="shared" si="53"/>
        <v>1023744175.857285</v>
      </c>
      <c r="I130" s="228">
        <f t="shared" si="53"/>
        <v>1023744175.857285</v>
      </c>
      <c r="J130" s="228">
        <f t="shared" si="53"/>
        <v>1023744175.857285</v>
      </c>
      <c r="K130" s="247">
        <f t="shared" si="53"/>
        <v>1023744175.857285</v>
      </c>
      <c r="L130" s="8"/>
      <c r="M130" s="8"/>
      <c r="N130" s="244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12.75" customHeight="1">
      <c r="A131" s="201" t="s">
        <v>519</v>
      </c>
      <c r="B131" s="228">
        <f>'DE-Inv AF y Am'!$D$55</f>
        <v>178411402.32590628</v>
      </c>
      <c r="C131" s="228">
        <f>'DE-Inv AF y Am'!$D$55</f>
        <v>178411402.32590628</v>
      </c>
      <c r="D131" s="228">
        <f>'DE-Inv AF y Am'!$D$55</f>
        <v>178411402.32590628</v>
      </c>
      <c r="E131" s="228">
        <f>'DE-Inv AF y Am'!$E$55</f>
        <v>178411402.32590628</v>
      </c>
      <c r="F131" s="228">
        <f>'DE-Inv AF y Am'!$E$55</f>
        <v>178411402.32590628</v>
      </c>
      <c r="G131" s="228">
        <f>'DE-Inv AF y Am'!$F$55</f>
        <v>8581250</v>
      </c>
      <c r="H131" s="228">
        <f>'DE-Inv AF y Am'!$F$55</f>
        <v>8581250</v>
      </c>
      <c r="I131" s="228">
        <f>'DE-Inv AF y Am'!$F$55</f>
        <v>8581250</v>
      </c>
      <c r="J131" s="228">
        <f>'DE-Inv AF y Am'!$F$55</f>
        <v>8581250</v>
      </c>
      <c r="K131" s="247">
        <f>'DE-Inv AF y Am'!$F$55</f>
        <v>8581250</v>
      </c>
      <c r="L131" s="8"/>
      <c r="M131" s="8"/>
      <c r="N131" s="244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ht="13.5" customHeight="1">
      <c r="A132" s="266" t="s">
        <v>239</v>
      </c>
      <c r="B132" s="254">
        <f t="shared" ref="B132:K132" si="54">B130-B131</f>
        <v>479348120.54638267</v>
      </c>
      <c r="C132" s="254">
        <f t="shared" si="54"/>
        <v>843442882.27827203</v>
      </c>
      <c r="D132" s="254">
        <f t="shared" si="54"/>
        <v>845037527.47977245</v>
      </c>
      <c r="E132" s="254">
        <f t="shared" si="54"/>
        <v>845332773.53137875</v>
      </c>
      <c r="F132" s="254">
        <f t="shared" si="54"/>
        <v>845332773.53137875</v>
      </c>
      <c r="G132" s="254">
        <f t="shared" si="54"/>
        <v>1015162925.857285</v>
      </c>
      <c r="H132" s="254">
        <f t="shared" si="54"/>
        <v>1015162925.857285</v>
      </c>
      <c r="I132" s="254">
        <f t="shared" si="54"/>
        <v>1015162925.857285</v>
      </c>
      <c r="J132" s="254">
        <f t="shared" si="54"/>
        <v>1015162925.857285</v>
      </c>
      <c r="K132" s="255">
        <f t="shared" si="54"/>
        <v>1015162925.857285</v>
      </c>
      <c r="L132" s="8"/>
      <c r="M132" s="8"/>
      <c r="N132" s="244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ht="13.5" customHeight="1">
      <c r="A133" s="201"/>
      <c r="B133" s="204"/>
      <c r="C133" s="204"/>
      <c r="D133" s="204"/>
      <c r="E133" s="204"/>
      <c r="F133" s="204"/>
      <c r="G133" s="204"/>
      <c r="H133" s="204"/>
      <c r="I133" s="204"/>
      <c r="J133" s="204"/>
      <c r="K133" s="222"/>
      <c r="L133" s="8"/>
      <c r="M133" s="8"/>
      <c r="N133" s="244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ht="12.75" customHeight="1">
      <c r="A134" s="201" t="s">
        <v>520</v>
      </c>
      <c r="B134" s="204">
        <f t="shared" ref="B134:K134" si="55">B15*B17</f>
        <v>543602822.44271088</v>
      </c>
      <c r="C134" s="204">
        <f t="shared" si="55"/>
        <v>710724856.192711</v>
      </c>
      <c r="D134" s="204">
        <f t="shared" si="55"/>
        <v>710724856.192711</v>
      </c>
      <c r="E134" s="204">
        <f t="shared" si="55"/>
        <v>710724856.192711</v>
      </c>
      <c r="F134" s="204">
        <f t="shared" si="55"/>
        <v>710724856.192711</v>
      </c>
      <c r="G134" s="204">
        <f t="shared" si="55"/>
        <v>710724856.192711</v>
      </c>
      <c r="H134" s="204">
        <f t="shared" si="55"/>
        <v>710724856.192711</v>
      </c>
      <c r="I134" s="204">
        <f t="shared" si="55"/>
        <v>710724856.192711</v>
      </c>
      <c r="J134" s="204">
        <f t="shared" si="55"/>
        <v>710724856.192711</v>
      </c>
      <c r="K134" s="247">
        <f t="shared" si="55"/>
        <v>710724856.192711</v>
      </c>
      <c r="L134" s="204"/>
      <c r="M134" s="8"/>
      <c r="N134" s="244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ht="12.75" customHeight="1">
      <c r="A135" s="227" t="s">
        <v>521</v>
      </c>
      <c r="B135" s="204">
        <f t="shared" ref="B135:K135" si="56">B15*B18</f>
        <v>471782476.51858473</v>
      </c>
      <c r="C135" s="204">
        <f t="shared" si="56"/>
        <v>477283233.89514822</v>
      </c>
      <c r="D135" s="204">
        <f t="shared" si="56"/>
        <v>477283233.89514822</v>
      </c>
      <c r="E135" s="204">
        <f t="shared" si="56"/>
        <v>477283233.89514822</v>
      </c>
      <c r="F135" s="204">
        <f t="shared" si="56"/>
        <v>477283233.89514822</v>
      </c>
      <c r="G135" s="204">
        <f t="shared" si="56"/>
        <v>477283233.89514822</v>
      </c>
      <c r="H135" s="204">
        <f t="shared" si="56"/>
        <v>477283233.89514822</v>
      </c>
      <c r="I135" s="204">
        <f t="shared" si="56"/>
        <v>477283233.89514822</v>
      </c>
      <c r="J135" s="204">
        <f t="shared" si="56"/>
        <v>477283233.89514822</v>
      </c>
      <c r="K135" s="247">
        <f t="shared" si="56"/>
        <v>477283233.89514822</v>
      </c>
      <c r="L135" s="8"/>
      <c r="M135" s="8"/>
      <c r="N135" s="244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ht="12.75" customHeight="1">
      <c r="A136" s="201" t="s">
        <v>522</v>
      </c>
      <c r="B136" s="204">
        <f t="shared" ref="B136:K136" si="57">B64*B66</f>
        <v>89498269.875206605</v>
      </c>
      <c r="C136" s="204">
        <f t="shared" si="57"/>
        <v>89498269.875206605</v>
      </c>
      <c r="D136" s="204">
        <f t="shared" si="57"/>
        <v>89498269.875206605</v>
      </c>
      <c r="E136" s="204">
        <f t="shared" si="57"/>
        <v>89498269.875206605</v>
      </c>
      <c r="F136" s="204">
        <f t="shared" si="57"/>
        <v>89498269.875206605</v>
      </c>
      <c r="G136" s="204">
        <f t="shared" si="57"/>
        <v>89498269.875206605</v>
      </c>
      <c r="H136" s="204">
        <f t="shared" si="57"/>
        <v>89498269.875206605</v>
      </c>
      <c r="I136" s="204">
        <f t="shared" si="57"/>
        <v>89498269.875206605</v>
      </c>
      <c r="J136" s="204">
        <f t="shared" si="57"/>
        <v>89498269.875206605</v>
      </c>
      <c r="K136" s="247">
        <f t="shared" si="57"/>
        <v>89498269.875206605</v>
      </c>
      <c r="L136" s="8"/>
      <c r="M136" s="8"/>
      <c r="N136" s="244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ht="12.75" customHeight="1">
      <c r="A137" s="227" t="s">
        <v>523</v>
      </c>
      <c r="B137" s="204">
        <f t="shared" ref="B137:K137" si="58">B64*B67</f>
        <v>14135174.996644521</v>
      </c>
      <c r="C137" s="204">
        <f t="shared" si="58"/>
        <v>14135174.996644521</v>
      </c>
      <c r="D137" s="204">
        <f t="shared" si="58"/>
        <v>14135174.996644521</v>
      </c>
      <c r="E137" s="204">
        <f t="shared" si="58"/>
        <v>14135174.996644521</v>
      </c>
      <c r="F137" s="204">
        <f t="shared" si="58"/>
        <v>14135174.996644521</v>
      </c>
      <c r="G137" s="204">
        <f t="shared" si="58"/>
        <v>14135174.996644521</v>
      </c>
      <c r="H137" s="204">
        <f t="shared" si="58"/>
        <v>14135174.996644521</v>
      </c>
      <c r="I137" s="204">
        <f t="shared" si="58"/>
        <v>14135174.996644521</v>
      </c>
      <c r="J137" s="204">
        <f t="shared" si="58"/>
        <v>14135174.996644521</v>
      </c>
      <c r="K137" s="247">
        <f t="shared" si="58"/>
        <v>14135174.996644521</v>
      </c>
      <c r="L137" s="8"/>
      <c r="M137" s="8"/>
      <c r="N137" s="244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ht="12.75" customHeight="1">
      <c r="A138" s="201" t="s">
        <v>524</v>
      </c>
      <c r="B138" s="204">
        <f t="shared" ref="B138:K138" si="59">B83*B85</f>
        <v>45119819.275206611</v>
      </c>
      <c r="C138" s="204">
        <f t="shared" si="59"/>
        <v>45119819.275206611</v>
      </c>
      <c r="D138" s="204">
        <f t="shared" si="59"/>
        <v>45119819.275206611</v>
      </c>
      <c r="E138" s="204">
        <f t="shared" si="59"/>
        <v>45119819.275206611</v>
      </c>
      <c r="F138" s="204">
        <f t="shared" si="59"/>
        <v>45119819.275206611</v>
      </c>
      <c r="G138" s="204">
        <f t="shared" si="59"/>
        <v>45119819.275206611</v>
      </c>
      <c r="H138" s="204">
        <f t="shared" si="59"/>
        <v>45119819.275206611</v>
      </c>
      <c r="I138" s="204">
        <f t="shared" si="59"/>
        <v>45119819.275206611</v>
      </c>
      <c r="J138" s="204">
        <f t="shared" si="59"/>
        <v>45119819.275206611</v>
      </c>
      <c r="K138" s="247">
        <f t="shared" si="59"/>
        <v>45119819.275206611</v>
      </c>
      <c r="L138" s="8"/>
      <c r="M138" s="8"/>
      <c r="N138" s="244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ht="12.75" customHeight="1">
      <c r="A139" s="227" t="s">
        <v>525</v>
      </c>
      <c r="B139" s="204">
        <f t="shared" ref="B139:K139" si="60">B83*B86</f>
        <v>13247605.984644523</v>
      </c>
      <c r="C139" s="204">
        <f t="shared" si="60"/>
        <v>13247605.984644523</v>
      </c>
      <c r="D139" s="204">
        <f t="shared" si="60"/>
        <v>13247605.984644523</v>
      </c>
      <c r="E139" s="204">
        <f t="shared" si="60"/>
        <v>13247605.984644523</v>
      </c>
      <c r="F139" s="204">
        <f t="shared" si="60"/>
        <v>13247605.984644523</v>
      </c>
      <c r="G139" s="204">
        <f t="shared" si="60"/>
        <v>13247605.984644523</v>
      </c>
      <c r="H139" s="204">
        <f t="shared" si="60"/>
        <v>13247605.984644523</v>
      </c>
      <c r="I139" s="204">
        <f t="shared" si="60"/>
        <v>13247605.984644523</v>
      </c>
      <c r="J139" s="204">
        <f t="shared" si="60"/>
        <v>13247605.984644523</v>
      </c>
      <c r="K139" s="247">
        <f t="shared" si="60"/>
        <v>13247605.984644523</v>
      </c>
      <c r="L139" s="8"/>
      <c r="M139" s="8"/>
      <c r="N139" s="244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ht="12.75" customHeight="1">
      <c r="A140" s="201" t="s">
        <v>526</v>
      </c>
      <c r="B140" s="204">
        <f t="shared" ref="B140:K140" si="61">B94-(B134+B136+B138)</f>
        <v>1296154088.4068761</v>
      </c>
      <c r="C140" s="204">
        <f t="shared" si="61"/>
        <v>2079657054.6568758</v>
      </c>
      <c r="D140" s="204">
        <f t="shared" si="61"/>
        <v>2079657054.6568758</v>
      </c>
      <c r="E140" s="204">
        <f t="shared" si="61"/>
        <v>2079657054.6568758</v>
      </c>
      <c r="F140" s="204">
        <f t="shared" si="61"/>
        <v>2079657054.6568758</v>
      </c>
      <c r="G140" s="204">
        <f t="shared" si="61"/>
        <v>2079657054.6568758</v>
      </c>
      <c r="H140" s="204">
        <f t="shared" si="61"/>
        <v>2079657054.6568758</v>
      </c>
      <c r="I140" s="204">
        <f t="shared" si="61"/>
        <v>2079657054.6568758</v>
      </c>
      <c r="J140" s="204">
        <f t="shared" si="61"/>
        <v>2079657054.6568758</v>
      </c>
      <c r="K140" s="247">
        <f t="shared" si="61"/>
        <v>2079657054.6568758</v>
      </c>
      <c r="L140" s="8"/>
      <c r="M140" s="8"/>
      <c r="N140" s="244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ht="13.5" customHeight="1">
      <c r="A141" s="266" t="s">
        <v>527</v>
      </c>
      <c r="B141" s="307">
        <f t="shared" ref="B141:K141" si="62">(B135+B137+B139)/B140</f>
        <v>0.38511258959450251</v>
      </c>
      <c r="C141" s="307">
        <f t="shared" si="62"/>
        <v>0.24266790226127088</v>
      </c>
      <c r="D141" s="307">
        <f t="shared" si="62"/>
        <v>0.24266790226127088</v>
      </c>
      <c r="E141" s="307">
        <f t="shared" si="62"/>
        <v>0.24266790226127088</v>
      </c>
      <c r="F141" s="307">
        <f t="shared" si="62"/>
        <v>0.24266790226127088</v>
      </c>
      <c r="G141" s="307">
        <f t="shared" si="62"/>
        <v>0.24266790226127088</v>
      </c>
      <c r="H141" s="307">
        <f t="shared" si="62"/>
        <v>0.24266790226127088</v>
      </c>
      <c r="I141" s="307">
        <f t="shared" si="62"/>
        <v>0.24266790226127088</v>
      </c>
      <c r="J141" s="307">
        <f t="shared" si="62"/>
        <v>0.24266790226127088</v>
      </c>
      <c r="K141" s="308">
        <f t="shared" si="62"/>
        <v>0.24266790226127088</v>
      </c>
      <c r="L141" s="8"/>
      <c r="M141" s="8"/>
      <c r="N141" s="244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ht="16.5" customHeight="1">
      <c r="A142" s="309" t="s">
        <v>528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244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244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244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244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244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ht="12.75" customHeight="1">
      <c r="A147" s="630" t="s">
        <v>112</v>
      </c>
      <c r="B147" s="543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244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ht="12.75" customHeight="1">
      <c r="A148" s="310" t="s">
        <v>529</v>
      </c>
      <c r="B148" s="311">
        <f t="shared" ref="B148:B149" si="63">B91</f>
        <v>3375</v>
      </c>
      <c r="C148" s="312">
        <f>B148*B141</f>
        <v>1299.7549898814459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244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ht="12.75" customHeight="1">
      <c r="A149" s="310" t="s">
        <v>530</v>
      </c>
      <c r="B149" s="313">
        <f t="shared" si="63"/>
        <v>585000</v>
      </c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244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ht="12.75" customHeight="1">
      <c r="A150" s="310" t="s">
        <v>531</v>
      </c>
      <c r="B150" s="313">
        <f>B135+B137+B139</f>
        <v>499165257.49987376</v>
      </c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244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ht="12.75" customHeight="1">
      <c r="A151" s="310" t="s">
        <v>532</v>
      </c>
      <c r="B151" s="313">
        <f>(B134+B136+B138)/B148</f>
        <v>200954.34417574047</v>
      </c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244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ht="12.75" customHeight="1">
      <c r="A152" s="194" t="s">
        <v>533</v>
      </c>
      <c r="B152" s="314">
        <f>B141</f>
        <v>0.38511258959450251</v>
      </c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244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ht="12.75" customHeight="1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244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ht="12.75" customHeight="1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244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ht="12.75" customHeight="1">
      <c r="A155" s="7"/>
      <c r="B155" s="631"/>
      <c r="C155" s="613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244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ht="12.75" customHeight="1">
      <c r="A156" s="8"/>
      <c r="F156" s="8"/>
      <c r="G156" s="8"/>
      <c r="H156" s="8"/>
      <c r="I156" s="8"/>
      <c r="J156" s="8"/>
      <c r="K156" s="8"/>
      <c r="L156" s="8"/>
      <c r="M156" s="8"/>
      <c r="N156" s="244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ht="12.75" customHeight="1">
      <c r="A157" s="8"/>
      <c r="B157" s="632" t="s">
        <v>112</v>
      </c>
      <c r="C157" s="540"/>
      <c r="D157" s="540"/>
      <c r="E157" s="543"/>
      <c r="F157" s="8"/>
      <c r="G157" s="8"/>
      <c r="H157" s="8"/>
      <c r="I157" s="8"/>
      <c r="J157" s="8"/>
      <c r="K157" s="8"/>
      <c r="L157" s="8"/>
      <c r="M157" s="8"/>
      <c r="N157" s="244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ht="12.75" customHeight="1">
      <c r="A158" s="8"/>
      <c r="B158" s="35" t="s">
        <v>534</v>
      </c>
      <c r="C158" s="35" t="s">
        <v>535</v>
      </c>
      <c r="D158" s="35" t="s">
        <v>179</v>
      </c>
      <c r="E158" s="35" t="s">
        <v>536</v>
      </c>
      <c r="F158" s="8"/>
      <c r="G158" s="8"/>
      <c r="H158" s="8"/>
      <c r="I158" s="8"/>
      <c r="J158" s="8"/>
      <c r="K158" s="8"/>
      <c r="L158" s="8"/>
      <c r="M158" s="8"/>
      <c r="N158" s="244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ht="12.75" customHeight="1">
      <c r="A159" s="8">
        <v>0</v>
      </c>
      <c r="B159" s="10">
        <f t="shared" ref="B159:B173" si="64">B160-$A$175</f>
        <v>0</v>
      </c>
      <c r="C159" s="184">
        <f t="shared" ref="C159:C174" si="65">B159/$B$148</f>
        <v>0</v>
      </c>
      <c r="D159" s="315">
        <f t="shared" ref="D159:D174" si="66">B159*$B$149</f>
        <v>0</v>
      </c>
      <c r="E159" s="316">
        <f t="shared" ref="E159:E174" si="67">$B$150+B159*$B$151</f>
        <v>499165257.49987376</v>
      </c>
      <c r="F159" s="8"/>
      <c r="G159" s="8"/>
      <c r="H159" s="8"/>
      <c r="I159" s="8"/>
      <c r="J159" s="8"/>
      <c r="K159" s="8"/>
      <c r="L159" s="8"/>
      <c r="M159" s="8"/>
      <c r="N159" s="244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ht="12.75" customHeight="1">
      <c r="A160" s="8">
        <v>1</v>
      </c>
      <c r="B160" s="10">
        <f t="shared" si="64"/>
        <v>225</v>
      </c>
      <c r="C160" s="184">
        <f t="shared" si="65"/>
        <v>6.6666666666666666E-2</v>
      </c>
      <c r="D160" s="315">
        <f t="shared" si="66"/>
        <v>131625000</v>
      </c>
      <c r="E160" s="316">
        <f t="shared" si="67"/>
        <v>544379984.93941534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ht="12.75" customHeight="1">
      <c r="A161" s="8">
        <v>2</v>
      </c>
      <c r="B161" s="10">
        <f t="shared" si="64"/>
        <v>450</v>
      </c>
      <c r="C161" s="184">
        <f t="shared" si="65"/>
        <v>0.13333333333333333</v>
      </c>
      <c r="D161" s="315">
        <f t="shared" si="66"/>
        <v>263250000</v>
      </c>
      <c r="E161" s="316">
        <f t="shared" si="67"/>
        <v>589594712.37895703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ht="12.75" customHeight="1">
      <c r="A162" s="8">
        <v>3</v>
      </c>
      <c r="B162" s="10">
        <f t="shared" si="64"/>
        <v>675</v>
      </c>
      <c r="C162" s="184">
        <f t="shared" si="65"/>
        <v>0.2</v>
      </c>
      <c r="D162" s="315">
        <f t="shared" si="66"/>
        <v>394875000</v>
      </c>
      <c r="E162" s="316">
        <f t="shared" si="67"/>
        <v>634809439.81849861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ht="12.75" customHeight="1">
      <c r="A163" s="8">
        <v>4</v>
      </c>
      <c r="B163" s="10">
        <f t="shared" si="64"/>
        <v>900</v>
      </c>
      <c r="C163" s="184">
        <f t="shared" si="65"/>
        <v>0.26666666666666666</v>
      </c>
      <c r="D163" s="315">
        <f t="shared" si="66"/>
        <v>526500000</v>
      </c>
      <c r="E163" s="316">
        <f t="shared" si="67"/>
        <v>680024167.25804019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ht="12.75" customHeight="1">
      <c r="A164" s="8">
        <v>5</v>
      </c>
      <c r="B164" s="10">
        <f t="shared" si="64"/>
        <v>1125</v>
      </c>
      <c r="C164" s="184">
        <f t="shared" si="65"/>
        <v>0.33333333333333331</v>
      </c>
      <c r="D164" s="315">
        <f t="shared" si="66"/>
        <v>658125000</v>
      </c>
      <c r="E164" s="316">
        <f t="shared" si="67"/>
        <v>725238894.69758177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ht="12.75" customHeight="1">
      <c r="A165" s="8">
        <v>6</v>
      </c>
      <c r="B165" s="10">
        <f t="shared" si="64"/>
        <v>1350</v>
      </c>
      <c r="C165" s="184">
        <f t="shared" si="65"/>
        <v>0.4</v>
      </c>
      <c r="D165" s="315">
        <f t="shared" si="66"/>
        <v>789750000</v>
      </c>
      <c r="E165" s="316">
        <f t="shared" si="67"/>
        <v>770453622.13712335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2.75" customHeight="1">
      <c r="A166" s="8">
        <v>7</v>
      </c>
      <c r="B166" s="10">
        <f t="shared" si="64"/>
        <v>1575</v>
      </c>
      <c r="C166" s="184">
        <f t="shared" si="65"/>
        <v>0.46666666666666667</v>
      </c>
      <c r="D166" s="315">
        <f t="shared" si="66"/>
        <v>921375000</v>
      </c>
      <c r="E166" s="316">
        <f t="shared" si="67"/>
        <v>815668349.57666492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2.75" customHeight="1">
      <c r="A167" s="8">
        <v>8</v>
      </c>
      <c r="B167" s="10">
        <f t="shared" si="64"/>
        <v>1800</v>
      </c>
      <c r="C167" s="184">
        <f t="shared" si="65"/>
        <v>0.53333333333333333</v>
      </c>
      <c r="D167" s="315">
        <f t="shared" si="66"/>
        <v>1053000000</v>
      </c>
      <c r="E167" s="316">
        <f t="shared" si="67"/>
        <v>860883077.01620662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2.75" customHeight="1">
      <c r="A168" s="8">
        <v>9</v>
      </c>
      <c r="B168" s="10">
        <f t="shared" si="64"/>
        <v>2025</v>
      </c>
      <c r="C168" s="184">
        <f t="shared" si="65"/>
        <v>0.6</v>
      </c>
      <c r="D168" s="315">
        <f t="shared" si="66"/>
        <v>1184625000</v>
      </c>
      <c r="E168" s="316">
        <f t="shared" si="67"/>
        <v>906097804.4557482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2.75" customHeight="1">
      <c r="A169" s="8">
        <v>10</v>
      </c>
      <c r="B169" s="10">
        <f t="shared" si="64"/>
        <v>2250</v>
      </c>
      <c r="C169" s="184">
        <f t="shared" si="65"/>
        <v>0.66666666666666663</v>
      </c>
      <c r="D169" s="315">
        <f t="shared" si="66"/>
        <v>1316250000</v>
      </c>
      <c r="E169" s="316">
        <f t="shared" si="67"/>
        <v>951312531.89528978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2.75" customHeight="1">
      <c r="A170" s="8">
        <v>11</v>
      </c>
      <c r="B170" s="10">
        <f t="shared" si="64"/>
        <v>2475</v>
      </c>
      <c r="C170" s="184">
        <f t="shared" si="65"/>
        <v>0.73333333333333328</v>
      </c>
      <c r="D170" s="315">
        <f t="shared" si="66"/>
        <v>1447875000</v>
      </c>
      <c r="E170" s="316">
        <f t="shared" si="67"/>
        <v>996527259.33483148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2.75" customHeight="1">
      <c r="A171" s="8">
        <v>12</v>
      </c>
      <c r="B171" s="10">
        <f t="shared" si="64"/>
        <v>2700</v>
      </c>
      <c r="C171" s="184">
        <f t="shared" si="65"/>
        <v>0.8</v>
      </c>
      <c r="D171" s="315">
        <f t="shared" si="66"/>
        <v>1579500000</v>
      </c>
      <c r="E171" s="316">
        <f t="shared" si="67"/>
        <v>1041741986.7743731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2.75" customHeight="1">
      <c r="A172" s="8">
        <v>13</v>
      </c>
      <c r="B172" s="10">
        <f t="shared" si="64"/>
        <v>2925</v>
      </c>
      <c r="C172" s="184">
        <f t="shared" si="65"/>
        <v>0.8666666666666667</v>
      </c>
      <c r="D172" s="315">
        <f t="shared" si="66"/>
        <v>1711125000</v>
      </c>
      <c r="E172" s="316">
        <f t="shared" si="67"/>
        <v>1086956714.2139146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2.75" customHeight="1">
      <c r="A173" s="8">
        <v>14</v>
      </c>
      <c r="B173" s="10">
        <f t="shared" si="64"/>
        <v>3150</v>
      </c>
      <c r="C173" s="184">
        <f t="shared" si="65"/>
        <v>0.93333333333333335</v>
      </c>
      <c r="D173" s="315">
        <f t="shared" si="66"/>
        <v>1842750000</v>
      </c>
      <c r="E173" s="316">
        <f t="shared" si="67"/>
        <v>1132171441.6534562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2.75" customHeight="1">
      <c r="A174" s="8">
        <v>15</v>
      </c>
      <c r="B174" s="10">
        <v>3375</v>
      </c>
      <c r="C174" s="184">
        <f t="shared" si="65"/>
        <v>1</v>
      </c>
      <c r="D174" s="315">
        <f t="shared" si="66"/>
        <v>1974375000</v>
      </c>
      <c r="E174" s="316">
        <f t="shared" si="67"/>
        <v>1177386169.0929978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2.75" customHeight="1">
      <c r="A175" s="317">
        <f>3375/15</f>
        <v>225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2.75" customHeight="1">
      <c r="A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.75" customHeight="1">
      <c r="A184" s="630" t="s">
        <v>430</v>
      </c>
      <c r="B184" s="543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2.75" customHeight="1">
      <c r="A185" s="310" t="s">
        <v>537</v>
      </c>
      <c r="B185" s="311">
        <f t="shared" ref="B185:B186" si="68">K91</f>
        <v>5000</v>
      </c>
      <c r="C185" s="312">
        <f>B185*K141</f>
        <v>1213.3395113063543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.75" customHeight="1">
      <c r="A186" s="310" t="s">
        <v>530</v>
      </c>
      <c r="B186" s="313">
        <f t="shared" si="68"/>
        <v>585000</v>
      </c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2.75" customHeight="1">
      <c r="A187" s="310" t="s">
        <v>531</v>
      </c>
      <c r="B187" s="313">
        <f>K135+K137+K139</f>
        <v>504666014.87643725</v>
      </c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2.75" customHeight="1">
      <c r="A188" s="310" t="s">
        <v>532</v>
      </c>
      <c r="B188" s="313">
        <f>(K134+K136+K138)/B185</f>
        <v>169068.58906862483</v>
      </c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2.75" customHeight="1">
      <c r="A189" s="194" t="s">
        <v>533</v>
      </c>
      <c r="B189" s="314">
        <f>K141</f>
        <v>0.24266790226127088</v>
      </c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2.75" customHeight="1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2.75" customHeight="1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2.75" customHeight="1">
      <c r="A192" s="7"/>
      <c r="B192" s="631"/>
      <c r="C192" s="613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2.75" customHeight="1">
      <c r="A195" s="8"/>
      <c r="B195" s="632" t="s">
        <v>430</v>
      </c>
      <c r="C195" s="540"/>
      <c r="D195" s="540"/>
      <c r="E195" s="543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2.75" customHeight="1">
      <c r="A196" s="8"/>
      <c r="B196" s="35" t="s">
        <v>534</v>
      </c>
      <c r="C196" s="35" t="s">
        <v>535</v>
      </c>
      <c r="D196" s="35" t="s">
        <v>179</v>
      </c>
      <c r="E196" s="35" t="s">
        <v>536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2.75" customHeight="1">
      <c r="A197" s="8"/>
      <c r="B197" s="10">
        <v>0</v>
      </c>
      <c r="C197" s="184">
        <f t="shared" ref="C197:C217" si="69">B197/$B$185</f>
        <v>0</v>
      </c>
      <c r="D197" s="315">
        <f>B197*$B$149</f>
        <v>0</v>
      </c>
      <c r="E197" s="316">
        <f t="shared" ref="E197:E217" si="70">$B$187+B197*$B$188</f>
        <v>504666014.87643725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2.75" customHeight="1">
      <c r="A198" s="8"/>
      <c r="B198" s="10">
        <v>250</v>
      </c>
      <c r="C198" s="184">
        <f t="shared" si="69"/>
        <v>0.05</v>
      </c>
      <c r="D198" s="315">
        <f t="shared" ref="D198:D217" si="71">B198*$B$186</f>
        <v>146250000</v>
      </c>
      <c r="E198" s="316">
        <f t="shared" si="70"/>
        <v>546933162.14359343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2.75" customHeight="1">
      <c r="A199" s="8"/>
      <c r="B199" s="10">
        <v>500</v>
      </c>
      <c r="C199" s="184">
        <f t="shared" si="69"/>
        <v>0.1</v>
      </c>
      <c r="D199" s="315">
        <f t="shared" si="71"/>
        <v>292500000</v>
      </c>
      <c r="E199" s="316">
        <f t="shared" si="70"/>
        <v>589200309.41074967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2.75" customHeight="1">
      <c r="A200" s="8"/>
      <c r="B200" s="10">
        <v>750</v>
      </c>
      <c r="C200" s="184">
        <f t="shared" si="69"/>
        <v>0.15</v>
      </c>
      <c r="D200" s="315">
        <f t="shared" si="71"/>
        <v>438750000</v>
      </c>
      <c r="E200" s="316">
        <f t="shared" si="70"/>
        <v>631467456.67790592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2.75" customHeight="1">
      <c r="A201" s="8"/>
      <c r="B201" s="10">
        <v>1000</v>
      </c>
      <c r="C201" s="184">
        <f t="shared" si="69"/>
        <v>0.2</v>
      </c>
      <c r="D201" s="315">
        <f t="shared" si="71"/>
        <v>585000000</v>
      </c>
      <c r="E201" s="316">
        <f t="shared" si="70"/>
        <v>673734603.94506204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2.75" customHeight="1">
      <c r="A202" s="8"/>
      <c r="B202" s="10">
        <v>1250</v>
      </c>
      <c r="C202" s="184">
        <f t="shared" si="69"/>
        <v>0.25</v>
      </c>
      <c r="D202" s="315">
        <f t="shared" si="71"/>
        <v>731250000</v>
      </c>
      <c r="E202" s="316">
        <f t="shared" si="70"/>
        <v>716001751.21221828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2.75" customHeight="1">
      <c r="A203" s="8"/>
      <c r="B203" s="10">
        <v>1500</v>
      </c>
      <c r="C203" s="184">
        <f t="shared" si="69"/>
        <v>0.3</v>
      </c>
      <c r="D203" s="315">
        <f t="shared" si="71"/>
        <v>877500000</v>
      </c>
      <c r="E203" s="316">
        <f t="shared" si="70"/>
        <v>758268898.47937453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2.75" customHeight="1">
      <c r="A204" s="8"/>
      <c r="B204" s="10">
        <v>1750</v>
      </c>
      <c r="C204" s="184">
        <f t="shared" si="69"/>
        <v>0.35</v>
      </c>
      <c r="D204" s="315">
        <f t="shared" si="71"/>
        <v>1023750000</v>
      </c>
      <c r="E204" s="316">
        <f t="shared" si="70"/>
        <v>800536045.74653077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2.75" customHeight="1">
      <c r="A205" s="8"/>
      <c r="B205" s="10">
        <v>2000</v>
      </c>
      <c r="C205" s="184">
        <f t="shared" si="69"/>
        <v>0.4</v>
      </c>
      <c r="D205" s="315">
        <f t="shared" si="71"/>
        <v>1170000000</v>
      </c>
      <c r="E205" s="316">
        <f t="shared" si="70"/>
        <v>842803193.0136869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2.75" customHeight="1">
      <c r="A206" s="8"/>
      <c r="B206" s="10">
        <v>2250</v>
      </c>
      <c r="C206" s="184">
        <f t="shared" si="69"/>
        <v>0.45</v>
      </c>
      <c r="D206" s="315">
        <f t="shared" si="71"/>
        <v>1316250000</v>
      </c>
      <c r="E206" s="316">
        <f t="shared" si="70"/>
        <v>885070340.28084314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2.75" customHeight="1">
      <c r="A207" s="8"/>
      <c r="B207" s="10">
        <v>2500</v>
      </c>
      <c r="C207" s="184">
        <f t="shared" si="69"/>
        <v>0.5</v>
      </c>
      <c r="D207" s="315">
        <f t="shared" si="71"/>
        <v>1462500000</v>
      </c>
      <c r="E207" s="316">
        <f t="shared" si="70"/>
        <v>927337487.54799938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2.75" customHeight="1">
      <c r="A208" s="8"/>
      <c r="B208" s="10">
        <v>2750</v>
      </c>
      <c r="C208" s="184">
        <f t="shared" si="69"/>
        <v>0.55000000000000004</v>
      </c>
      <c r="D208" s="315">
        <f t="shared" si="71"/>
        <v>1608750000</v>
      </c>
      <c r="E208" s="316">
        <f t="shared" si="70"/>
        <v>969604634.81515551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2.75" customHeight="1">
      <c r="A209" s="8"/>
      <c r="B209" s="10">
        <v>3000</v>
      </c>
      <c r="C209" s="184">
        <f t="shared" si="69"/>
        <v>0.6</v>
      </c>
      <c r="D209" s="315">
        <f t="shared" si="71"/>
        <v>1755000000</v>
      </c>
      <c r="E209" s="316">
        <f t="shared" si="70"/>
        <v>1011871782.0823117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2.75" customHeight="1">
      <c r="A210" s="8"/>
      <c r="B210" s="10">
        <v>3250</v>
      </c>
      <c r="C210" s="184">
        <f t="shared" si="69"/>
        <v>0.65</v>
      </c>
      <c r="D210" s="315">
        <f t="shared" si="71"/>
        <v>1901250000</v>
      </c>
      <c r="E210" s="316">
        <f t="shared" si="70"/>
        <v>1054138929.349468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2.75" customHeight="1">
      <c r="A211" s="8"/>
      <c r="B211" s="10">
        <v>3500</v>
      </c>
      <c r="C211" s="184">
        <f t="shared" si="69"/>
        <v>0.7</v>
      </c>
      <c r="D211" s="315">
        <f t="shared" si="71"/>
        <v>2047500000</v>
      </c>
      <c r="E211" s="316">
        <f t="shared" si="70"/>
        <v>1096406076.6166241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2.75" customHeight="1">
      <c r="A212" s="8"/>
      <c r="B212" s="10">
        <v>3750</v>
      </c>
      <c r="C212" s="184">
        <f t="shared" si="69"/>
        <v>0.75</v>
      </c>
      <c r="D212" s="315">
        <f t="shared" si="71"/>
        <v>2193750000</v>
      </c>
      <c r="E212" s="316">
        <f t="shared" si="70"/>
        <v>1138673223.8837805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2.75" customHeight="1">
      <c r="A213" s="8"/>
      <c r="B213" s="10">
        <v>4000</v>
      </c>
      <c r="C213" s="184">
        <f t="shared" si="69"/>
        <v>0.8</v>
      </c>
      <c r="D213" s="315">
        <f t="shared" si="71"/>
        <v>2340000000</v>
      </c>
      <c r="E213" s="316">
        <f t="shared" si="70"/>
        <v>1180940371.1509366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2.75" customHeight="1">
      <c r="A214" s="8"/>
      <c r="B214" s="10">
        <v>4250</v>
      </c>
      <c r="C214" s="184">
        <f t="shared" si="69"/>
        <v>0.85</v>
      </c>
      <c r="D214" s="315">
        <f t="shared" si="71"/>
        <v>2486250000</v>
      </c>
      <c r="E214" s="316">
        <f t="shared" si="70"/>
        <v>1223207518.4180927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2.75" customHeight="1">
      <c r="A215" s="8"/>
      <c r="B215" s="10">
        <v>4500</v>
      </c>
      <c r="C215" s="184">
        <f t="shared" si="69"/>
        <v>0.9</v>
      </c>
      <c r="D215" s="315">
        <f t="shared" si="71"/>
        <v>2632500000</v>
      </c>
      <c r="E215" s="316">
        <f t="shared" si="70"/>
        <v>1265474665.6852491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2.75" customHeight="1">
      <c r="A216" s="8"/>
      <c r="B216" s="10">
        <v>4750</v>
      </c>
      <c r="C216" s="184">
        <f t="shared" si="69"/>
        <v>0.95</v>
      </c>
      <c r="D216" s="315">
        <f t="shared" si="71"/>
        <v>2778750000</v>
      </c>
      <c r="E216" s="316">
        <f t="shared" si="70"/>
        <v>1307741812.9524052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2.75" customHeight="1">
      <c r="A217" s="8"/>
      <c r="B217" s="10">
        <v>5000</v>
      </c>
      <c r="C217" s="184">
        <f t="shared" si="69"/>
        <v>1</v>
      </c>
      <c r="D217" s="315">
        <f t="shared" si="71"/>
        <v>2925000000</v>
      </c>
      <c r="E217" s="316">
        <f t="shared" si="70"/>
        <v>1350008960.2195613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1:3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1:32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1:32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1:32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1:32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1:32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1:32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1:32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1:32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1:32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1:3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1:32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1:32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1:32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1:32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1:32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1:32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1:3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1:32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1:32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1:32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1:32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1:32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1:32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1:32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1:32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1:32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1:32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1:32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1:32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1:32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</sheetData>
  <mergeCells count="15">
    <mergeCell ref="O2:Q2"/>
    <mergeCell ref="B20:L20"/>
    <mergeCell ref="B21:K21"/>
    <mergeCell ref="B36:K36"/>
    <mergeCell ref="B51:K51"/>
    <mergeCell ref="A184:B184"/>
    <mergeCell ref="B192:C192"/>
    <mergeCell ref="B195:E195"/>
    <mergeCell ref="A1:K1"/>
    <mergeCell ref="B2:K2"/>
    <mergeCell ref="B70:K70"/>
    <mergeCell ref="A89:K89"/>
    <mergeCell ref="A147:B147"/>
    <mergeCell ref="B155:C155"/>
    <mergeCell ref="B157:E157"/>
  </mergeCells>
  <hyperlinks>
    <hyperlink ref="P4" r:id="rId1" location=":~:text=ART%C3%8DCULO%205.,asciende%20a%2095%2C624%20%24%2FkWh." xr:uid="{00000000-0004-0000-1100-000000000000}"/>
    <hyperlink ref="P31" r:id="rId2" xr:uid="{00000000-0004-0000-1100-000001000000}"/>
    <hyperlink ref="Q31" r:id="rId3" xr:uid="{00000000-0004-0000-1100-000002000000}"/>
  </hyperlinks>
  <pageMargins left="0.7" right="0.7" top="0.75" bottom="0.75" header="0" footer="0"/>
  <pageSetup orientation="landscape"/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sqref="A1:L1"/>
    </sheetView>
  </sheetViews>
  <sheetFormatPr baseColWidth="10" defaultColWidth="12.5703125" defaultRowHeight="15" customHeight="1"/>
  <cols>
    <col min="1" max="1" width="45.5703125" customWidth="1"/>
    <col min="2" max="2" width="17.28515625" customWidth="1"/>
    <col min="3" max="3" width="18.140625" customWidth="1"/>
    <col min="4" max="12" width="17.5703125" customWidth="1"/>
    <col min="13" max="13" width="18.42578125" customWidth="1"/>
    <col min="14" max="26" width="10" customWidth="1"/>
  </cols>
  <sheetData>
    <row r="1" spans="1:26" ht="16.5" customHeight="1">
      <c r="A1" s="633" t="s">
        <v>538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>
      <c r="A2" s="245" t="s">
        <v>421</v>
      </c>
      <c r="B2" s="196" t="s">
        <v>297</v>
      </c>
      <c r="C2" s="196" t="s">
        <v>112</v>
      </c>
      <c r="D2" s="196" t="s">
        <v>422</v>
      </c>
      <c r="E2" s="196" t="s">
        <v>423</v>
      </c>
      <c r="F2" s="196" t="s">
        <v>424</v>
      </c>
      <c r="G2" s="196" t="s">
        <v>425</v>
      </c>
      <c r="H2" s="196" t="s">
        <v>426</v>
      </c>
      <c r="I2" s="196" t="s">
        <v>427</v>
      </c>
      <c r="J2" s="196" t="s">
        <v>428</v>
      </c>
      <c r="K2" s="196" t="s">
        <v>429</v>
      </c>
      <c r="L2" s="197" t="s">
        <v>430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318" t="s">
        <v>539</v>
      </c>
      <c r="B3" s="288">
        <f t="shared" ref="B3:L3" si="0">B4+B5</f>
        <v>39487500</v>
      </c>
      <c r="C3" s="288">
        <f t="shared" si="0"/>
        <v>220777397.26027396</v>
      </c>
      <c r="D3" s="288">
        <f t="shared" si="0"/>
        <v>298910958.9041096</v>
      </c>
      <c r="E3" s="288">
        <f t="shared" si="0"/>
        <v>298910958.9041096</v>
      </c>
      <c r="F3" s="288">
        <f t="shared" si="0"/>
        <v>298910958.9041096</v>
      </c>
      <c r="G3" s="288">
        <f t="shared" si="0"/>
        <v>298910958.9041096</v>
      </c>
      <c r="H3" s="288">
        <f t="shared" si="0"/>
        <v>298910958.9041096</v>
      </c>
      <c r="I3" s="288">
        <f t="shared" si="0"/>
        <v>298910958.9041096</v>
      </c>
      <c r="J3" s="288">
        <f t="shared" si="0"/>
        <v>298910958.9041096</v>
      </c>
      <c r="K3" s="288">
        <f t="shared" si="0"/>
        <v>298910958.9041096</v>
      </c>
      <c r="L3" s="289">
        <f t="shared" si="0"/>
        <v>298910958.9041096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318" t="s">
        <v>540</v>
      </c>
      <c r="B4" s="228">
        <f>'DE-Costos'!B94*0.02</f>
        <v>39487500</v>
      </c>
      <c r="C4" s="228">
        <f>'DE-Costos'!$C$94*0.02</f>
        <v>58500000</v>
      </c>
      <c r="D4" s="228">
        <f>'DE-Costos'!$C$94*0.02</f>
        <v>58500000</v>
      </c>
      <c r="E4" s="228">
        <f>'DE-Costos'!$C$94*0.02</f>
        <v>58500000</v>
      </c>
      <c r="F4" s="228">
        <f>'DE-Costos'!$C$94*0.02</f>
        <v>58500000</v>
      </c>
      <c r="G4" s="228">
        <f>'DE-Costos'!$C$94*0.02</f>
        <v>58500000</v>
      </c>
      <c r="H4" s="228">
        <f>'DE-Costos'!$C$94*0.02</f>
        <v>58500000</v>
      </c>
      <c r="I4" s="228">
        <f>'DE-Costos'!$C$94*0.02</f>
        <v>58500000</v>
      </c>
      <c r="J4" s="228">
        <f>'DE-Costos'!$C$94*0.02</f>
        <v>58500000</v>
      </c>
      <c r="K4" s="228">
        <f>'DE-Costos'!$C$94*0.02</f>
        <v>58500000</v>
      </c>
      <c r="L4" s="247">
        <f>'DE-Costos'!$C$94*0.02</f>
        <v>58500000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318" t="s">
        <v>541</v>
      </c>
      <c r="B5" s="228">
        <v>0</v>
      </c>
      <c r="C5" s="228">
        <f>'DE-Costos'!B94*(30/365)</f>
        <v>162277397.26027396</v>
      </c>
      <c r="D5" s="228">
        <f>'DE-Costos'!C94*(30/365)</f>
        <v>240410958.90410957</v>
      </c>
      <c r="E5" s="228">
        <f>'DE-Costos'!D94*(30/365)</f>
        <v>240410958.90410957</v>
      </c>
      <c r="F5" s="228">
        <f>'DE-Costos'!E94*(30/365)</f>
        <v>240410958.90410957</v>
      </c>
      <c r="G5" s="228">
        <f>'DE-Costos'!F94*(30/365)</f>
        <v>240410958.90410957</v>
      </c>
      <c r="H5" s="228">
        <f>'DE-Costos'!G94*(30/365)</f>
        <v>240410958.90410957</v>
      </c>
      <c r="I5" s="228">
        <f>'DE-Costos'!H94*(30/365)</f>
        <v>240410958.90410957</v>
      </c>
      <c r="J5" s="228">
        <f>'DE-Costos'!I94*(30/365)</f>
        <v>240410958.90410957</v>
      </c>
      <c r="K5" s="228">
        <f>'DE-Costos'!J94*(30/365)</f>
        <v>240410958.90410957</v>
      </c>
      <c r="L5" s="247">
        <f>'DE-Costos'!K94*(30/365)</f>
        <v>240410958.90410957</v>
      </c>
      <c r="M5" s="7" t="s">
        <v>542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319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4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318" t="s">
        <v>543</v>
      </c>
      <c r="B7" s="254">
        <f t="shared" ref="B7:L7" si="1">SUM(B8:B11)</f>
        <v>197735524.10647607</v>
      </c>
      <c r="C7" s="254">
        <f t="shared" si="1"/>
        <v>696359511.90150857</v>
      </c>
      <c r="D7" s="254">
        <f t="shared" si="1"/>
        <v>841080520.64672887</v>
      </c>
      <c r="E7" s="254">
        <f t="shared" si="1"/>
        <v>840626295.95194983</v>
      </c>
      <c r="F7" s="254">
        <f t="shared" si="1"/>
        <v>840626295.95194983</v>
      </c>
      <c r="G7" s="254">
        <f t="shared" si="1"/>
        <v>840626295.95194983</v>
      </c>
      <c r="H7" s="254">
        <f t="shared" si="1"/>
        <v>840626295.95194983</v>
      </c>
      <c r="I7" s="254">
        <f t="shared" si="1"/>
        <v>840626295.95194983</v>
      </c>
      <c r="J7" s="254">
        <f t="shared" si="1"/>
        <v>840626295.95194983</v>
      </c>
      <c r="K7" s="254">
        <f t="shared" si="1"/>
        <v>840626295.95194983</v>
      </c>
      <c r="L7" s="255">
        <f t="shared" si="1"/>
        <v>840626295.95194983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319" t="s">
        <v>544</v>
      </c>
      <c r="B8" s="228">
        <f>'Materia Prima'!D14</f>
        <v>155832187.50000003</v>
      </c>
      <c r="C8" s="228">
        <f>'Materia Prima'!C10</f>
        <v>435476250.00000012</v>
      </c>
      <c r="D8" s="228">
        <f>'Materia Prima'!$C$11</f>
        <v>580635000.00000012</v>
      </c>
      <c r="E8" s="228">
        <f>'Materia Prima'!$C$11</f>
        <v>580635000.00000012</v>
      </c>
      <c r="F8" s="228">
        <f>'Materia Prima'!$C$11</f>
        <v>580635000.00000012</v>
      </c>
      <c r="G8" s="228">
        <f>'Materia Prima'!$C$11</f>
        <v>580635000.00000012</v>
      </c>
      <c r="H8" s="228">
        <f>'Materia Prima'!$C$11</f>
        <v>580635000.00000012</v>
      </c>
      <c r="I8" s="228">
        <f>'Materia Prima'!$C$11</f>
        <v>580635000.00000012</v>
      </c>
      <c r="J8" s="228">
        <f>'Materia Prima'!$C$11</f>
        <v>580635000.00000012</v>
      </c>
      <c r="K8" s="228">
        <f>'Materia Prima'!$C$11</f>
        <v>580635000.00000012</v>
      </c>
      <c r="L8" s="228">
        <f>'Materia Prima'!$C$11</f>
        <v>580635000.00000012</v>
      </c>
      <c r="M8" s="1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319" t="s">
        <v>545</v>
      </c>
      <c r="B9" s="228">
        <f>9/12*C9</f>
        <v>41903336.606476039</v>
      </c>
      <c r="C9" s="228">
        <f>'DE-Costos'!B9+'DE-Costos'!B54+'DE-Costos'!B73</f>
        <v>55871115.475301385</v>
      </c>
      <c r="D9" s="228">
        <f>'DE-Costos'!C9+'DE-Costos'!C54+'DE-Costos'!C73</f>
        <v>58340899.225301385</v>
      </c>
      <c r="E9" s="228">
        <f>'DE-Costos'!D9+'DE-Costos'!D54+'DE-Costos'!D73</f>
        <v>58340899.225301385</v>
      </c>
      <c r="F9" s="228">
        <f>'DE-Costos'!E9+'DE-Costos'!E54+'DE-Costos'!E73</f>
        <v>58340899.225301385</v>
      </c>
      <c r="G9" s="228">
        <f>'DE-Costos'!F9+'DE-Costos'!F54+'DE-Costos'!F73</f>
        <v>58340899.225301385</v>
      </c>
      <c r="H9" s="228">
        <f>'DE-Costos'!G9+'DE-Costos'!G54+'DE-Costos'!G73</f>
        <v>58340899.225301385</v>
      </c>
      <c r="I9" s="228">
        <f>'DE-Costos'!H9+'DE-Costos'!H54+'DE-Costos'!H73</f>
        <v>58340899.225301385</v>
      </c>
      <c r="J9" s="228">
        <f>'DE-Costos'!I9+'DE-Costos'!I54+'DE-Costos'!I73</f>
        <v>58340899.225301385</v>
      </c>
      <c r="K9" s="228">
        <f>'DE-Costos'!J9+'DE-Costos'!J54+'DE-Costos'!J73</f>
        <v>58340899.225301385</v>
      </c>
      <c r="L9" s="247">
        <f>'DE-Costos'!K9+'DE-Costos'!K54+'DE-Costos'!K73</f>
        <v>58340899.225301385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319" t="s">
        <v>546</v>
      </c>
      <c r="B10" s="228">
        <v>0</v>
      </c>
      <c r="C10" s="228">
        <f>'DE-Costos'!B34</f>
        <v>56783183.023898043</v>
      </c>
      <c r="D10" s="228">
        <f>'DE-Costos'!C34</f>
        <v>53149385.465665951</v>
      </c>
      <c r="E10" s="228">
        <f>'DE-Costos'!D34</f>
        <v>53149385.465665951</v>
      </c>
      <c r="F10" s="228">
        <f>'DE-Costos'!E34</f>
        <v>53149385.465665951</v>
      </c>
      <c r="G10" s="228">
        <f>'DE-Costos'!F34</f>
        <v>53149385.465665951</v>
      </c>
      <c r="H10" s="228">
        <f>'DE-Costos'!G34</f>
        <v>53149385.465665951</v>
      </c>
      <c r="I10" s="228">
        <f>'DE-Costos'!H34</f>
        <v>53149385.465665951</v>
      </c>
      <c r="J10" s="228">
        <f>'DE-Costos'!I34</f>
        <v>53149385.465665951</v>
      </c>
      <c r="K10" s="228">
        <f>'DE-Costos'!J34</f>
        <v>53149385.465665951</v>
      </c>
      <c r="L10" s="247">
        <f>'DE-Costos'!K34</f>
        <v>53149385.465665951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20" t="s">
        <v>547</v>
      </c>
      <c r="B11" s="228">
        <v>0</v>
      </c>
      <c r="C11" s="253">
        <f>B11+'DE-Costos'!B111</f>
        <v>148228963.402309</v>
      </c>
      <c r="D11" s="253">
        <f>C11+'DE-Costos'!C111</f>
        <v>148955235.9557614</v>
      </c>
      <c r="E11" s="253">
        <f>D11+'DE-Costos'!D111</f>
        <v>148501011.26098239</v>
      </c>
      <c r="F11" s="253">
        <f>E11+'DE-Costos'!E111</f>
        <v>148501011.26098239</v>
      </c>
      <c r="G11" s="253">
        <f>F11+'DE-Costos'!F111</f>
        <v>148501011.26098239</v>
      </c>
      <c r="H11" s="253">
        <f>G11+'DE-Costos'!G111</f>
        <v>148501011.26098239</v>
      </c>
      <c r="I11" s="253">
        <f>H11+'DE-Costos'!H111</f>
        <v>148501011.26098239</v>
      </c>
      <c r="J11" s="253">
        <f>I11+'DE-Costos'!I111</f>
        <v>148501011.26098239</v>
      </c>
      <c r="K11" s="253">
        <f>J11+'DE-Costos'!J111</f>
        <v>148501011.26098239</v>
      </c>
      <c r="L11" s="247">
        <f>K11+'DE-Costos'!K111</f>
        <v>148501011.26098239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19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47"/>
      <c r="M12" s="1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318" t="s">
        <v>548</v>
      </c>
      <c r="B13" s="254">
        <f t="shared" ref="B13:L13" si="2">B3+B7</f>
        <v>237223024.10647607</v>
      </c>
      <c r="C13" s="254">
        <f t="shared" si="2"/>
        <v>917136909.1617825</v>
      </c>
      <c r="D13" s="254">
        <f t="shared" si="2"/>
        <v>1139991479.5508385</v>
      </c>
      <c r="E13" s="254">
        <f t="shared" si="2"/>
        <v>1139537254.8560596</v>
      </c>
      <c r="F13" s="254">
        <f t="shared" si="2"/>
        <v>1139537254.8560596</v>
      </c>
      <c r="G13" s="254">
        <f t="shared" si="2"/>
        <v>1139537254.8560596</v>
      </c>
      <c r="H13" s="254">
        <f t="shared" si="2"/>
        <v>1139537254.8560596</v>
      </c>
      <c r="I13" s="254">
        <f t="shared" si="2"/>
        <v>1139537254.8560596</v>
      </c>
      <c r="J13" s="254">
        <f t="shared" si="2"/>
        <v>1139537254.8560596</v>
      </c>
      <c r="K13" s="254">
        <f t="shared" si="2"/>
        <v>1139537254.8560596</v>
      </c>
      <c r="L13" s="255">
        <f t="shared" si="2"/>
        <v>1139537254.8560596</v>
      </c>
      <c r="M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318" t="s">
        <v>549</v>
      </c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4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319" t="s">
        <v>550</v>
      </c>
      <c r="B15" s="228">
        <v>0</v>
      </c>
      <c r="C15" s="228">
        <f>'DE-Costos'!B26</f>
        <v>8979537.7084611189</v>
      </c>
      <c r="D15" s="228">
        <f>'DE-Costos'!C26</f>
        <v>7183630.1667688955</v>
      </c>
      <c r="E15" s="228">
        <f>'DE-Costos'!D26</f>
        <v>7183630.1667688955</v>
      </c>
      <c r="F15" s="228">
        <f>'DE-Costos'!E26</f>
        <v>7183630.1667688955</v>
      </c>
      <c r="G15" s="228">
        <f>'DE-Costos'!F26</f>
        <v>7183630.1667688955</v>
      </c>
      <c r="H15" s="228">
        <f>'DE-Costos'!G26</f>
        <v>7183630.1667688955</v>
      </c>
      <c r="I15" s="228">
        <f>'DE-Costos'!H26</f>
        <v>7183630.1667688955</v>
      </c>
      <c r="J15" s="228">
        <f>'DE-Costos'!I26</f>
        <v>7183630.1667688955</v>
      </c>
      <c r="K15" s="228">
        <f>'DE-Costos'!J26</f>
        <v>7183630.1667688955</v>
      </c>
      <c r="L15" s="247">
        <f>'DE-Costos'!K26</f>
        <v>7183630.1667688955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320" t="s">
        <v>551</v>
      </c>
      <c r="B16" s="228">
        <v>0</v>
      </c>
      <c r="C16" s="296">
        <f>('DE-Costos'!B7-'DE-Costos'!B26)/'Ejercicio 11'!$D$5*'Ejercicio 11'!$D4</f>
        <v>23686050.685133524</v>
      </c>
      <c r="D16" s="228">
        <f>('DE-Costos'!C7-'DE-Costos'!C26)/'Ejercicio 11'!$E$5*'Ejercicio 11'!$E$4</f>
        <v>19173328.990818344</v>
      </c>
      <c r="E16" s="228">
        <f>('DE-Costos'!D7-'DE-Costos'!D26)/'Ejercicio 11'!$E$5*'Ejercicio 11'!$E$4</f>
        <v>19173328.990818344</v>
      </c>
      <c r="F16" s="228">
        <f>('DE-Costos'!E7-'DE-Costos'!E26)/'Ejercicio 11'!$E$5*'Ejercicio 11'!$E$4</f>
        <v>19173328.990818344</v>
      </c>
      <c r="G16" s="228">
        <f>('DE-Costos'!F7-'DE-Costos'!F26)/'Ejercicio 11'!$E$5*'Ejercicio 11'!$E$4</f>
        <v>19173328.990818344</v>
      </c>
      <c r="H16" s="228">
        <f>('DE-Costos'!G7-'DE-Costos'!G26)/'Ejercicio 11'!$E$5*'Ejercicio 11'!$E$4</f>
        <v>19173328.990818344</v>
      </c>
      <c r="I16" s="228">
        <f>('DE-Costos'!H7-'DE-Costos'!H26)/'Ejercicio 11'!$E$5*'Ejercicio 11'!$E$4</f>
        <v>19173328.990818344</v>
      </c>
      <c r="J16" s="228">
        <f>('DE-Costos'!I7-'DE-Costos'!I26)/'Ejercicio 11'!$E$5*'Ejercicio 11'!$E$4</f>
        <v>19173328.990818344</v>
      </c>
      <c r="K16" s="228">
        <f>('DE-Costos'!J7-'DE-Costos'!J26)/'Ejercicio 11'!$E$5*'Ejercicio 11'!$E$4</f>
        <v>19173328.990818344</v>
      </c>
      <c r="L16" s="247">
        <f>('DE-Costos'!K7-'DE-Costos'!K26)/'Ejercicio 11'!$E$5*'Ejercicio 11'!$E$4</f>
        <v>19173328.990818344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319" t="s">
        <v>552</v>
      </c>
      <c r="B17" s="228">
        <v>0</v>
      </c>
      <c r="C17" s="228">
        <f>C5*'DE-Costos'!B127</f>
        <v>54062426.537448399</v>
      </c>
      <c r="D17" s="228">
        <f>D5*'DE-Costos'!C127</f>
        <v>83988023.392124236</v>
      </c>
      <c r="E17" s="228">
        <f>E5*'DE-Costos'!D127</f>
        <v>84119090.121014684</v>
      </c>
      <c r="F17" s="228">
        <f>F5*'DE-Costos'!E127</f>
        <v>84143356.919776842</v>
      </c>
      <c r="G17" s="228">
        <f>G5*'DE-Costos'!F127</f>
        <v>84143356.919776842</v>
      </c>
      <c r="H17" s="228">
        <f>H5*'DE-Costos'!G127</f>
        <v>84143356.919776842</v>
      </c>
      <c r="I17" s="228">
        <f>I5*'DE-Costos'!H127</f>
        <v>84143356.919776842</v>
      </c>
      <c r="J17" s="228">
        <f>J5*'DE-Costos'!I127</f>
        <v>84143356.919776842</v>
      </c>
      <c r="K17" s="228">
        <f>K5*'DE-Costos'!J127</f>
        <v>84143356.919776842</v>
      </c>
      <c r="L17" s="247">
        <f>L5*'DE-Costos'!K127</f>
        <v>84143356.919776842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320" t="s">
        <v>553</v>
      </c>
      <c r="B18" s="228">
        <v>0</v>
      </c>
      <c r="C18" s="296">
        <f>('DE-Inv AF y Am'!D55-C15-C16)/365/30</f>
        <v>13310.119993818416</v>
      </c>
      <c r="D18" s="228">
        <f t="shared" ref="D18:E18" si="3">C18</f>
        <v>13310.119993818416</v>
      </c>
      <c r="E18" s="228">
        <f t="shared" si="3"/>
        <v>13310.119993818416</v>
      </c>
      <c r="F18" s="296">
        <f>('DE-Inv AF y Am'!E55-D15-D16)/365/30</f>
        <v>13886.250517654704</v>
      </c>
      <c r="G18" s="296">
        <f>F18</f>
        <v>13886.250517654704</v>
      </c>
      <c r="H18" s="228">
        <f>('DE-Inv AF y Am'!F55-E15-E16)/365/30</f>
        <v>-1623.3524344828527</v>
      </c>
      <c r="I18" s="228">
        <f t="shared" ref="I18:L18" si="4">H18</f>
        <v>-1623.3524344828527</v>
      </c>
      <c r="J18" s="228">
        <f t="shared" si="4"/>
        <v>-1623.3524344828527</v>
      </c>
      <c r="K18" s="228">
        <f t="shared" si="4"/>
        <v>-1623.3524344828527</v>
      </c>
      <c r="L18" s="247">
        <f t="shared" si="4"/>
        <v>-1623.3524344828527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319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47"/>
      <c r="M19" s="1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318" t="s">
        <v>554</v>
      </c>
      <c r="B20" s="254">
        <f t="shared" ref="B20:L20" si="5">B13-SUM(B15:B18)</f>
        <v>237223024.10647607</v>
      </c>
      <c r="C20" s="254">
        <f t="shared" si="5"/>
        <v>830395584.11074567</v>
      </c>
      <c r="D20" s="254">
        <f t="shared" si="5"/>
        <v>1029633186.8811332</v>
      </c>
      <c r="E20" s="254">
        <f t="shared" si="5"/>
        <v>1029047895.4574639</v>
      </c>
      <c r="F20" s="254">
        <f t="shared" si="5"/>
        <v>1029023052.5281779</v>
      </c>
      <c r="G20" s="254">
        <f t="shared" si="5"/>
        <v>1029023052.5281779</v>
      </c>
      <c r="H20" s="254">
        <f t="shared" si="5"/>
        <v>1029038562.13113</v>
      </c>
      <c r="I20" s="254">
        <f t="shared" si="5"/>
        <v>1029038562.13113</v>
      </c>
      <c r="J20" s="254">
        <f t="shared" si="5"/>
        <v>1029038562.13113</v>
      </c>
      <c r="K20" s="254">
        <f t="shared" si="5"/>
        <v>1029038562.13113</v>
      </c>
      <c r="L20" s="255">
        <f t="shared" si="5"/>
        <v>1029038562.13113</v>
      </c>
      <c r="M20" s="321">
        <f>'DE-Cal Inv.'!N16</f>
        <v>1029038562.1311297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319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4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318" t="s">
        <v>555</v>
      </c>
      <c r="B22" s="228">
        <f>B13</f>
        <v>237223024.10647607</v>
      </c>
      <c r="C22" s="228">
        <f t="shared" ref="C22:L22" si="6">C13-B13</f>
        <v>679913885.05530643</v>
      </c>
      <c r="D22" s="228">
        <f t="shared" si="6"/>
        <v>222854570.38905597</v>
      </c>
      <c r="E22" s="228">
        <f t="shared" si="6"/>
        <v>-454224.69477891922</v>
      </c>
      <c r="F22" s="228">
        <f t="shared" si="6"/>
        <v>0</v>
      </c>
      <c r="G22" s="228">
        <f t="shared" si="6"/>
        <v>0</v>
      </c>
      <c r="H22" s="228">
        <f t="shared" si="6"/>
        <v>0</v>
      </c>
      <c r="I22" s="228">
        <f t="shared" si="6"/>
        <v>0</v>
      </c>
      <c r="J22" s="228">
        <f t="shared" si="6"/>
        <v>0</v>
      </c>
      <c r="K22" s="228">
        <f t="shared" si="6"/>
        <v>0</v>
      </c>
      <c r="L22" s="228">
        <f t="shared" si="6"/>
        <v>0</v>
      </c>
      <c r="M22" s="1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318" t="s">
        <v>556</v>
      </c>
      <c r="B23" s="253">
        <f>B20</f>
        <v>237223024.10647607</v>
      </c>
      <c r="C23" s="253">
        <f t="shared" ref="C23:L23" si="7">C20-B20</f>
        <v>593172560.0042696</v>
      </c>
      <c r="D23" s="253">
        <f t="shared" si="7"/>
        <v>199237602.77038753</v>
      </c>
      <c r="E23" s="253">
        <f t="shared" si="7"/>
        <v>-585291.42366933823</v>
      </c>
      <c r="F23" s="253">
        <f t="shared" si="7"/>
        <v>-24842.929286003113</v>
      </c>
      <c r="G23" s="253">
        <f t="shared" si="7"/>
        <v>0</v>
      </c>
      <c r="H23" s="253">
        <f t="shared" si="7"/>
        <v>15509.602952122688</v>
      </c>
      <c r="I23" s="253">
        <f t="shared" si="7"/>
        <v>0</v>
      </c>
      <c r="J23" s="228">
        <f t="shared" si="7"/>
        <v>0</v>
      </c>
      <c r="K23" s="228">
        <f t="shared" si="7"/>
        <v>0</v>
      </c>
      <c r="L23" s="247">
        <f t="shared" si="7"/>
        <v>0</v>
      </c>
      <c r="M23" s="1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319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47"/>
      <c r="M24" s="1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318" t="s">
        <v>557</v>
      </c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47"/>
      <c r="M25" s="1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319" t="s">
        <v>558</v>
      </c>
      <c r="B26" s="228">
        <f t="shared" ref="B26:L26" si="8">B5*0.21</f>
        <v>0</v>
      </c>
      <c r="C26" s="228">
        <f t="shared" si="8"/>
        <v>34078253.424657531</v>
      </c>
      <c r="D26" s="228">
        <f t="shared" si="8"/>
        <v>50486301.369863011</v>
      </c>
      <c r="E26" s="228">
        <f t="shared" si="8"/>
        <v>50486301.369863011</v>
      </c>
      <c r="F26" s="228">
        <f t="shared" si="8"/>
        <v>50486301.369863011</v>
      </c>
      <c r="G26" s="228">
        <f t="shared" si="8"/>
        <v>50486301.369863011</v>
      </c>
      <c r="H26" s="228">
        <f t="shared" si="8"/>
        <v>50486301.369863011</v>
      </c>
      <c r="I26" s="228">
        <f t="shared" si="8"/>
        <v>50486301.369863011</v>
      </c>
      <c r="J26" s="228">
        <f t="shared" si="8"/>
        <v>50486301.369863011</v>
      </c>
      <c r="K26" s="228">
        <f t="shared" si="8"/>
        <v>50486301.369863011</v>
      </c>
      <c r="L26" s="247">
        <f t="shared" si="8"/>
        <v>50486301.369863011</v>
      </c>
      <c r="M26" s="1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319" t="s">
        <v>559</v>
      </c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4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319" t="s">
        <v>560</v>
      </c>
      <c r="B28" s="253">
        <f t="shared" ref="B28:L28" si="9">B8*0.21</f>
        <v>32724759.375000004</v>
      </c>
      <c r="C28" s="253">
        <f t="shared" si="9"/>
        <v>91450012.500000015</v>
      </c>
      <c r="D28" s="253">
        <f t="shared" si="9"/>
        <v>121933350.00000001</v>
      </c>
      <c r="E28" s="253">
        <f t="shared" si="9"/>
        <v>121933350.00000001</v>
      </c>
      <c r="F28" s="253">
        <f t="shared" si="9"/>
        <v>121933350.00000001</v>
      </c>
      <c r="G28" s="253">
        <f t="shared" si="9"/>
        <v>121933350.00000001</v>
      </c>
      <c r="H28" s="253">
        <f t="shared" si="9"/>
        <v>121933350.00000001</v>
      </c>
      <c r="I28" s="253">
        <f t="shared" si="9"/>
        <v>121933350.00000001</v>
      </c>
      <c r="J28" s="253">
        <f t="shared" si="9"/>
        <v>121933350.00000001</v>
      </c>
      <c r="K28" s="253">
        <f t="shared" si="9"/>
        <v>121933350.00000001</v>
      </c>
      <c r="L28" s="247">
        <f t="shared" si="9"/>
        <v>121933350.00000001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319" t="s">
        <v>561</v>
      </c>
      <c r="B29" s="228">
        <f t="shared" ref="B29:L29" si="10">B9*0.21</f>
        <v>8799700.6873599682</v>
      </c>
      <c r="C29" s="228">
        <f t="shared" si="10"/>
        <v>11732934.24981329</v>
      </c>
      <c r="D29" s="228">
        <f t="shared" si="10"/>
        <v>12251588.837313291</v>
      </c>
      <c r="E29" s="228">
        <f t="shared" si="10"/>
        <v>12251588.837313291</v>
      </c>
      <c r="F29" s="228">
        <f t="shared" si="10"/>
        <v>12251588.837313291</v>
      </c>
      <c r="G29" s="228">
        <f t="shared" si="10"/>
        <v>12251588.837313291</v>
      </c>
      <c r="H29" s="228">
        <f t="shared" si="10"/>
        <v>12251588.837313291</v>
      </c>
      <c r="I29" s="228">
        <f t="shared" si="10"/>
        <v>12251588.837313291</v>
      </c>
      <c r="J29" s="228">
        <f t="shared" si="10"/>
        <v>12251588.837313291</v>
      </c>
      <c r="K29" s="228">
        <f t="shared" si="10"/>
        <v>12251588.837313291</v>
      </c>
      <c r="L29" s="247">
        <f t="shared" si="10"/>
        <v>12251588.837313291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319" t="s">
        <v>562</v>
      </c>
      <c r="B30" s="228">
        <f t="shared" ref="B30:L30" si="11">B10*0.21</f>
        <v>0</v>
      </c>
      <c r="C30" s="228">
        <f t="shared" si="11"/>
        <v>11924468.435018588</v>
      </c>
      <c r="D30" s="228">
        <f t="shared" si="11"/>
        <v>11161370.94778985</v>
      </c>
      <c r="E30" s="228">
        <f t="shared" si="11"/>
        <v>11161370.94778985</v>
      </c>
      <c r="F30" s="228">
        <f t="shared" si="11"/>
        <v>11161370.94778985</v>
      </c>
      <c r="G30" s="228">
        <f t="shared" si="11"/>
        <v>11161370.94778985</v>
      </c>
      <c r="H30" s="228">
        <f t="shared" si="11"/>
        <v>11161370.94778985</v>
      </c>
      <c r="I30" s="228">
        <f t="shared" si="11"/>
        <v>11161370.94778985</v>
      </c>
      <c r="J30" s="228">
        <f t="shared" si="11"/>
        <v>11161370.94778985</v>
      </c>
      <c r="K30" s="228">
        <f t="shared" si="11"/>
        <v>11161370.94778985</v>
      </c>
      <c r="L30" s="247">
        <f t="shared" si="11"/>
        <v>11161370.94778985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319" t="s">
        <v>563</v>
      </c>
      <c r="B31" s="228">
        <f t="shared" ref="B31:L31" si="12">B11*0.21</f>
        <v>0</v>
      </c>
      <c r="C31" s="228">
        <f t="shared" si="12"/>
        <v>31128082.314484891</v>
      </c>
      <c r="D31" s="228">
        <f t="shared" si="12"/>
        <v>31280599.550709892</v>
      </c>
      <c r="E31" s="228">
        <f t="shared" si="12"/>
        <v>31185212.364806302</v>
      </c>
      <c r="F31" s="228">
        <f t="shared" si="12"/>
        <v>31185212.364806302</v>
      </c>
      <c r="G31" s="228">
        <f t="shared" si="12"/>
        <v>31185212.364806302</v>
      </c>
      <c r="H31" s="228">
        <f t="shared" si="12"/>
        <v>31185212.364806302</v>
      </c>
      <c r="I31" s="228">
        <f t="shared" si="12"/>
        <v>31185212.364806302</v>
      </c>
      <c r="J31" s="228">
        <f t="shared" si="12"/>
        <v>31185212.364806302</v>
      </c>
      <c r="K31" s="228">
        <f t="shared" si="12"/>
        <v>31185212.364806302</v>
      </c>
      <c r="L31" s="247">
        <f t="shared" si="12"/>
        <v>31185212.364806302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318" t="s">
        <v>564</v>
      </c>
      <c r="B32" s="228">
        <f t="shared" ref="B32:L32" si="13">SUM(B26:B31)</f>
        <v>41524460.062359974</v>
      </c>
      <c r="C32" s="228">
        <f t="shared" si="13"/>
        <v>180313750.92397434</v>
      </c>
      <c r="D32" s="228">
        <f t="shared" si="13"/>
        <v>227113210.70567608</v>
      </c>
      <c r="E32" s="228">
        <f t="shared" si="13"/>
        <v>227017823.51977247</v>
      </c>
      <c r="F32" s="228">
        <f t="shared" si="13"/>
        <v>227017823.51977247</v>
      </c>
      <c r="G32" s="228">
        <f t="shared" si="13"/>
        <v>227017823.51977247</v>
      </c>
      <c r="H32" s="228">
        <f t="shared" si="13"/>
        <v>227017823.51977247</v>
      </c>
      <c r="I32" s="228">
        <f t="shared" si="13"/>
        <v>227017823.51977247</v>
      </c>
      <c r="J32" s="228">
        <f t="shared" si="13"/>
        <v>227017823.51977247</v>
      </c>
      <c r="K32" s="228">
        <f t="shared" si="13"/>
        <v>227017823.51977247</v>
      </c>
      <c r="L32" s="247">
        <f t="shared" si="13"/>
        <v>227017823.51977247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319"/>
      <c r="B33" s="257"/>
      <c r="C33" s="257"/>
      <c r="D33" s="257"/>
      <c r="E33" s="257"/>
      <c r="F33" s="257"/>
      <c r="G33" s="257"/>
      <c r="H33" s="258"/>
      <c r="I33" s="258"/>
      <c r="J33" s="258"/>
      <c r="K33" s="258"/>
      <c r="L33" s="25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>
      <c r="A34" s="322" t="s">
        <v>565</v>
      </c>
      <c r="B34" s="323">
        <f t="shared" ref="B34:L34" si="14">B23+B32</f>
        <v>278747484.16883606</v>
      </c>
      <c r="C34" s="323">
        <f t="shared" si="14"/>
        <v>773486310.92824388</v>
      </c>
      <c r="D34" s="323">
        <f t="shared" si="14"/>
        <v>426350813.47606361</v>
      </c>
      <c r="E34" s="323">
        <f t="shared" si="14"/>
        <v>226432532.09610313</v>
      </c>
      <c r="F34" s="323">
        <f t="shared" si="14"/>
        <v>226992980.59048647</v>
      </c>
      <c r="G34" s="323">
        <f t="shared" si="14"/>
        <v>227017823.51977247</v>
      </c>
      <c r="H34" s="323">
        <f t="shared" si="14"/>
        <v>227033333.12272459</v>
      </c>
      <c r="I34" s="323">
        <f t="shared" si="14"/>
        <v>227017823.51977247</v>
      </c>
      <c r="J34" s="323">
        <f t="shared" si="14"/>
        <v>227017823.51977247</v>
      </c>
      <c r="K34" s="323">
        <f t="shared" si="14"/>
        <v>227017823.51977247</v>
      </c>
      <c r="L34" s="324">
        <f t="shared" si="14"/>
        <v>227017823.51977247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1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L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sqref="A1:N1"/>
    </sheetView>
  </sheetViews>
  <sheetFormatPr baseColWidth="10" defaultColWidth="12.5703125" defaultRowHeight="15" customHeight="1"/>
  <cols>
    <col min="1" max="1" width="28.140625" customWidth="1"/>
    <col min="2" max="3" width="17.5703125" customWidth="1"/>
    <col min="4" max="6" width="18.42578125" customWidth="1"/>
    <col min="7" max="7" width="18.85546875" customWidth="1"/>
    <col min="8" max="8" width="13.140625" customWidth="1"/>
    <col min="9" max="9" width="14.140625" customWidth="1"/>
    <col min="10" max="13" width="12" customWidth="1"/>
    <col min="14" max="14" width="18.28515625" customWidth="1"/>
    <col min="15" max="15" width="18.42578125" customWidth="1"/>
    <col min="16" max="26" width="10" customWidth="1"/>
  </cols>
  <sheetData>
    <row r="1" spans="1:26" ht="16.5" customHeight="1">
      <c r="A1" s="639" t="s">
        <v>566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6.25" customHeight="1">
      <c r="A2" s="325" t="s">
        <v>421</v>
      </c>
      <c r="B2" s="326" t="s">
        <v>567</v>
      </c>
      <c r="C2" s="326" t="s">
        <v>568</v>
      </c>
      <c r="D2" s="196" t="s">
        <v>112</v>
      </c>
      <c r="E2" s="196" t="s">
        <v>422</v>
      </c>
      <c r="F2" s="196" t="s">
        <v>423</v>
      </c>
      <c r="G2" s="196" t="s">
        <v>424</v>
      </c>
      <c r="H2" s="196" t="s">
        <v>425</v>
      </c>
      <c r="I2" s="196" t="s">
        <v>426</v>
      </c>
      <c r="J2" s="196" t="s">
        <v>427</v>
      </c>
      <c r="K2" s="196" t="s">
        <v>428</v>
      </c>
      <c r="L2" s="196" t="s">
        <v>429</v>
      </c>
      <c r="M2" s="327" t="s">
        <v>430</v>
      </c>
      <c r="N2" s="196" t="s">
        <v>70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328" t="s">
        <v>569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329"/>
      <c r="N3" s="274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330" t="s">
        <v>570</v>
      </c>
      <c r="B4" s="228">
        <v>0</v>
      </c>
      <c r="C4" s="228">
        <f>'DE-Inv AF y Am'!B20</f>
        <v>2840006774.8710747</v>
      </c>
      <c r="D4" s="228">
        <v>0</v>
      </c>
      <c r="E4" s="228">
        <v>0</v>
      </c>
      <c r="F4" s="228">
        <v>0</v>
      </c>
      <c r="G4" s="228">
        <v>0</v>
      </c>
      <c r="H4" s="228">
        <v>0</v>
      </c>
      <c r="I4" s="228">
        <v>0</v>
      </c>
      <c r="J4" s="228">
        <v>0</v>
      </c>
      <c r="K4" s="228">
        <v>0</v>
      </c>
      <c r="L4" s="228">
        <v>0</v>
      </c>
      <c r="M4" s="228">
        <v>0</v>
      </c>
      <c r="N4" s="228">
        <f t="shared" ref="N4:N6" si="0">SUM(B4:M4)</f>
        <v>2840006774.8710747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330" t="s">
        <v>571</v>
      </c>
      <c r="B5" s="228">
        <f>'DE-Inv AF y Am'!B31</f>
        <v>19505460</v>
      </c>
      <c r="C5" s="228"/>
      <c r="D5" s="296">
        <f>'DE-Inv AF y Am'!C31</f>
        <v>9335324.2791182324</v>
      </c>
      <c r="E5" s="228">
        <v>0</v>
      </c>
      <c r="F5" s="228">
        <v>0</v>
      </c>
      <c r="G5" s="228">
        <v>0</v>
      </c>
      <c r="H5" s="228">
        <v>0</v>
      </c>
      <c r="I5" s="228">
        <v>0</v>
      </c>
      <c r="J5" s="228">
        <v>0</v>
      </c>
      <c r="K5" s="228">
        <v>0</v>
      </c>
      <c r="L5" s="228">
        <v>0</v>
      </c>
      <c r="M5" s="228">
        <v>0</v>
      </c>
      <c r="N5" s="228">
        <f t="shared" si="0"/>
        <v>28840784.279118232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328" t="s">
        <v>572</v>
      </c>
      <c r="B6" s="254">
        <f t="shared" ref="B6:M6" si="1">SUM(B4:B5)</f>
        <v>19505460</v>
      </c>
      <c r="C6" s="254">
        <f t="shared" si="1"/>
        <v>2840006774.8710747</v>
      </c>
      <c r="D6" s="254">
        <f t="shared" si="1"/>
        <v>9335324.2791182324</v>
      </c>
      <c r="E6" s="254">
        <f t="shared" si="1"/>
        <v>0</v>
      </c>
      <c r="F6" s="254">
        <f t="shared" si="1"/>
        <v>0</v>
      </c>
      <c r="G6" s="254">
        <f t="shared" si="1"/>
        <v>0</v>
      </c>
      <c r="H6" s="254">
        <f t="shared" si="1"/>
        <v>0</v>
      </c>
      <c r="I6" s="254">
        <f t="shared" si="1"/>
        <v>0</v>
      </c>
      <c r="J6" s="254">
        <f t="shared" si="1"/>
        <v>0</v>
      </c>
      <c r="K6" s="254">
        <f t="shared" si="1"/>
        <v>0</v>
      </c>
      <c r="L6" s="254">
        <f t="shared" si="1"/>
        <v>0</v>
      </c>
      <c r="M6" s="254">
        <f t="shared" si="1"/>
        <v>0</v>
      </c>
      <c r="N6" s="254">
        <f t="shared" si="0"/>
        <v>2868847559.1501927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330"/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331"/>
      <c r="N7" s="22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328" t="s">
        <v>573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331"/>
      <c r="N8" s="22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330" t="s">
        <v>574</v>
      </c>
      <c r="B9" s="228">
        <v>0</v>
      </c>
      <c r="C9" s="228">
        <f>'DE-InvAT'!B4</f>
        <v>39487500</v>
      </c>
      <c r="D9" s="228">
        <f>'DE-InvAT'!C4-'DE-InvAT'!B4</f>
        <v>19012500</v>
      </c>
      <c r="E9" s="228">
        <f>'DE-InvAT'!D4-'DE-InvAT'!C4</f>
        <v>0</v>
      </c>
      <c r="F9" s="228">
        <f>'DE-InvAT'!E4-'DE-InvAT'!D4</f>
        <v>0</v>
      </c>
      <c r="G9" s="228">
        <f>'DE-InvAT'!F4-'DE-InvAT'!E4</f>
        <v>0</v>
      </c>
      <c r="H9" s="228">
        <f>'DE-InvAT'!G4-'DE-InvAT'!F4</f>
        <v>0</v>
      </c>
      <c r="I9" s="228">
        <f>'DE-InvAT'!H4-'DE-InvAT'!G4</f>
        <v>0</v>
      </c>
      <c r="J9" s="228">
        <f>'DE-InvAT'!I4-'DE-InvAT'!H4</f>
        <v>0</v>
      </c>
      <c r="K9" s="228">
        <f>'DE-InvAT'!J4-'DE-InvAT'!I4</f>
        <v>0</v>
      </c>
      <c r="L9" s="228">
        <f>'DE-InvAT'!K4-'DE-InvAT'!J4</f>
        <v>0</v>
      </c>
      <c r="M9" s="228">
        <f>'DE-InvAT'!L4-'DE-InvAT'!K4</f>
        <v>0</v>
      </c>
      <c r="N9" s="228">
        <f t="shared" ref="N9:N10" si="2">SUM(B9:M9)</f>
        <v>58500000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330" t="s">
        <v>575</v>
      </c>
      <c r="B10" s="228">
        <v>0</v>
      </c>
      <c r="C10" s="228">
        <f>'DE-InvAT'!B5-'DE-InvAT'!B17-'DE-InvAT'!B18</f>
        <v>0</v>
      </c>
      <c r="D10" s="228">
        <f>'DE-InvAT'!C5-'DE-InvAT'!B5-'DE-InvAT'!C17-'DE-InvAT'!C18-C10</f>
        <v>108201660.60283174</v>
      </c>
      <c r="E10" s="228">
        <f>('DE-InvAT'!D5-'DE-InvAT'!D17-'DE-InvAT'!D18)-('DE-InvAT'!C5-'DE-InvAT'!C17-'DE-InvAT'!C18)</f>
        <v>48207964.78915979</v>
      </c>
      <c r="F10" s="228">
        <f>('DE-InvAT'!E5-'DE-InvAT'!E17-'DE-InvAT'!E18)-('DE-InvAT'!D5-'DE-InvAT'!D17-'DE-InvAT'!D18)</f>
        <v>-131066.72889044881</v>
      </c>
      <c r="G10" s="228">
        <f>('DE-InvAT'!F5-'DE-InvAT'!F17-'DE-InvAT'!F18)-('DE-InvAT'!E5-'DE-InvAT'!E17-'DE-InvAT'!E18)</f>
        <v>-24842.929286003113</v>
      </c>
      <c r="H10" s="228">
        <f>('DE-InvAT'!G5-'DE-InvAT'!G17-'DE-InvAT'!G18)-('DE-InvAT'!F5-'DE-InvAT'!F17-'DE-InvAT'!F18)</f>
        <v>0</v>
      </c>
      <c r="I10" s="228">
        <f>('DE-InvAT'!H5-'DE-InvAT'!H17-'DE-InvAT'!H18)-('DE-InvAT'!G5-'DE-InvAT'!G17-'DE-InvAT'!G18)</f>
        <v>15509.602952152491</v>
      </c>
      <c r="J10" s="228">
        <f>('DE-InvAT'!I5-'DE-InvAT'!I17-'DE-InvAT'!I18)-('DE-InvAT'!H5-'DE-InvAT'!H17-'DE-InvAT'!H18)</f>
        <v>0</v>
      </c>
      <c r="K10" s="228">
        <f>('DE-InvAT'!J5-'DE-InvAT'!J17-'DE-InvAT'!J18)-('DE-InvAT'!I5-'DE-InvAT'!I17-'DE-InvAT'!I18)</f>
        <v>0</v>
      </c>
      <c r="L10" s="228">
        <f>('DE-InvAT'!K5-'DE-InvAT'!K17-'DE-InvAT'!K18)-('DE-InvAT'!J5-'DE-InvAT'!J17-'DE-InvAT'!J18)</f>
        <v>0</v>
      </c>
      <c r="M10" s="228">
        <f>('DE-InvAT'!L5-'DE-InvAT'!L17-'DE-InvAT'!L18)-('DE-InvAT'!K5-'DE-InvAT'!K17-'DE-InvAT'!K18)</f>
        <v>0</v>
      </c>
      <c r="N10" s="228">
        <f t="shared" si="2"/>
        <v>156269225.33676723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30" t="s">
        <v>576</v>
      </c>
      <c r="B11" s="228">
        <v>0</v>
      </c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331"/>
      <c r="N11" s="22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30" t="s">
        <v>577</v>
      </c>
      <c r="B12" s="228">
        <v>0</v>
      </c>
      <c r="C12" s="228">
        <f>'DE-InvAT'!B8</f>
        <v>155832187.50000003</v>
      </c>
      <c r="D12" s="228">
        <f>'DE-InvAT'!C8-'DE-InvAT'!B8</f>
        <v>279644062.50000012</v>
      </c>
      <c r="E12" s="228">
        <f>'DE-InvAT'!D8-'DE-InvAT'!C8</f>
        <v>145158750</v>
      </c>
      <c r="F12" s="228">
        <f>'DE-InvAT'!E8-'DE-InvAT'!D8</f>
        <v>0</v>
      </c>
      <c r="G12" s="228">
        <f>'DE-InvAT'!F8-'DE-InvAT'!E8</f>
        <v>0</v>
      </c>
      <c r="H12" s="228">
        <f>'DE-InvAT'!G8-'DE-InvAT'!F8</f>
        <v>0</v>
      </c>
      <c r="I12" s="228">
        <f>'DE-InvAT'!H8-'DE-InvAT'!G8</f>
        <v>0</v>
      </c>
      <c r="J12" s="228">
        <f>'DE-InvAT'!I8-'DE-InvAT'!H8</f>
        <v>0</v>
      </c>
      <c r="K12" s="228">
        <f>'DE-InvAT'!J8-'DE-InvAT'!I8</f>
        <v>0</v>
      </c>
      <c r="L12" s="228">
        <f>'DE-InvAT'!K8-'DE-InvAT'!J8</f>
        <v>0</v>
      </c>
      <c r="M12" s="228">
        <f>'DE-InvAT'!L8-'DE-InvAT'!K8</f>
        <v>0</v>
      </c>
      <c r="N12" s="228">
        <f t="shared" ref="N12:N16" si="3">SUM(B12:M12)</f>
        <v>580635000.00000012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330" t="s">
        <v>578</v>
      </c>
      <c r="B13" s="228">
        <v>0</v>
      </c>
      <c r="C13" s="228">
        <f>'DE-InvAT'!B9</f>
        <v>41903336.606476039</v>
      </c>
      <c r="D13" s="228">
        <f>'DE-InvAT'!C9-'DE-InvAT'!B9</f>
        <v>13967778.868825346</v>
      </c>
      <c r="E13" s="228">
        <f>'DE-InvAT'!D9-'DE-InvAT'!C9</f>
        <v>2469783.75</v>
      </c>
      <c r="F13" s="228">
        <f>'DE-InvAT'!E9-'DE-InvAT'!D9</f>
        <v>0</v>
      </c>
      <c r="G13" s="228">
        <f>'DE-InvAT'!F9-'DE-InvAT'!E9</f>
        <v>0</v>
      </c>
      <c r="H13" s="228">
        <f>'DE-InvAT'!G9-'DE-InvAT'!F9</f>
        <v>0</v>
      </c>
      <c r="I13" s="228">
        <f>'DE-InvAT'!H9-'DE-InvAT'!G9</f>
        <v>0</v>
      </c>
      <c r="J13" s="228">
        <f>'DE-InvAT'!I9-'DE-InvAT'!H9</f>
        <v>0</v>
      </c>
      <c r="K13" s="228">
        <f>'DE-InvAT'!J9-'DE-InvAT'!I9</f>
        <v>0</v>
      </c>
      <c r="L13" s="228">
        <f>'DE-InvAT'!K9-'DE-InvAT'!J9</f>
        <v>0</v>
      </c>
      <c r="M13" s="228">
        <f>'DE-InvAT'!L9-'DE-InvAT'!K9</f>
        <v>0</v>
      </c>
      <c r="N13" s="228">
        <f t="shared" si="3"/>
        <v>58340899.225301385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330" t="s">
        <v>579</v>
      </c>
      <c r="B14" s="228">
        <v>0</v>
      </c>
      <c r="C14" s="228">
        <v>0</v>
      </c>
      <c r="D14" s="228">
        <f>('DE-InvAT'!C10-'DE-InvAT'!C15)-('DE-InvAT'!B10-'DE-InvAT'!B15)</f>
        <v>47803645.315436922</v>
      </c>
      <c r="E14" s="228">
        <f>('DE-InvAT'!D10-'DE-InvAT'!D15)-('DE-InvAT'!C10-'DE-InvAT'!C15)</f>
        <v>-1837890.0165398642</v>
      </c>
      <c r="F14" s="228">
        <f>('DE-InvAT'!E10-'DE-InvAT'!E15)-('DE-InvAT'!D10-'DE-InvAT'!D15)</f>
        <v>0</v>
      </c>
      <c r="G14" s="228">
        <f>('DE-InvAT'!F10-'DE-InvAT'!F15)-('DE-InvAT'!E10-'DE-InvAT'!E15)</f>
        <v>0</v>
      </c>
      <c r="H14" s="228">
        <f>('DE-InvAT'!G10-'DE-InvAT'!G15)-('DE-InvAT'!F10-'DE-InvAT'!F15)</f>
        <v>0</v>
      </c>
      <c r="I14" s="228">
        <f>('DE-InvAT'!H10-'DE-InvAT'!H15)-('DE-InvAT'!G10-'DE-InvAT'!G15)</f>
        <v>0</v>
      </c>
      <c r="J14" s="228">
        <f>('DE-InvAT'!I10-'DE-InvAT'!I15)-('DE-InvAT'!H10-'DE-InvAT'!H15)</f>
        <v>0</v>
      </c>
      <c r="K14" s="228">
        <f>('DE-InvAT'!J10-'DE-InvAT'!J15)-('DE-InvAT'!I10-'DE-InvAT'!I15)</f>
        <v>0</v>
      </c>
      <c r="L14" s="228">
        <f>('DE-InvAT'!K10-'DE-InvAT'!K15)-('DE-InvAT'!J10-'DE-InvAT'!J15)</f>
        <v>0</v>
      </c>
      <c r="M14" s="228">
        <f>('DE-InvAT'!L10-'DE-InvAT'!L15)-('DE-InvAT'!K10-'DE-InvAT'!K15)</f>
        <v>0</v>
      </c>
      <c r="N14" s="228">
        <f t="shared" si="3"/>
        <v>45965755.298897058</v>
      </c>
      <c r="O14" s="332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330" t="s">
        <v>580</v>
      </c>
      <c r="B15" s="228">
        <v>0</v>
      </c>
      <c r="C15" s="228">
        <f>'DE-InvAT'!B11</f>
        <v>0</v>
      </c>
      <c r="D15" s="228">
        <f>('DE-InvAT'!C11-'DE-InvAT'!C16)-('DE-InvAT'!B11-'DE-InvAT'!B16)</f>
        <v>124542912.71717548</v>
      </c>
      <c r="E15" s="228">
        <f>('DE-InvAT'!D11-'DE-InvAT'!D16)-('DE-InvAT'!C11-'DE-InvAT'!C16)</f>
        <v>5238994.2477675676</v>
      </c>
      <c r="F15" s="228">
        <f>('DE-InvAT'!E11-'DE-InvAT'!E16)-('DE-InvAT'!D11-'DE-InvAT'!D16)</f>
        <v>-454224.69477900863</v>
      </c>
      <c r="G15" s="228">
        <f>('DE-InvAT'!F11-'DE-InvAT'!F16)-('DE-InvAT'!E11-'DE-InvAT'!E16)</f>
        <v>0</v>
      </c>
      <c r="H15" s="228">
        <f>('DE-InvAT'!G11-'DE-InvAT'!G16)-('DE-InvAT'!F11-'DE-InvAT'!F16)</f>
        <v>0</v>
      </c>
      <c r="I15" s="228">
        <f>('DE-InvAT'!H11-'DE-InvAT'!H16)-('DE-InvAT'!G11-'DE-InvAT'!G16)</f>
        <v>0</v>
      </c>
      <c r="J15" s="228">
        <f>('DE-InvAT'!I11-'DE-InvAT'!I16)-('DE-InvAT'!H11-'DE-InvAT'!H16)</f>
        <v>0</v>
      </c>
      <c r="K15" s="228">
        <f>('DE-InvAT'!J11-'DE-InvAT'!J16)-('DE-InvAT'!I11-'DE-InvAT'!I16)</f>
        <v>0</v>
      </c>
      <c r="L15" s="228">
        <f>('DE-InvAT'!K11-'DE-InvAT'!K16)-('DE-InvAT'!J11-'DE-InvAT'!J16)</f>
        <v>0</v>
      </c>
      <c r="M15" s="228">
        <f>('DE-InvAT'!L11-'DE-InvAT'!L16)-('DE-InvAT'!K11-'DE-InvAT'!K16)</f>
        <v>0</v>
      </c>
      <c r="N15" s="228">
        <f t="shared" si="3"/>
        <v>129327682.27016404</v>
      </c>
      <c r="O15" s="1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328" t="s">
        <v>581</v>
      </c>
      <c r="B16" s="254">
        <v>0</v>
      </c>
      <c r="C16" s="254">
        <f t="shared" ref="C16:M16" si="4">SUM(C9:C15)</f>
        <v>237223024.10647607</v>
      </c>
      <c r="D16" s="254">
        <f t="shared" si="4"/>
        <v>593172560.0042696</v>
      </c>
      <c r="E16" s="254">
        <f t="shared" si="4"/>
        <v>199237602.77038747</v>
      </c>
      <c r="F16" s="254">
        <f t="shared" si="4"/>
        <v>-585291.42366945744</v>
      </c>
      <c r="G16" s="254">
        <f t="shared" si="4"/>
        <v>-24842.929286003113</v>
      </c>
      <c r="H16" s="254">
        <f t="shared" si="4"/>
        <v>0</v>
      </c>
      <c r="I16" s="254">
        <f t="shared" si="4"/>
        <v>15509.602952152491</v>
      </c>
      <c r="J16" s="254">
        <f t="shared" si="4"/>
        <v>0</v>
      </c>
      <c r="K16" s="254">
        <f t="shared" si="4"/>
        <v>0</v>
      </c>
      <c r="L16" s="254">
        <f t="shared" si="4"/>
        <v>0</v>
      </c>
      <c r="M16" s="254">
        <f t="shared" si="4"/>
        <v>0</v>
      </c>
      <c r="N16" s="254">
        <f t="shared" si="3"/>
        <v>1029038562.1311297</v>
      </c>
      <c r="O16" s="333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330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331"/>
      <c r="N17" s="22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328" t="s">
        <v>582</v>
      </c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331"/>
      <c r="N18" s="22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330" t="s">
        <v>583</v>
      </c>
      <c r="B19" s="228">
        <f t="shared" ref="B19:M19" si="5">0.21*B6</f>
        <v>4096146.5999999996</v>
      </c>
      <c r="C19" s="228">
        <f t="shared" si="5"/>
        <v>596401422.72292566</v>
      </c>
      <c r="D19" s="228">
        <f t="shared" si="5"/>
        <v>1960418.0986148287</v>
      </c>
      <c r="E19" s="228">
        <f t="shared" si="5"/>
        <v>0</v>
      </c>
      <c r="F19" s="228">
        <f t="shared" si="5"/>
        <v>0</v>
      </c>
      <c r="G19" s="228">
        <f t="shared" si="5"/>
        <v>0</v>
      </c>
      <c r="H19" s="228">
        <f t="shared" si="5"/>
        <v>0</v>
      </c>
      <c r="I19" s="228">
        <f t="shared" si="5"/>
        <v>0</v>
      </c>
      <c r="J19" s="228">
        <f t="shared" si="5"/>
        <v>0</v>
      </c>
      <c r="K19" s="228">
        <f t="shared" si="5"/>
        <v>0</v>
      </c>
      <c r="L19" s="228">
        <f t="shared" si="5"/>
        <v>0</v>
      </c>
      <c r="M19" s="228">
        <f t="shared" si="5"/>
        <v>0</v>
      </c>
      <c r="N19" s="228">
        <f t="shared" ref="N19:N23" si="6">SUM(B19:M19)</f>
        <v>602457987.4215405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330" t="s">
        <v>584</v>
      </c>
      <c r="B20" s="228">
        <f t="shared" ref="B20:M20" si="7">0.21*B16</f>
        <v>0</v>
      </c>
      <c r="C20" s="228">
        <f t="shared" si="7"/>
        <v>49816835.062359974</v>
      </c>
      <c r="D20" s="228">
        <f t="shared" si="7"/>
        <v>124566237.60089661</v>
      </c>
      <c r="E20" s="228">
        <f t="shared" si="7"/>
        <v>41839896.581781365</v>
      </c>
      <c r="F20" s="228">
        <f t="shared" si="7"/>
        <v>-122911.19897058606</v>
      </c>
      <c r="G20" s="228">
        <f t="shared" si="7"/>
        <v>-5217.0151500606535</v>
      </c>
      <c r="H20" s="228">
        <f t="shared" si="7"/>
        <v>0</v>
      </c>
      <c r="I20" s="228">
        <f t="shared" si="7"/>
        <v>3257.0166199520231</v>
      </c>
      <c r="J20" s="228">
        <f t="shared" si="7"/>
        <v>0</v>
      </c>
      <c r="K20" s="228">
        <f t="shared" si="7"/>
        <v>0</v>
      </c>
      <c r="L20" s="228">
        <f t="shared" si="7"/>
        <v>0</v>
      </c>
      <c r="M20" s="228">
        <f t="shared" si="7"/>
        <v>0</v>
      </c>
      <c r="N20" s="228">
        <f t="shared" si="6"/>
        <v>216098098.04753724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328" t="s">
        <v>585</v>
      </c>
      <c r="B21" s="254">
        <f t="shared" ref="B21:M21" si="8">SUM(B19:B20)</f>
        <v>4096146.5999999996</v>
      </c>
      <c r="C21" s="254">
        <f t="shared" si="8"/>
        <v>646218257.78528559</v>
      </c>
      <c r="D21" s="254">
        <f t="shared" si="8"/>
        <v>126526655.69951144</v>
      </c>
      <c r="E21" s="254">
        <f t="shared" si="8"/>
        <v>41839896.581781365</v>
      </c>
      <c r="F21" s="254">
        <f t="shared" si="8"/>
        <v>-122911.19897058606</v>
      </c>
      <c r="G21" s="254">
        <f t="shared" si="8"/>
        <v>-5217.0151500606535</v>
      </c>
      <c r="H21" s="254">
        <f t="shared" si="8"/>
        <v>0</v>
      </c>
      <c r="I21" s="254">
        <f t="shared" si="8"/>
        <v>3257.0166199520231</v>
      </c>
      <c r="J21" s="254">
        <f t="shared" si="8"/>
        <v>0</v>
      </c>
      <c r="K21" s="254">
        <f t="shared" si="8"/>
        <v>0</v>
      </c>
      <c r="L21" s="254">
        <f t="shared" si="8"/>
        <v>0</v>
      </c>
      <c r="M21" s="254">
        <f t="shared" si="8"/>
        <v>0</v>
      </c>
      <c r="N21" s="254">
        <f t="shared" si="6"/>
        <v>818556085.46907771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3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331"/>
      <c r="N22" s="228">
        <f t="shared" si="6"/>
        <v>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>
      <c r="A23" s="334" t="s">
        <v>586</v>
      </c>
      <c r="B23" s="335">
        <f t="shared" ref="B23:M23" si="9">B6+B16+B21</f>
        <v>23601606.600000001</v>
      </c>
      <c r="C23" s="335">
        <f t="shared" si="9"/>
        <v>3723448056.762836</v>
      </c>
      <c r="D23" s="335">
        <f t="shared" si="9"/>
        <v>729034539.98289919</v>
      </c>
      <c r="E23" s="335">
        <f t="shared" si="9"/>
        <v>241077499.35216883</v>
      </c>
      <c r="F23" s="335">
        <f t="shared" si="9"/>
        <v>-708202.6226400435</v>
      </c>
      <c r="G23" s="335">
        <f t="shared" si="9"/>
        <v>-30059.944436063764</v>
      </c>
      <c r="H23" s="335">
        <f t="shared" si="9"/>
        <v>0</v>
      </c>
      <c r="I23" s="335">
        <f t="shared" si="9"/>
        <v>18766.619572104515</v>
      </c>
      <c r="J23" s="335">
        <f t="shared" si="9"/>
        <v>0</v>
      </c>
      <c r="K23" s="335">
        <f t="shared" si="9"/>
        <v>0</v>
      </c>
      <c r="L23" s="335">
        <f t="shared" si="9"/>
        <v>0</v>
      </c>
      <c r="M23" s="335">
        <f t="shared" si="9"/>
        <v>0</v>
      </c>
      <c r="N23" s="335">
        <f t="shared" si="6"/>
        <v>4716442206.7504005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N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selection sqref="A1:L1"/>
    </sheetView>
  </sheetViews>
  <sheetFormatPr baseColWidth="10" defaultColWidth="12.5703125" defaultRowHeight="15" customHeight="1"/>
  <cols>
    <col min="1" max="1" width="28.140625" customWidth="1"/>
    <col min="2" max="2" width="17.85546875" customWidth="1"/>
    <col min="3" max="12" width="16.85546875" customWidth="1"/>
    <col min="13" max="26" width="10" customWidth="1"/>
  </cols>
  <sheetData>
    <row r="1" spans="1:26" ht="16.5" customHeight="1">
      <c r="A1" s="642" t="s">
        <v>587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336"/>
      <c r="B2" s="643" t="s">
        <v>588</v>
      </c>
      <c r="C2" s="635"/>
      <c r="D2" s="635"/>
      <c r="E2" s="635"/>
      <c r="F2" s="635"/>
      <c r="G2" s="635"/>
      <c r="H2" s="635"/>
      <c r="I2" s="635"/>
      <c r="J2" s="635"/>
      <c r="K2" s="635"/>
      <c r="L2" s="63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337" t="s">
        <v>421</v>
      </c>
      <c r="B3" s="338" t="s">
        <v>297</v>
      </c>
      <c r="C3" s="339" t="s">
        <v>112</v>
      </c>
      <c r="D3" s="339" t="s">
        <v>422</v>
      </c>
      <c r="E3" s="339" t="s">
        <v>423</v>
      </c>
      <c r="F3" s="339" t="s">
        <v>424</v>
      </c>
      <c r="G3" s="339" t="s">
        <v>425</v>
      </c>
      <c r="H3" s="339" t="s">
        <v>426</v>
      </c>
      <c r="I3" s="339" t="s">
        <v>427</v>
      </c>
      <c r="J3" s="339" t="s">
        <v>428</v>
      </c>
      <c r="K3" s="339" t="s">
        <v>429</v>
      </c>
      <c r="L3" s="340" t="s">
        <v>430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>
      <c r="A4" s="341" t="s">
        <v>589</v>
      </c>
      <c r="B4" s="342"/>
      <c r="C4" s="274"/>
      <c r="D4" s="274"/>
      <c r="E4" s="274"/>
      <c r="F4" s="274"/>
      <c r="G4" s="274"/>
      <c r="H4" s="274"/>
      <c r="I4" s="274"/>
      <c r="J4" s="274"/>
      <c r="K4" s="274"/>
      <c r="L4" s="275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343" t="s">
        <v>590</v>
      </c>
      <c r="B5" s="344"/>
      <c r="C5" s="296">
        <f>('DE-Costos'!B4+'DE-Costos'!B23)*0.21</f>
        <v>105541782.54394303</v>
      </c>
      <c r="D5" s="296">
        <f>('DE-Costos'!C4+'DE-Costos'!C23)*0.21</f>
        <v>140547746.76661766</v>
      </c>
      <c r="E5" s="296">
        <f>('DE-Costos'!D4+'DE-Costos'!D23)*0.21</f>
        <v>140547746.76661766</v>
      </c>
      <c r="F5" s="296">
        <f>('DE-Costos'!E4+'DE-Costos'!E23)*0.21</f>
        <v>140547746.76661766</v>
      </c>
      <c r="G5" s="296">
        <f>('DE-Costos'!F4+'DE-Costos'!F23)*0.21</f>
        <v>140547746.76661766</v>
      </c>
      <c r="H5" s="296">
        <f>('DE-Costos'!G4+'DE-Costos'!G23)*0.21</f>
        <v>140547746.76661766</v>
      </c>
      <c r="I5" s="296">
        <f>('DE-Costos'!H4+'DE-Costos'!H23)*0.21</f>
        <v>140547746.76661766</v>
      </c>
      <c r="J5" s="296">
        <f>('DE-Costos'!I4+'DE-Costos'!I23)*0.21</f>
        <v>140547746.76661766</v>
      </c>
      <c r="K5" s="296">
        <f>('DE-Costos'!J4+'DE-Costos'!J23)*0.21</f>
        <v>140547746.76661766</v>
      </c>
      <c r="L5" s="247">
        <f>('DE-Costos'!K4+'DE-Costos'!K23)*0.21</f>
        <v>140547746.76661766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343" t="s">
        <v>485</v>
      </c>
      <c r="B6" s="344"/>
      <c r="C6" s="228">
        <f>('DE-Costos'!B74+'DE-Costos'!B55+'DE-Costos'!B9)*0.21</f>
        <v>19680440.344556034</v>
      </c>
      <c r="D6" s="228">
        <f>('DE-Costos'!C74+'DE-Costos'!C55+'DE-Costos'!C9)*0.21</f>
        <v>20199094.932056032</v>
      </c>
      <c r="E6" s="228">
        <f>('DE-Costos'!D74+'DE-Costos'!D55+'DE-Costos'!D9)*0.21</f>
        <v>20199094.932056032</v>
      </c>
      <c r="F6" s="228">
        <f>('DE-Costos'!E74+'DE-Costos'!E55+'DE-Costos'!E9)*0.21</f>
        <v>20199094.932056032</v>
      </c>
      <c r="G6" s="228">
        <f>('DE-Costos'!F74+'DE-Costos'!F55+'DE-Costos'!F9)*0.21</f>
        <v>20199094.932056032</v>
      </c>
      <c r="H6" s="228">
        <f>('DE-Costos'!G74+'DE-Costos'!G55+'DE-Costos'!G9)*0.21</f>
        <v>20199094.932056032</v>
      </c>
      <c r="I6" s="228">
        <f>('DE-Costos'!H74+'DE-Costos'!H55+'DE-Costos'!H9)*0.21</f>
        <v>20199094.932056032</v>
      </c>
      <c r="J6" s="228">
        <f>('DE-Costos'!I74+'DE-Costos'!I55+'DE-Costos'!I9)*0.21</f>
        <v>20199094.932056032</v>
      </c>
      <c r="K6" s="228">
        <f>('DE-Costos'!J74+'DE-Costos'!J55+'DE-Costos'!J9)*0.21</f>
        <v>20199094.932056032</v>
      </c>
      <c r="L6" s="247">
        <f>('DE-Costos'!K74+'DE-Costos'!K55+'DE-Costos'!K9)*0.21</f>
        <v>20199094.932056032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343" t="s">
        <v>591</v>
      </c>
      <c r="B7" s="344"/>
      <c r="C7" s="228">
        <f>('DE-Costos'!B10+'DE-Costos'!B56+'DE-Costos'!B75)*0.21</f>
        <v>25306069.577846397</v>
      </c>
      <c r="D7" s="228">
        <f>('DE-Costos'!C10+'DE-Costos'!C56+'DE-Costos'!C75)*0.21</f>
        <v>26606090.403715201</v>
      </c>
      <c r="E7" s="228">
        <f>('DE-Costos'!D10+'DE-Costos'!D56+'DE-Costos'!D75)*0.21</f>
        <v>26606090.403715201</v>
      </c>
      <c r="F7" s="228">
        <f>('DE-Costos'!E10+'DE-Costos'!E56+'DE-Costos'!E75)*0.21</f>
        <v>26606090.403715201</v>
      </c>
      <c r="G7" s="228">
        <f>('DE-Costos'!F10+'DE-Costos'!F56+'DE-Costos'!F75)*0.21</f>
        <v>26606090.403715201</v>
      </c>
      <c r="H7" s="228">
        <f>('DE-Costos'!G10+'DE-Costos'!G56+'DE-Costos'!G75)*0.21</f>
        <v>26606090.403715201</v>
      </c>
      <c r="I7" s="228">
        <f>('DE-Costos'!H10+'DE-Costos'!H56+'DE-Costos'!H75)*0.21</f>
        <v>26606090.403715201</v>
      </c>
      <c r="J7" s="228">
        <f>('DE-Costos'!I10+'DE-Costos'!I56+'DE-Costos'!I75)*0.21</f>
        <v>26606090.403715201</v>
      </c>
      <c r="K7" s="228">
        <f>('DE-Costos'!J10+'DE-Costos'!J56+'DE-Costos'!J75)*0.21</f>
        <v>26606090.403715201</v>
      </c>
      <c r="L7" s="247">
        <f>('DE-Costos'!K10+'DE-Costos'!K56+'DE-Costos'!K75)*0.21</f>
        <v>26606090.403715201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343" t="s">
        <v>592</v>
      </c>
      <c r="B8" s="344"/>
      <c r="C8" s="228">
        <f>('DE-Costos'!B11+'DE-Costos'!B30+'DE-Costos'!B57)*0.21</f>
        <v>0</v>
      </c>
      <c r="D8" s="228">
        <f>('DE-Costos'!C11+'DE-Costos'!C30+'DE-Costos'!C57)*0.21</f>
        <v>0</v>
      </c>
      <c r="E8" s="228">
        <f>('DE-Costos'!D11+'DE-Costos'!D30+'DE-Costos'!D57)*0.21</f>
        <v>0</v>
      </c>
      <c r="F8" s="228">
        <f>('DE-Costos'!E11+'DE-Costos'!E30+'DE-Costos'!E57)*0.21</f>
        <v>0</v>
      </c>
      <c r="G8" s="228">
        <f>('DE-Costos'!F11+'DE-Costos'!F30+'DE-Costos'!F57)*0.21</f>
        <v>0</v>
      </c>
      <c r="H8" s="228">
        <f>('DE-Costos'!G11+'DE-Costos'!G30+'DE-Costos'!G57)*0.21</f>
        <v>0</v>
      </c>
      <c r="I8" s="228">
        <f>('DE-Costos'!H11+'DE-Costos'!H30+'DE-Costos'!H57)*0.21</f>
        <v>0</v>
      </c>
      <c r="J8" s="228">
        <f>('DE-Costos'!I11+'DE-Costos'!I30+'DE-Costos'!I57)*0.21</f>
        <v>0</v>
      </c>
      <c r="K8" s="228">
        <f>('DE-Costos'!J11+'DE-Costos'!J30+'DE-Costos'!J57)*0.21</f>
        <v>0</v>
      </c>
      <c r="L8" s="247">
        <f>('DE-Costos'!K11+'DE-Costos'!K30+'DE-Costos'!K57)*0.21</f>
        <v>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343" t="s">
        <v>490</v>
      </c>
      <c r="B9" s="344"/>
      <c r="C9" s="228">
        <f>('DE-Costos'!B13+'DE-Costos'!B60+'DE-Costos'!B79)*0.21</f>
        <v>24866953.371793389</v>
      </c>
      <c r="D9" s="228">
        <f>('DE-Costos'!C13+'DE-Costos'!C60+'DE-Costos'!C79)*0.21</f>
        <v>24011291.866834711</v>
      </c>
      <c r="E9" s="228">
        <f>('DE-Costos'!D13+'DE-Costos'!D60+'DE-Costos'!D79)*0.21</f>
        <v>24011291.866834711</v>
      </c>
      <c r="F9" s="228">
        <f>('DE-Costos'!E13+'DE-Costos'!E60+'DE-Costos'!E79)*0.21</f>
        <v>24011291.866834711</v>
      </c>
      <c r="G9" s="228">
        <f>('DE-Costos'!F13+'DE-Costos'!F60+'DE-Costos'!F79)*0.21</f>
        <v>24011291.866834711</v>
      </c>
      <c r="H9" s="228">
        <f>('DE-Costos'!G13+'DE-Costos'!G60+'DE-Costos'!G79)*0.21</f>
        <v>24011291.866834711</v>
      </c>
      <c r="I9" s="228">
        <f>('DE-Costos'!H13+'DE-Costos'!H60+'DE-Costos'!H79)*0.21</f>
        <v>24011291.866834711</v>
      </c>
      <c r="J9" s="228">
        <f>('DE-Costos'!I13+'DE-Costos'!I60+'DE-Costos'!I79)*0.21</f>
        <v>24011291.866834711</v>
      </c>
      <c r="K9" s="228">
        <f>('DE-Costos'!J13+'DE-Costos'!J60+'DE-Costos'!J79)*0.21</f>
        <v>24011291.866834711</v>
      </c>
      <c r="L9" s="247">
        <f>('DE-Costos'!K13+'DE-Costos'!K60+'DE-Costos'!K79)*0.21</f>
        <v>24011291.866834711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343" t="s">
        <v>488</v>
      </c>
      <c r="B10" s="344"/>
      <c r="C10" s="228">
        <v>0</v>
      </c>
      <c r="D10" s="228">
        <v>0</v>
      </c>
      <c r="E10" s="228">
        <v>0</v>
      </c>
      <c r="F10" s="228">
        <v>0</v>
      </c>
      <c r="G10" s="228">
        <v>0</v>
      </c>
      <c r="H10" s="228">
        <v>0</v>
      </c>
      <c r="I10" s="228">
        <v>0</v>
      </c>
      <c r="J10" s="228">
        <v>0</v>
      </c>
      <c r="K10" s="228">
        <v>0</v>
      </c>
      <c r="L10" s="247">
        <v>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45" t="s">
        <v>406</v>
      </c>
      <c r="B11" s="344"/>
      <c r="C11" s="254">
        <f t="shared" ref="C11:L11" si="0">SUM(C5:C10)</f>
        <v>175395245.83813885</v>
      </c>
      <c r="D11" s="254">
        <f t="shared" si="0"/>
        <v>211364223.96922359</v>
      </c>
      <c r="E11" s="254">
        <f t="shared" si="0"/>
        <v>211364223.96922359</v>
      </c>
      <c r="F11" s="254">
        <f t="shared" si="0"/>
        <v>211364223.96922359</v>
      </c>
      <c r="G11" s="254">
        <f t="shared" si="0"/>
        <v>211364223.96922359</v>
      </c>
      <c r="H11" s="254">
        <f t="shared" si="0"/>
        <v>211364223.96922359</v>
      </c>
      <c r="I11" s="254">
        <f t="shared" si="0"/>
        <v>211364223.96922359</v>
      </c>
      <c r="J11" s="254">
        <f t="shared" si="0"/>
        <v>211364223.96922359</v>
      </c>
      <c r="K11" s="254">
        <f t="shared" si="0"/>
        <v>211364223.96922359</v>
      </c>
      <c r="L11" s="255">
        <f t="shared" si="0"/>
        <v>211364223.96922359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43" t="s">
        <v>593</v>
      </c>
      <c r="B12" s="344"/>
      <c r="C12" s="228">
        <f>'DE-Costos'!L34-'DE-Costos'!L24</f>
        <v>9504781.6314410176</v>
      </c>
      <c r="D12" s="228"/>
      <c r="E12" s="228"/>
      <c r="F12" s="228"/>
      <c r="G12" s="228"/>
      <c r="H12" s="228"/>
      <c r="I12" s="228"/>
      <c r="J12" s="228"/>
      <c r="K12" s="228"/>
      <c r="L12" s="24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343" t="s">
        <v>594</v>
      </c>
      <c r="B13" s="344"/>
      <c r="C13" s="228"/>
      <c r="D13" s="228"/>
      <c r="E13" s="228"/>
      <c r="F13" s="228"/>
      <c r="G13" s="228"/>
      <c r="H13" s="228"/>
      <c r="I13" s="228"/>
      <c r="J13" s="228"/>
      <c r="K13" s="228"/>
      <c r="L13" s="24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343" t="s">
        <v>595</v>
      </c>
      <c r="B14" s="344"/>
      <c r="C14" s="344">
        <f>'DE-InvAT'!C30</f>
        <v>11924468.435018588</v>
      </c>
      <c r="D14" s="344">
        <f>'DE-InvAT'!D30</f>
        <v>11161370.94778985</v>
      </c>
      <c r="E14" s="344">
        <f>'DE-InvAT'!E30</f>
        <v>11161370.94778985</v>
      </c>
      <c r="F14" s="344">
        <f>'DE-InvAT'!F30</f>
        <v>11161370.94778985</v>
      </c>
      <c r="G14" s="344">
        <f>'DE-InvAT'!G30</f>
        <v>11161370.94778985</v>
      </c>
      <c r="H14" s="344">
        <f>'DE-InvAT'!H30</f>
        <v>11161370.94778985</v>
      </c>
      <c r="I14" s="344">
        <f>'DE-InvAT'!I30</f>
        <v>11161370.94778985</v>
      </c>
      <c r="J14" s="344">
        <f>'DE-InvAT'!J30</f>
        <v>11161370.94778985</v>
      </c>
      <c r="K14" s="344">
        <f>'DE-InvAT'!K30</f>
        <v>11161370.94778985</v>
      </c>
      <c r="L14" s="247">
        <f>'DE-InvAT'!L30</f>
        <v>11161370.94778985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343" t="s">
        <v>596</v>
      </c>
      <c r="B15" s="344"/>
      <c r="C15" s="344">
        <f>'DE-InvAT'!C31</f>
        <v>31128082.314484891</v>
      </c>
      <c r="D15" s="344">
        <f>'DE-InvAT'!D31</f>
        <v>31280599.550709892</v>
      </c>
      <c r="E15" s="344">
        <f>'DE-InvAT'!E31</f>
        <v>31185212.364806302</v>
      </c>
      <c r="F15" s="344">
        <f>'DE-InvAT'!F31</f>
        <v>31185212.364806302</v>
      </c>
      <c r="G15" s="344">
        <f>'DE-InvAT'!G31</f>
        <v>31185212.364806302</v>
      </c>
      <c r="H15" s="344">
        <f>'DE-InvAT'!H31</f>
        <v>31185212.364806302</v>
      </c>
      <c r="I15" s="344">
        <f>'DE-InvAT'!I31</f>
        <v>31185212.364806302</v>
      </c>
      <c r="J15" s="344">
        <f>'DE-InvAT'!J31</f>
        <v>31185212.364806302</v>
      </c>
      <c r="K15" s="344">
        <f>'DE-InvAT'!K31</f>
        <v>31185212.364806302</v>
      </c>
      <c r="L15" s="247">
        <f>'DE-InvAT'!L31</f>
        <v>31185212.364806302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345" t="s">
        <v>597</v>
      </c>
      <c r="B16" s="344"/>
      <c r="C16" s="254">
        <f t="shared" ref="C16:L16" si="1">C11-C12-C14-C15</f>
        <v>122837913.45719433</v>
      </c>
      <c r="D16" s="254">
        <f t="shared" si="1"/>
        <v>168922253.47072384</v>
      </c>
      <c r="E16" s="254">
        <f t="shared" si="1"/>
        <v>169017640.65662745</v>
      </c>
      <c r="F16" s="254">
        <f t="shared" si="1"/>
        <v>169017640.65662745</v>
      </c>
      <c r="G16" s="254">
        <f t="shared" si="1"/>
        <v>169017640.65662745</v>
      </c>
      <c r="H16" s="254">
        <f t="shared" si="1"/>
        <v>169017640.65662745</v>
      </c>
      <c r="I16" s="254">
        <f t="shared" si="1"/>
        <v>169017640.65662745</v>
      </c>
      <c r="J16" s="254">
        <f t="shared" si="1"/>
        <v>169017640.65662745</v>
      </c>
      <c r="K16" s="254">
        <f t="shared" si="1"/>
        <v>169017640.65662745</v>
      </c>
      <c r="L16" s="255">
        <f t="shared" si="1"/>
        <v>169017640.65662745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345" t="s">
        <v>598</v>
      </c>
      <c r="B17" s="344"/>
      <c r="C17" s="254">
        <f>('DE-Costos'!B55+'DE-Costos'!B56+'DE-Costos'!B60)*InfoInicial!$B$2</f>
        <v>6149909.7149629882</v>
      </c>
      <c r="D17" s="254">
        <f>('DE-Costos'!C55+'DE-Costos'!C56+'DE-Costos'!C60)*InfoInicial!$B$2</f>
        <v>6149909.7149629882</v>
      </c>
      <c r="E17" s="254">
        <f>('DE-Costos'!D55+'DE-Costos'!D56+'DE-Costos'!D60)*InfoInicial!$B$2</f>
        <v>6149909.7149629882</v>
      </c>
      <c r="F17" s="254">
        <f>('DE-Costos'!E55+'DE-Costos'!E56+'DE-Costos'!E60)*InfoInicial!$B$2</f>
        <v>6149909.7149629882</v>
      </c>
      <c r="G17" s="254">
        <f>('DE-Costos'!F55+'DE-Costos'!F56+'DE-Costos'!F60)*InfoInicial!$B$2</f>
        <v>6149909.7149629882</v>
      </c>
      <c r="H17" s="254">
        <f>('DE-Costos'!G55+'DE-Costos'!G56+'DE-Costos'!G60)*InfoInicial!$B$2</f>
        <v>6149909.7149629882</v>
      </c>
      <c r="I17" s="254">
        <f>('DE-Costos'!H55+'DE-Costos'!H56+'DE-Costos'!H60)*InfoInicial!$B$2</f>
        <v>6149909.7149629882</v>
      </c>
      <c r="J17" s="254">
        <f>('DE-Costos'!I55+'DE-Costos'!I56+'DE-Costos'!I60)*InfoInicial!$B$2</f>
        <v>6149909.7149629882</v>
      </c>
      <c r="K17" s="254">
        <f>('DE-Costos'!J55+'DE-Costos'!J56+'DE-Costos'!J60)*InfoInicial!$B$2</f>
        <v>6149909.7149629882</v>
      </c>
      <c r="L17" s="255">
        <f>('DE-Costos'!K55+'DE-Costos'!K56+'DE-Costos'!K60)*InfoInicial!$B$2</f>
        <v>6149909.7149629882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345" t="s">
        <v>599</v>
      </c>
      <c r="B18" s="344"/>
      <c r="C18" s="254">
        <f>('DE-Costos'!B74+'DE-Costos'!B75+'DE-Costos'!B79)*InfoInicial!$B$2</f>
        <v>6149909.7149629882</v>
      </c>
      <c r="D18" s="254">
        <f>('DE-Costos'!C74+'DE-Costos'!C75+'DE-Costos'!C79)*InfoInicial!$B$2</f>
        <v>6149909.7149629882</v>
      </c>
      <c r="E18" s="254">
        <f>('DE-Costos'!D74+'DE-Costos'!D75+'DE-Costos'!D79)*InfoInicial!$B$2</f>
        <v>6149909.7149629882</v>
      </c>
      <c r="F18" s="254">
        <f>('DE-Costos'!E74+'DE-Costos'!E75+'DE-Costos'!E79)*InfoInicial!$B$2</f>
        <v>6149909.7149629882</v>
      </c>
      <c r="G18" s="254">
        <f>('DE-Costos'!F74+'DE-Costos'!F75+'DE-Costos'!F79)*InfoInicial!$B$2</f>
        <v>6149909.7149629882</v>
      </c>
      <c r="H18" s="254">
        <f>('DE-Costos'!G74+'DE-Costos'!G75+'DE-Costos'!G79)*InfoInicial!$B$2</f>
        <v>6149909.7149629882</v>
      </c>
      <c r="I18" s="254">
        <f>('DE-Costos'!H74+'DE-Costos'!H75+'DE-Costos'!H79)*InfoInicial!$B$2</f>
        <v>6149909.7149629882</v>
      </c>
      <c r="J18" s="254">
        <f>('DE-Costos'!I74+'DE-Costos'!I75+'DE-Costos'!I79)*InfoInicial!$B$2</f>
        <v>6149909.7149629882</v>
      </c>
      <c r="K18" s="254">
        <f>('DE-Costos'!J74+'DE-Costos'!J75+'DE-Costos'!J79)*InfoInicial!$B$2</f>
        <v>6149909.7149629882</v>
      </c>
      <c r="L18" s="255">
        <f>('DE-Costos'!K74+'DE-Costos'!K75+'DE-Costos'!K79)*InfoInicial!$B$2</f>
        <v>6149909.7149629882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345"/>
      <c r="B19" s="344"/>
      <c r="C19" s="228"/>
      <c r="D19" s="228"/>
      <c r="E19" s="228"/>
      <c r="F19" s="228"/>
      <c r="G19" s="228"/>
      <c r="H19" s="228"/>
      <c r="I19" s="228"/>
      <c r="J19" s="228"/>
      <c r="K19" s="228"/>
      <c r="L19" s="24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343" t="s">
        <v>600</v>
      </c>
      <c r="B20" s="344">
        <v>0</v>
      </c>
      <c r="C20" s="228">
        <f t="shared" ref="C20:L20" si="2">C16+C17+C18</f>
        <v>135137732.88712031</v>
      </c>
      <c r="D20" s="228">
        <f t="shared" si="2"/>
        <v>181222072.90064982</v>
      </c>
      <c r="E20" s="228">
        <f t="shared" si="2"/>
        <v>181317460.08655342</v>
      </c>
      <c r="F20" s="228">
        <f t="shared" si="2"/>
        <v>181317460.08655342</v>
      </c>
      <c r="G20" s="228">
        <f t="shared" si="2"/>
        <v>181317460.08655342</v>
      </c>
      <c r="H20" s="228">
        <f t="shared" si="2"/>
        <v>181317460.08655342</v>
      </c>
      <c r="I20" s="228">
        <f t="shared" si="2"/>
        <v>181317460.08655342</v>
      </c>
      <c r="J20" s="228">
        <f t="shared" si="2"/>
        <v>181317460.08655342</v>
      </c>
      <c r="K20" s="228">
        <f t="shared" si="2"/>
        <v>181317460.08655342</v>
      </c>
      <c r="L20" s="247">
        <f t="shared" si="2"/>
        <v>181317460.08655342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343" t="s">
        <v>601</v>
      </c>
      <c r="B21" s="344">
        <v>0</v>
      </c>
      <c r="C21" s="228">
        <f>'DE-Costos'!B94*InfoInicial!$B$2</f>
        <v>414618750</v>
      </c>
      <c r="D21" s="228">
        <f>'DE-Costos'!C94*InfoInicial!$B$2</f>
        <v>614250000</v>
      </c>
      <c r="E21" s="228">
        <f>'DE-Costos'!D94*InfoInicial!$B$2</f>
        <v>614250000</v>
      </c>
      <c r="F21" s="228">
        <f>'DE-Costos'!E94*InfoInicial!$B$2</f>
        <v>614250000</v>
      </c>
      <c r="G21" s="228">
        <f>'DE-Costos'!F94*InfoInicial!$B$2</f>
        <v>614250000</v>
      </c>
      <c r="H21" s="228">
        <f>'DE-Costos'!G94*InfoInicial!$B$2</f>
        <v>614250000</v>
      </c>
      <c r="I21" s="228">
        <f>'DE-Costos'!H94*InfoInicial!$B$2</f>
        <v>614250000</v>
      </c>
      <c r="J21" s="228">
        <f>'DE-Costos'!I94*InfoInicial!$B$2</f>
        <v>614250000</v>
      </c>
      <c r="K21" s="228">
        <f>'DE-Costos'!J94*InfoInicial!$B$2</f>
        <v>614250000</v>
      </c>
      <c r="L21" s="247">
        <f>'DE-Costos'!K94*InfoInicial!$B$2</f>
        <v>614250000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345" t="s">
        <v>602</v>
      </c>
      <c r="B22" s="344">
        <v>0</v>
      </c>
      <c r="C22" s="254">
        <f t="shared" ref="C22:L22" si="3">C21-C20</f>
        <v>279481017.11287969</v>
      </c>
      <c r="D22" s="254">
        <f t="shared" si="3"/>
        <v>433027927.09935021</v>
      </c>
      <c r="E22" s="254">
        <f t="shared" si="3"/>
        <v>432932539.91344655</v>
      </c>
      <c r="F22" s="254">
        <f t="shared" si="3"/>
        <v>432932539.91344655</v>
      </c>
      <c r="G22" s="254">
        <f t="shared" si="3"/>
        <v>432932539.91344655</v>
      </c>
      <c r="H22" s="254">
        <f t="shared" si="3"/>
        <v>432932539.91344655</v>
      </c>
      <c r="I22" s="254">
        <f t="shared" si="3"/>
        <v>432932539.91344655</v>
      </c>
      <c r="J22" s="254">
        <f t="shared" si="3"/>
        <v>432932539.91344655</v>
      </c>
      <c r="K22" s="254">
        <f t="shared" si="3"/>
        <v>432932539.91344655</v>
      </c>
      <c r="L22" s="255">
        <f t="shared" si="3"/>
        <v>432932539.91344655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343"/>
      <c r="B23" s="344"/>
      <c r="C23" s="228"/>
      <c r="D23" s="228"/>
      <c r="E23" s="228"/>
      <c r="F23" s="228"/>
      <c r="G23" s="228"/>
      <c r="H23" s="228"/>
      <c r="I23" s="228"/>
      <c r="J23" s="228"/>
      <c r="K23" s="228"/>
      <c r="L23" s="24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346" t="s">
        <v>603</v>
      </c>
      <c r="B24" s="344">
        <v>0</v>
      </c>
      <c r="C24" s="228">
        <f t="shared" ref="C24:L24" si="4">B26</f>
        <v>650314404.38528562</v>
      </c>
      <c r="D24" s="228">
        <f t="shared" si="4"/>
        <v>497360042.97191733</v>
      </c>
      <c r="E24" s="228">
        <f t="shared" si="4"/>
        <v>0</v>
      </c>
      <c r="F24" s="228">
        <f t="shared" si="4"/>
        <v>0</v>
      </c>
      <c r="G24" s="228">
        <f t="shared" si="4"/>
        <v>0</v>
      </c>
      <c r="H24" s="228">
        <f t="shared" si="4"/>
        <v>0</v>
      </c>
      <c r="I24" s="228">
        <f t="shared" si="4"/>
        <v>0</v>
      </c>
      <c r="J24" s="228">
        <f t="shared" si="4"/>
        <v>0</v>
      </c>
      <c r="K24" s="228">
        <f t="shared" si="4"/>
        <v>0</v>
      </c>
      <c r="L24" s="247">
        <f t="shared" si="4"/>
        <v>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346" t="s">
        <v>604</v>
      </c>
      <c r="B25" s="344">
        <f>'DE-Cal Inv.'!B21+'DE-Cal Inv.'!C21</f>
        <v>650314404.38528562</v>
      </c>
      <c r="C25" s="228">
        <f>'DE-Cal Inv.'!D21</f>
        <v>126526655.69951144</v>
      </c>
      <c r="D25" s="228">
        <f>'DE-Cal Inv.'!E21</f>
        <v>41839896.581781365</v>
      </c>
      <c r="E25" s="228">
        <v>0</v>
      </c>
      <c r="F25" s="228">
        <v>0</v>
      </c>
      <c r="G25" s="228">
        <v>0</v>
      </c>
      <c r="H25" s="228">
        <v>0</v>
      </c>
      <c r="I25" s="228">
        <v>0</v>
      </c>
      <c r="J25" s="228">
        <v>0</v>
      </c>
      <c r="K25" s="228">
        <v>0</v>
      </c>
      <c r="L25" s="247">
        <v>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345" t="s">
        <v>605</v>
      </c>
      <c r="B26" s="344">
        <f t="shared" ref="B26:C26" si="5">B25+B24-B22</f>
        <v>650314404.38528562</v>
      </c>
      <c r="C26" s="228">
        <f t="shared" si="5"/>
        <v>497360042.97191733</v>
      </c>
      <c r="D26" s="228">
        <v>0</v>
      </c>
      <c r="E26" s="228">
        <v>0</v>
      </c>
      <c r="F26" s="228">
        <v>0</v>
      </c>
      <c r="G26" s="228">
        <v>0</v>
      </c>
      <c r="H26" s="228">
        <v>0</v>
      </c>
      <c r="I26" s="228">
        <v>0</v>
      </c>
      <c r="J26" s="228">
        <v>0</v>
      </c>
      <c r="K26" s="228">
        <v>0</v>
      </c>
      <c r="L26" s="247">
        <v>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345" t="s">
        <v>606</v>
      </c>
      <c r="B27" s="344">
        <v>0</v>
      </c>
      <c r="C27" s="228">
        <f t="shared" ref="C27:K27" si="6">C24+C25-C26</f>
        <v>279481017.11287969</v>
      </c>
      <c r="D27" s="228">
        <f t="shared" si="6"/>
        <v>539199939.55369866</v>
      </c>
      <c r="E27" s="228">
        <f t="shared" si="6"/>
        <v>0</v>
      </c>
      <c r="F27" s="228">
        <f t="shared" si="6"/>
        <v>0</v>
      </c>
      <c r="G27" s="228">
        <f t="shared" si="6"/>
        <v>0</v>
      </c>
      <c r="H27" s="228">
        <f t="shared" si="6"/>
        <v>0</v>
      </c>
      <c r="I27" s="228">
        <f t="shared" si="6"/>
        <v>0</v>
      </c>
      <c r="J27" s="228">
        <f t="shared" si="6"/>
        <v>0</v>
      </c>
      <c r="K27" s="228">
        <f t="shared" si="6"/>
        <v>0</v>
      </c>
      <c r="L27" s="247">
        <v>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343"/>
      <c r="B28" s="344"/>
      <c r="C28" s="228"/>
      <c r="D28" s="228"/>
      <c r="E28" s="228"/>
      <c r="F28" s="228"/>
      <c r="G28" s="228"/>
      <c r="H28" s="228"/>
      <c r="I28" s="228"/>
      <c r="J28" s="228"/>
      <c r="K28" s="228"/>
      <c r="L28" s="24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>
      <c r="A29" s="347" t="s">
        <v>607</v>
      </c>
      <c r="B29" s="348"/>
      <c r="C29" s="349">
        <f t="shared" ref="C29:L29" si="7">C22-C27</f>
        <v>0</v>
      </c>
      <c r="D29" s="349">
        <f t="shared" si="7"/>
        <v>-106172012.45434844</v>
      </c>
      <c r="E29" s="349">
        <f t="shared" si="7"/>
        <v>432932539.91344655</v>
      </c>
      <c r="F29" s="349">
        <f t="shared" si="7"/>
        <v>432932539.91344655</v>
      </c>
      <c r="G29" s="349">
        <f t="shared" si="7"/>
        <v>432932539.91344655</v>
      </c>
      <c r="H29" s="349">
        <f t="shared" si="7"/>
        <v>432932539.91344655</v>
      </c>
      <c r="I29" s="349">
        <f t="shared" si="7"/>
        <v>432932539.91344655</v>
      </c>
      <c r="J29" s="349">
        <f t="shared" si="7"/>
        <v>432932539.91344655</v>
      </c>
      <c r="K29" s="349">
        <f t="shared" si="7"/>
        <v>432932539.91344655</v>
      </c>
      <c r="L29" s="350">
        <f t="shared" si="7"/>
        <v>432932539.91344655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5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5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5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5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5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5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5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35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35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5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5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:L1"/>
    <mergeCell ref="B2:L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>
      <selection activeCell="N13" sqref="N13"/>
    </sheetView>
  </sheetViews>
  <sheetFormatPr baseColWidth="10" defaultColWidth="12.5703125" defaultRowHeight="15" customHeight="1"/>
  <cols>
    <col min="1" max="1" width="8" customWidth="1"/>
    <col min="2" max="2" width="19" customWidth="1"/>
    <col min="3" max="3" width="19.28515625" customWidth="1"/>
    <col min="4" max="4" width="19.140625" customWidth="1"/>
    <col min="5" max="5" width="16" customWidth="1"/>
    <col min="6" max="6" width="17.42578125" customWidth="1"/>
    <col min="7" max="7" width="18.140625" customWidth="1"/>
    <col min="8" max="8" width="18.5703125" customWidth="1"/>
    <col min="9" max="9" width="17.5703125" customWidth="1"/>
    <col min="10" max="10" width="15.85546875" customWidth="1"/>
    <col min="11" max="11" width="18.140625" customWidth="1"/>
    <col min="12" max="13" width="19.42578125" customWidth="1"/>
    <col min="14" max="14" width="17.42578125" customWidth="1"/>
    <col min="15" max="26" width="10" customWidth="1"/>
  </cols>
  <sheetData>
    <row r="1" spans="1:26" ht="16.5" customHeight="1">
      <c r="A1" s="644" t="s">
        <v>608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9" customHeight="1">
      <c r="A2" s="337" t="s">
        <v>248</v>
      </c>
      <c r="B2" s="338" t="s">
        <v>609</v>
      </c>
      <c r="C2" s="338" t="s">
        <v>610</v>
      </c>
      <c r="D2" s="338" t="s">
        <v>611</v>
      </c>
      <c r="E2" s="338" t="s">
        <v>191</v>
      </c>
      <c r="F2" s="338" t="s">
        <v>612</v>
      </c>
      <c r="G2" s="338" t="s">
        <v>613</v>
      </c>
      <c r="H2" s="338" t="s">
        <v>614</v>
      </c>
      <c r="I2" s="338" t="s">
        <v>615</v>
      </c>
      <c r="J2" s="338" t="s">
        <v>616</v>
      </c>
      <c r="K2" s="338" t="s">
        <v>617</v>
      </c>
      <c r="L2" s="352" t="s">
        <v>618</v>
      </c>
      <c r="M2" s="353" t="s">
        <v>619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354">
        <v>0</v>
      </c>
      <c r="B3" s="342">
        <f>'DE-Cal Inv.'!B6+'DE-Cal Inv.'!C6</f>
        <v>2859512234.8710747</v>
      </c>
      <c r="C3" s="274">
        <f>'DE-Cal Inv.'!C16</f>
        <v>237223024.10647607</v>
      </c>
      <c r="D3" s="274">
        <f>'DE-IVA '!B25</f>
        <v>650314404.38528562</v>
      </c>
      <c r="E3" s="274">
        <v>0</v>
      </c>
      <c r="F3" s="274">
        <v>0</v>
      </c>
      <c r="G3" s="274">
        <f t="shared" ref="G3:G13" si="0">(SUM(B3:F3))</f>
        <v>3747049663.3628359</v>
      </c>
      <c r="H3" s="274">
        <v>0</v>
      </c>
      <c r="I3" s="274">
        <v>0</v>
      </c>
      <c r="J3" s="274">
        <v>0</v>
      </c>
      <c r="K3" s="274">
        <f t="shared" ref="K3:K13" si="1">SUM(H3:J3)</f>
        <v>0</v>
      </c>
      <c r="L3" s="329">
        <f t="shared" ref="L3:L13" si="2">K3-G3</f>
        <v>-3747049663.3628359</v>
      </c>
      <c r="M3" s="275">
        <f>L3</f>
        <v>-3747049663.3628359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355">
        <v>1</v>
      </c>
      <c r="B4" s="344">
        <f>'DE-Cal Inv.'!D6</f>
        <v>9335324.2791182324</v>
      </c>
      <c r="C4" s="228">
        <f>'DE-Cal Inv.'!D16</f>
        <v>593172560.0042696</v>
      </c>
      <c r="D4" s="274">
        <f>'DE-IVA '!C25</f>
        <v>126526655.69951144</v>
      </c>
      <c r="E4" s="228">
        <f>'DE-Costos'!B123</f>
        <v>0</v>
      </c>
      <c r="F4" s="228">
        <f>'DE-Costos'!B124</f>
        <v>354178204.62354016</v>
      </c>
      <c r="G4" s="274">
        <f t="shared" si="0"/>
        <v>1083212744.6064394</v>
      </c>
      <c r="H4" s="228">
        <f>'DE-Costos'!B122</f>
        <v>1011937727.4958291</v>
      </c>
      <c r="I4" s="228">
        <f>'DE-Costos'!B131</f>
        <v>178411402.32590628</v>
      </c>
      <c r="J4" s="228">
        <f>'DE-IVA '!C27</f>
        <v>279481017.11287969</v>
      </c>
      <c r="K4" s="274">
        <f t="shared" si="1"/>
        <v>1469830146.9346151</v>
      </c>
      <c r="L4" s="329">
        <f t="shared" si="2"/>
        <v>386617402.32817578</v>
      </c>
      <c r="M4" s="247">
        <f t="shared" ref="M4:M13" si="3">M3+L4</f>
        <v>-3360432261.0346603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355">
        <v>2</v>
      </c>
      <c r="B5" s="344"/>
      <c r="C5" s="228">
        <f>'DE-Cal Inv.'!E16</f>
        <v>199237602.77038747</v>
      </c>
      <c r="D5" s="274">
        <f>'DE-IVA '!D25</f>
        <v>41839896.581781365</v>
      </c>
      <c r="E5" s="228">
        <f>'DE-Costos'!C123</f>
        <v>0</v>
      </c>
      <c r="F5" s="228">
        <f>'DE-Costos'!C124</f>
        <v>550229230.17148054</v>
      </c>
      <c r="G5" s="274">
        <f t="shared" si="0"/>
        <v>791306729.52364933</v>
      </c>
      <c r="H5" s="228">
        <f>'DE-Costos'!C122</f>
        <v>1572083514.7756588</v>
      </c>
      <c r="I5" s="228">
        <f>'DE-Costos'!C131</f>
        <v>178411402.32590628</v>
      </c>
      <c r="J5" s="228">
        <f>'DE-IVA '!D27</f>
        <v>539199939.55369866</v>
      </c>
      <c r="K5" s="274">
        <f t="shared" si="1"/>
        <v>2289694856.6552639</v>
      </c>
      <c r="L5" s="329">
        <f t="shared" si="2"/>
        <v>1498388127.1316147</v>
      </c>
      <c r="M5" s="247">
        <f t="shared" si="3"/>
        <v>-1862044133.9030457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355">
        <v>3</v>
      </c>
      <c r="B6" s="344"/>
      <c r="C6" s="228">
        <f>'DE-Cal Inv.'!F16</f>
        <v>-585291.42366945744</v>
      </c>
      <c r="D6" s="228">
        <f>'DE-IVA '!E25</f>
        <v>0</v>
      </c>
      <c r="E6" s="228">
        <f>'DE-Costos'!D123</f>
        <v>0</v>
      </c>
      <c r="F6" s="228">
        <f>'DE-Costos'!D124</f>
        <v>551087885.27998078</v>
      </c>
      <c r="G6" s="274">
        <f t="shared" si="0"/>
        <v>550502593.85631132</v>
      </c>
      <c r="H6" s="228">
        <f>'DE-Costos'!D122</f>
        <v>1574536815.0856595</v>
      </c>
      <c r="I6" s="228">
        <f>'DE-Costos'!D131</f>
        <v>178411402.32590628</v>
      </c>
      <c r="J6" s="296">
        <f>'DE-IVA '!E27</f>
        <v>0</v>
      </c>
      <c r="K6" s="274">
        <f t="shared" si="1"/>
        <v>1752948217.4115658</v>
      </c>
      <c r="L6" s="329">
        <f t="shared" si="2"/>
        <v>1202445623.5552545</v>
      </c>
      <c r="M6" s="247">
        <f t="shared" si="3"/>
        <v>-659598510.34779119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355">
        <v>4</v>
      </c>
      <c r="B7" s="344"/>
      <c r="C7" s="228">
        <f>'DE-Cal Inv.'!G16</f>
        <v>-24842.929286003113</v>
      </c>
      <c r="D7" s="228">
        <f>'DE-IVA '!F25</f>
        <v>0</v>
      </c>
      <c r="E7" s="228">
        <f>'DE-Costos'!E123</f>
        <v>0</v>
      </c>
      <c r="F7" s="228">
        <f>'DE-Costos'!E124</f>
        <v>551246863.9231534</v>
      </c>
      <c r="G7" s="274">
        <f t="shared" si="0"/>
        <v>551222020.9938674</v>
      </c>
      <c r="H7" s="228">
        <f>'DE-Costos'!E122</f>
        <v>1574991039.7804384</v>
      </c>
      <c r="I7" s="228">
        <f>'DE-Costos'!E131</f>
        <v>178411402.32590628</v>
      </c>
      <c r="J7" s="296">
        <f>'DE-IVA '!F27</f>
        <v>0</v>
      </c>
      <c r="K7" s="274">
        <f t="shared" si="1"/>
        <v>1753402442.1063447</v>
      </c>
      <c r="L7" s="329">
        <f t="shared" si="2"/>
        <v>1202180421.1124773</v>
      </c>
      <c r="M7" s="247">
        <f t="shared" si="3"/>
        <v>542581910.76468611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355">
        <v>5</v>
      </c>
      <c r="B8" s="344"/>
      <c r="C8" s="228">
        <f>'DE-Cal Inv.'!H16</f>
        <v>0</v>
      </c>
      <c r="D8" s="228">
        <f>'DE-IVA '!G25</f>
        <v>0</v>
      </c>
      <c r="E8" s="228">
        <f>'DE-Costos'!F123</f>
        <v>0</v>
      </c>
      <c r="F8" s="228">
        <f>'DE-Costos'!F124</f>
        <v>551246863.9231534</v>
      </c>
      <c r="G8" s="274">
        <f t="shared" si="0"/>
        <v>551246863.9231534</v>
      </c>
      <c r="H8" s="228">
        <f>'DE-Costos'!F122</f>
        <v>1574991039.7804384</v>
      </c>
      <c r="I8" s="228">
        <f>'DE-Costos'!F131</f>
        <v>178411402.32590628</v>
      </c>
      <c r="J8" s="296">
        <f>'DE-IVA '!G27</f>
        <v>0</v>
      </c>
      <c r="K8" s="274">
        <f t="shared" si="1"/>
        <v>1753402442.1063447</v>
      </c>
      <c r="L8" s="329">
        <f t="shared" si="2"/>
        <v>1202155578.1831913</v>
      </c>
      <c r="M8" s="247">
        <f t="shared" si="3"/>
        <v>1744737488.9478774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355">
        <v>6</v>
      </c>
      <c r="B9" s="344"/>
      <c r="C9" s="228">
        <f>'DE-Cal Inv.'!I16</f>
        <v>15509.602952152491</v>
      </c>
      <c r="D9" s="228">
        <f>'DE-IVA '!H25</f>
        <v>0</v>
      </c>
      <c r="E9" s="228">
        <f>'DE-Costos'!G123</f>
        <v>0</v>
      </c>
      <c r="F9" s="228">
        <f>'DE-Costos'!G124</f>
        <v>551246863.9231534</v>
      </c>
      <c r="G9" s="274">
        <f t="shared" si="0"/>
        <v>551262373.52610552</v>
      </c>
      <c r="H9" s="228">
        <f>'DE-Costos'!G122</f>
        <v>1574991039.7804384</v>
      </c>
      <c r="I9" s="228">
        <f>'DE-Costos'!G131</f>
        <v>8581250</v>
      </c>
      <c r="J9" s="296">
        <f>'DE-IVA '!H27</f>
        <v>0</v>
      </c>
      <c r="K9" s="274">
        <f t="shared" si="1"/>
        <v>1583572289.7804384</v>
      </c>
      <c r="L9" s="329">
        <f t="shared" si="2"/>
        <v>1032309916.2543329</v>
      </c>
      <c r="M9" s="247">
        <f t="shared" si="3"/>
        <v>2777047405.2022104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355">
        <v>7</v>
      </c>
      <c r="B10" s="344"/>
      <c r="C10" s="228">
        <f>'DE-Cal Inv.'!J16</f>
        <v>0</v>
      </c>
      <c r="D10" s="296">
        <f>'DE-IVA '!I25</f>
        <v>0</v>
      </c>
      <c r="E10" s="228">
        <f>'DE-Costos'!H123</f>
        <v>0</v>
      </c>
      <c r="F10" s="228">
        <f>'DE-Costos'!H124</f>
        <v>551246863.9231534</v>
      </c>
      <c r="G10" s="274">
        <f t="shared" si="0"/>
        <v>551246863.9231534</v>
      </c>
      <c r="H10" s="228">
        <f>'DE-Costos'!H122</f>
        <v>1574991039.7804384</v>
      </c>
      <c r="I10" s="228">
        <f>'DE-Costos'!H131</f>
        <v>8581250</v>
      </c>
      <c r="J10" s="296">
        <f>'DE-IVA '!I27</f>
        <v>0</v>
      </c>
      <c r="K10" s="274">
        <f t="shared" si="1"/>
        <v>1583572289.7804384</v>
      </c>
      <c r="L10" s="329">
        <f t="shared" si="2"/>
        <v>1032325425.857285</v>
      </c>
      <c r="M10" s="247">
        <f t="shared" si="3"/>
        <v>3809372831.0594954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55">
        <v>8</v>
      </c>
      <c r="B11" s="344"/>
      <c r="C11" s="228">
        <f>'DE-Cal Inv.'!G14</f>
        <v>0</v>
      </c>
      <c r="D11" s="296">
        <f>'DE-IVA '!J25</f>
        <v>0</v>
      </c>
      <c r="E11" s="228">
        <f>'DE-Costos'!I123</f>
        <v>0</v>
      </c>
      <c r="F11" s="228">
        <f>'DE-Costos'!I124</f>
        <v>551246863.9231534</v>
      </c>
      <c r="G11" s="274">
        <f t="shared" si="0"/>
        <v>551246863.9231534</v>
      </c>
      <c r="H11" s="228">
        <f>'DE-Costos'!I122</f>
        <v>1574991039.7804384</v>
      </c>
      <c r="I11" s="228">
        <f>'DE-Costos'!I131</f>
        <v>8581250</v>
      </c>
      <c r="J11" s="296">
        <f>'DE-IVA '!J27</f>
        <v>0</v>
      </c>
      <c r="K11" s="274">
        <f t="shared" si="1"/>
        <v>1583572289.7804384</v>
      </c>
      <c r="L11" s="329">
        <f t="shared" si="2"/>
        <v>1032325425.857285</v>
      </c>
      <c r="M11" s="247">
        <f t="shared" si="3"/>
        <v>4841698256.9167805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55">
        <v>9</v>
      </c>
      <c r="B12" s="344"/>
      <c r="C12" s="228">
        <f>'DE-Cal Inv.'!H14</f>
        <v>0</v>
      </c>
      <c r="D12" s="296">
        <f>'DE-IVA '!K25</f>
        <v>0</v>
      </c>
      <c r="E12" s="228">
        <f>'DE-Costos'!J123</f>
        <v>0</v>
      </c>
      <c r="F12" s="228">
        <f>'DE-Costos'!J124</f>
        <v>551246863.9231534</v>
      </c>
      <c r="G12" s="274">
        <f t="shared" si="0"/>
        <v>551246863.9231534</v>
      </c>
      <c r="H12" s="228">
        <f>'DE-Costos'!J122</f>
        <v>1574991039.7804384</v>
      </c>
      <c r="I12" s="228">
        <f>'DE-Costos'!J131</f>
        <v>8581250</v>
      </c>
      <c r="J12" s="296">
        <f>'DE-IVA '!K27</f>
        <v>0</v>
      </c>
      <c r="K12" s="274">
        <f t="shared" si="1"/>
        <v>1583572289.7804384</v>
      </c>
      <c r="L12" s="329">
        <f t="shared" si="2"/>
        <v>1032325425.857285</v>
      </c>
      <c r="M12" s="247">
        <f t="shared" si="3"/>
        <v>5874023682.774065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355">
        <v>10</v>
      </c>
      <c r="B13" s="344">
        <f>-'DE-Inv AF y Am'!G55</f>
        <v>-1933884297.5206616</v>
      </c>
      <c r="C13" s="228">
        <f>-'DE-Cal Inv.'!N16</f>
        <v>-1029038562.1311297</v>
      </c>
      <c r="D13" s="296">
        <f>'DE-IVA '!L25</f>
        <v>0</v>
      </c>
      <c r="E13" s="228">
        <f>'DE-Costos'!K123</f>
        <v>0</v>
      </c>
      <c r="F13" s="228">
        <f>'DE-Costos'!K124</f>
        <v>551246863.9231534</v>
      </c>
      <c r="G13" s="274">
        <f t="shared" si="0"/>
        <v>-2411675995.7286382</v>
      </c>
      <c r="H13" s="228">
        <f>'DE-Costos'!K122</f>
        <v>1574991039.7804384</v>
      </c>
      <c r="I13" s="228">
        <f>'DE-Costos'!K131</f>
        <v>8581250</v>
      </c>
      <c r="J13" s="296">
        <f>'DE-IVA '!L27</f>
        <v>0</v>
      </c>
      <c r="K13" s="274">
        <f t="shared" si="1"/>
        <v>1583572289.7804384</v>
      </c>
      <c r="L13" s="329">
        <f t="shared" si="2"/>
        <v>3995248285.5090766</v>
      </c>
      <c r="M13" s="247">
        <f t="shared" si="3"/>
        <v>9869271968.2831421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355"/>
      <c r="B14" s="344"/>
      <c r="C14" s="228"/>
      <c r="D14" s="228"/>
      <c r="E14" s="228"/>
      <c r="F14" s="228"/>
      <c r="G14" s="228"/>
      <c r="H14" s="228"/>
      <c r="I14" s="228"/>
      <c r="J14" s="228"/>
      <c r="K14" s="228"/>
      <c r="L14" s="331"/>
      <c r="M14" s="24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>
      <c r="A15" s="356" t="s">
        <v>620</v>
      </c>
      <c r="B15" s="357">
        <f t="shared" ref="B15:L15" si="4">SUM(B3:B13)</f>
        <v>934963261.62953115</v>
      </c>
      <c r="C15" s="358">
        <f t="shared" si="4"/>
        <v>0</v>
      </c>
      <c r="D15" s="359">
        <f t="shared" si="4"/>
        <v>818680956.66657841</v>
      </c>
      <c r="E15" s="348">
        <f t="shared" si="4"/>
        <v>0</v>
      </c>
      <c r="F15" s="348">
        <f t="shared" si="4"/>
        <v>5314223367.537075</v>
      </c>
      <c r="G15" s="360">
        <f t="shared" si="4"/>
        <v>7067867585.8331833</v>
      </c>
      <c r="H15" s="348">
        <f t="shared" si="4"/>
        <v>15183495335.820213</v>
      </c>
      <c r="I15" s="357">
        <f t="shared" si="4"/>
        <v>934963261.62953138</v>
      </c>
      <c r="J15" s="359">
        <f t="shared" si="4"/>
        <v>818680956.66657829</v>
      </c>
      <c r="K15" s="360">
        <f t="shared" si="4"/>
        <v>16937139554.116322</v>
      </c>
      <c r="L15" s="348">
        <f t="shared" si="4"/>
        <v>9869271968.2831421</v>
      </c>
      <c r="M15" s="324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8"/>
      <c r="C17" s="14" t="s">
        <v>621</v>
      </c>
      <c r="D17" s="526">
        <f>L15</f>
        <v>9869271968.2831421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54"/>
      <c r="B18" s="8"/>
      <c r="C18" s="14" t="s">
        <v>622</v>
      </c>
      <c r="D18" s="25">
        <v>3</v>
      </c>
      <c r="E18" s="361" t="s">
        <v>623</v>
      </c>
      <c r="F18" s="361">
        <f>ROUNDUP(((-M6)/L7)*365,0)</f>
        <v>201</v>
      </c>
      <c r="G18" s="225" t="s">
        <v>129</v>
      </c>
      <c r="H18" s="8"/>
      <c r="I18" s="8"/>
      <c r="J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8"/>
      <c r="C19" s="14" t="s">
        <v>624</v>
      </c>
      <c r="D19" s="362">
        <f>IRR(L3:L13)</f>
        <v>0.26828869921742848</v>
      </c>
      <c r="E19" s="8"/>
      <c r="G19" s="8"/>
      <c r="H19" s="8"/>
      <c r="I19" s="8"/>
      <c r="J19" s="9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92"/>
      <c r="B20" s="284"/>
      <c r="C20" s="14"/>
      <c r="D20" s="285"/>
      <c r="E20" s="284"/>
      <c r="F20" s="363"/>
      <c r="G20" s="363"/>
      <c r="H20" s="363"/>
      <c r="I20" s="284"/>
      <c r="J20" s="363"/>
      <c r="K20" s="363"/>
      <c r="L20" s="363"/>
      <c r="M20" s="363"/>
      <c r="N20" s="284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364"/>
      <c r="B21" s="363"/>
      <c r="C21" s="365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8"/>
      <c r="C22" s="14" t="s">
        <v>621</v>
      </c>
      <c r="D22" s="366">
        <f>H15-E15-F15</f>
        <v>9869271968.2831383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351"/>
      <c r="B23" s="8"/>
      <c r="C23" s="8"/>
      <c r="D23" s="9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35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5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5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M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4"/>
  <sheetViews>
    <sheetView topLeftCell="D28" workbookViewId="0">
      <selection activeCell="I41" sqref="I41"/>
    </sheetView>
  </sheetViews>
  <sheetFormatPr baseColWidth="10" defaultColWidth="12.5703125" defaultRowHeight="15" customHeight="1"/>
  <cols>
    <col min="1" max="1" width="54.42578125" customWidth="1"/>
    <col min="2" max="2" width="25.5703125" customWidth="1"/>
    <col min="3" max="3" width="20.7109375" customWidth="1"/>
    <col min="4" max="4" width="22.28515625" customWidth="1"/>
    <col min="5" max="5" width="18.42578125" customWidth="1"/>
    <col min="6" max="6" width="18.5703125" customWidth="1"/>
    <col min="7" max="7" width="25.5703125" customWidth="1"/>
    <col min="8" max="8" width="20" customWidth="1"/>
    <col min="9" max="9" width="18.42578125" customWidth="1"/>
    <col min="10" max="10" width="18.28515625" customWidth="1"/>
    <col min="11" max="11" width="17.85546875" customWidth="1"/>
    <col min="12" max="26" width="10" customWidth="1"/>
  </cols>
  <sheetData>
    <row r="1" spans="1:26" ht="16.5" customHeight="1">
      <c r="A1" s="367" t="s">
        <v>625</v>
      </c>
      <c r="B1" s="368"/>
      <c r="C1" s="368"/>
      <c r="D1" s="36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>
      <c r="A2" s="370" t="s">
        <v>421</v>
      </c>
      <c r="B2" s="370" t="s">
        <v>297</v>
      </c>
      <c r="C2" s="370" t="s">
        <v>112</v>
      </c>
      <c r="D2" s="370" t="s">
        <v>70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54" t="s">
        <v>626</v>
      </c>
      <c r="B3" s="228"/>
      <c r="C3" s="228"/>
      <c r="D3" s="24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8"/>
      <c r="B4" s="228"/>
      <c r="C4" s="228"/>
      <c r="D4" s="24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8" t="s">
        <v>263</v>
      </c>
      <c r="B5" s="228">
        <f>'DE-Inv AF y Am'!B20</f>
        <v>2840006774.8710747</v>
      </c>
      <c r="C5" s="228">
        <v>0</v>
      </c>
      <c r="D5" s="247">
        <f t="shared" ref="D5:D9" si="0">SUM(B5:C5)</f>
        <v>2840006774.8710747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8" t="s">
        <v>627</v>
      </c>
      <c r="B6" s="228">
        <f>'DE-Inv AF y Am'!B31+'DF-Cred'!M6</f>
        <v>574627462.69556236</v>
      </c>
      <c r="C6" s="228">
        <f>'DE-Inv AF y Am'!C31</f>
        <v>9335324.2791182324</v>
      </c>
      <c r="D6" s="247">
        <f t="shared" si="0"/>
        <v>583962786.97468054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54" t="s">
        <v>628</v>
      </c>
      <c r="B7" s="228">
        <f t="shared" ref="B7:C7" si="1">SUM(B5:B6)</f>
        <v>3414634237.566637</v>
      </c>
      <c r="C7" s="228">
        <f t="shared" si="1"/>
        <v>9335324.2791182324</v>
      </c>
      <c r="D7" s="371">
        <f t="shared" si="0"/>
        <v>3423969561.8457551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317" t="s">
        <v>629</v>
      </c>
      <c r="B8" s="228">
        <f t="shared" ref="B8:C8" si="2">0.21*B7</f>
        <v>717073189.88899374</v>
      </c>
      <c r="C8" s="228">
        <f t="shared" si="2"/>
        <v>1960418.0986148287</v>
      </c>
      <c r="D8" s="247">
        <f t="shared" si="0"/>
        <v>719033607.98760855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54" t="s">
        <v>630</v>
      </c>
      <c r="B9" s="228">
        <f t="shared" ref="B9:C9" si="3">B7+B8</f>
        <v>4131707427.4556308</v>
      </c>
      <c r="C9" s="228">
        <f t="shared" si="3"/>
        <v>11295742.377733061</v>
      </c>
      <c r="D9" s="247">
        <f t="shared" si="0"/>
        <v>4143003169.833364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54" t="s">
        <v>631</v>
      </c>
      <c r="B10" s="228"/>
      <c r="C10" s="228"/>
      <c r="D10" s="24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17" t="s">
        <v>632</v>
      </c>
      <c r="B11" s="228">
        <f>'DE-InvAT'!B4</f>
        <v>39487500</v>
      </c>
      <c r="C11" s="228">
        <f>'DE-InvAT'!C4</f>
        <v>58500000</v>
      </c>
      <c r="D11" s="247">
        <f t="shared" ref="D11:D14" si="4">B11+C11</f>
        <v>97987500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8" t="s">
        <v>633</v>
      </c>
      <c r="B12" s="228">
        <f>'DE-InvAT'!B5</f>
        <v>0</v>
      </c>
      <c r="C12" s="228">
        <f>'DE-InvAT'!C5</f>
        <v>162277397.26027396</v>
      </c>
      <c r="D12" s="247">
        <f t="shared" si="4"/>
        <v>162277397.26027396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8" t="s">
        <v>634</v>
      </c>
      <c r="B13" s="228">
        <f>'DE-InvAT'!B7</f>
        <v>197735524.10647607</v>
      </c>
      <c r="C13" s="228">
        <f>'DE-InvAT'!C7</f>
        <v>696359511.90150857</v>
      </c>
      <c r="D13" s="247">
        <f t="shared" si="4"/>
        <v>894095036.00798464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54" t="s">
        <v>635</v>
      </c>
      <c r="B14" s="228">
        <f t="shared" ref="B14:C14" si="5">SUM(B11:B13)</f>
        <v>237223024.10647607</v>
      </c>
      <c r="C14" s="228">
        <f t="shared" si="5"/>
        <v>917136909.1617825</v>
      </c>
      <c r="D14" s="371">
        <f t="shared" si="4"/>
        <v>1154359933.2682586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8" t="s">
        <v>474</v>
      </c>
      <c r="B15" s="228"/>
      <c r="C15" s="228"/>
      <c r="D15" s="24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 t="s">
        <v>636</v>
      </c>
      <c r="B16" s="228">
        <f>'DE-InvAT'!B15+'DE-InvAT'!B16</f>
        <v>0</v>
      </c>
      <c r="C16" s="228">
        <f>'DE-InvAT'!C15+'DE-InvAT'!C16</f>
        <v>32665588.393594645</v>
      </c>
      <c r="D16" s="247">
        <f t="shared" ref="D16:D22" si="6">B16+C16</f>
        <v>32665588.393594645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 t="s">
        <v>637</v>
      </c>
      <c r="B17" s="228">
        <f>'DE-InvAT'!B16+'DE-InvAT'!B17</f>
        <v>0</v>
      </c>
      <c r="C17" s="228">
        <f>'DE-InvAT'!C18</f>
        <v>13310.119993818416</v>
      </c>
      <c r="D17" s="247">
        <f t="shared" si="6"/>
        <v>13310.119993818416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 t="s">
        <v>638</v>
      </c>
      <c r="B18" s="228">
        <f>'DE-InvAT'!B17+'DE-InvAT'!B18</f>
        <v>0</v>
      </c>
      <c r="C18" s="228">
        <f>'DE-InvAT'!C17</f>
        <v>54062426.537448399</v>
      </c>
      <c r="D18" s="247">
        <f t="shared" si="6"/>
        <v>54062426.537448399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54" t="s">
        <v>639</v>
      </c>
      <c r="B19" s="228">
        <f t="shared" ref="B19:C19" si="7">B14-SUM(B16:B18)</f>
        <v>237223024.10647607</v>
      </c>
      <c r="C19" s="228">
        <f t="shared" si="7"/>
        <v>830395584.11074567</v>
      </c>
      <c r="D19" s="247">
        <f t="shared" si="6"/>
        <v>1067618608.2172217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 t="s">
        <v>640</v>
      </c>
      <c r="B20" s="228">
        <f t="shared" ref="B20:C20" si="8">0.21*B19</f>
        <v>49816835.062359974</v>
      </c>
      <c r="C20" s="228">
        <f t="shared" si="8"/>
        <v>174383072.66325659</v>
      </c>
      <c r="D20" s="247">
        <f t="shared" si="6"/>
        <v>224199907.72561657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54" t="s">
        <v>641</v>
      </c>
      <c r="B21" s="228">
        <f t="shared" ref="B21:C21" si="9">B20+B14</f>
        <v>287039859.16883606</v>
      </c>
      <c r="C21" s="228">
        <f t="shared" si="9"/>
        <v>1091519981.8250391</v>
      </c>
      <c r="D21" s="247">
        <f t="shared" si="6"/>
        <v>1378559840.9938753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54" t="s">
        <v>642</v>
      </c>
      <c r="B22" s="228">
        <f t="shared" ref="B22:C22" si="10">B20+B19</f>
        <v>287039859.16883606</v>
      </c>
      <c r="C22" s="228">
        <f t="shared" si="10"/>
        <v>1004778656.7740023</v>
      </c>
      <c r="D22" s="247">
        <f t="shared" si="6"/>
        <v>1291818515.9428384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54" t="s">
        <v>643</v>
      </c>
      <c r="B23" s="228"/>
      <c r="C23" s="228"/>
      <c r="D23" s="24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 t="s">
        <v>644</v>
      </c>
      <c r="B24" s="228">
        <f t="shared" ref="B24:C24" si="11">B9</f>
        <v>4131707427.4556308</v>
      </c>
      <c r="C24" s="228">
        <f t="shared" si="11"/>
        <v>11295742.377733061</v>
      </c>
      <c r="D24" s="247">
        <f t="shared" ref="D24:D26" si="12">B24+C24</f>
        <v>4143003169.833364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 t="s">
        <v>645</v>
      </c>
      <c r="B25" s="228">
        <f t="shared" ref="B25:C25" si="13">B22</f>
        <v>287039859.16883606</v>
      </c>
      <c r="C25" s="228">
        <f t="shared" si="13"/>
        <v>1004778656.7740023</v>
      </c>
      <c r="D25" s="247">
        <f t="shared" si="12"/>
        <v>1291818515.9428384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>
      <c r="A26" s="54" t="s">
        <v>646</v>
      </c>
      <c r="B26" s="228">
        <f t="shared" ref="B26:C26" si="14">SUM(B24:B25)</f>
        <v>4418747286.6244669</v>
      </c>
      <c r="C26" s="228">
        <f t="shared" si="14"/>
        <v>1016074399.1517354</v>
      </c>
      <c r="D26" s="247">
        <f t="shared" si="12"/>
        <v>5434821685.7762022</v>
      </c>
      <c r="E26" s="37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>
      <c r="A27" s="54" t="s">
        <v>647</v>
      </c>
      <c r="B27" s="228"/>
      <c r="C27" s="228"/>
      <c r="D27" s="331"/>
      <c r="E27" s="373" t="s">
        <v>648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54" t="s">
        <v>649</v>
      </c>
      <c r="B28" s="228">
        <v>0</v>
      </c>
      <c r="C28" s="228">
        <f>'DF-Cred'!D5</f>
        <v>415197792.05537283</v>
      </c>
      <c r="D28" s="374">
        <f t="shared" ref="D28:D31" si="15">B28+C28</f>
        <v>415197792.05537283</v>
      </c>
      <c r="E28" s="375">
        <f t="shared" ref="E28:E30" si="16">D28/$D$31</f>
        <v>7.639584443810031E-2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54" t="s">
        <v>650</v>
      </c>
      <c r="B29" s="228">
        <f>'DF-Cred'!D4</f>
        <v>860654267.74505782</v>
      </c>
      <c r="C29" s="228">
        <v>0</v>
      </c>
      <c r="D29" s="374">
        <f t="shared" si="15"/>
        <v>860654267.74505782</v>
      </c>
      <c r="E29" s="375">
        <f t="shared" si="16"/>
        <v>0.15835924663315593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54" t="s">
        <v>651</v>
      </c>
      <c r="B30" s="228">
        <f t="shared" ref="B30:C30" si="17">B26-(B28+B29)</f>
        <v>3558093018.8794088</v>
      </c>
      <c r="C30" s="228">
        <f t="shared" si="17"/>
        <v>600876607.09636259</v>
      </c>
      <c r="D30" s="331">
        <f t="shared" si="15"/>
        <v>4158969625.9757714</v>
      </c>
      <c r="E30" s="375">
        <f t="shared" si="16"/>
        <v>0.76524490892874375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>
      <c r="A31" s="322" t="s">
        <v>70</v>
      </c>
      <c r="B31" s="349">
        <f t="shared" ref="B31:C31" si="18">SUM(B28:B30)</f>
        <v>4418747286.6244669</v>
      </c>
      <c r="C31" s="349">
        <f t="shared" si="18"/>
        <v>1016074399.1517354</v>
      </c>
      <c r="D31" s="349">
        <f t="shared" si="15"/>
        <v>5434821685.7762022</v>
      </c>
      <c r="E31" s="376">
        <f>SUM(E28:E30)</f>
        <v>1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>
      <c r="A33" s="367" t="s">
        <v>652</v>
      </c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7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>
      <c r="A34" s="378" t="s">
        <v>421</v>
      </c>
      <c r="B34" s="379" t="s">
        <v>112</v>
      </c>
      <c r="C34" s="379" t="s">
        <v>422</v>
      </c>
      <c r="D34" s="379" t="s">
        <v>423</v>
      </c>
      <c r="E34" s="379" t="s">
        <v>424</v>
      </c>
      <c r="F34" s="379" t="s">
        <v>425</v>
      </c>
      <c r="G34" s="379" t="s">
        <v>426</v>
      </c>
      <c r="H34" s="379" t="s">
        <v>427</v>
      </c>
      <c r="I34" s="379" t="s">
        <v>428</v>
      </c>
      <c r="J34" s="379" t="s">
        <v>429</v>
      </c>
      <c r="K34" s="380" t="s">
        <v>430</v>
      </c>
      <c r="L34" s="37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>
      <c r="A35" s="201" t="s">
        <v>520</v>
      </c>
      <c r="B35" s="204">
        <f>'DE-Costos'!B134</f>
        <v>543602822.44271088</v>
      </c>
      <c r="C35" s="204">
        <f>'DE-Costos'!C134</f>
        <v>710724856.192711</v>
      </c>
      <c r="D35" s="204">
        <f>'DE-Costos'!D134</f>
        <v>710724856.192711</v>
      </c>
      <c r="E35" s="204">
        <f>'DE-Costos'!E134</f>
        <v>710724856.192711</v>
      </c>
      <c r="F35" s="204">
        <f>'DE-Costos'!F134</f>
        <v>710724856.192711</v>
      </c>
      <c r="G35" s="204">
        <f>'DE-Costos'!G134</f>
        <v>710724856.192711</v>
      </c>
      <c r="H35" s="204">
        <f>'DE-Costos'!H134</f>
        <v>710724856.192711</v>
      </c>
      <c r="I35" s="204">
        <f>'DE-Costos'!I134</f>
        <v>710724856.192711</v>
      </c>
      <c r="J35" s="204">
        <f>'DE-Costos'!J134</f>
        <v>710724856.192711</v>
      </c>
      <c r="K35" s="381">
        <f>'DE-Costos'!K134</f>
        <v>710724856.192711</v>
      </c>
      <c r="L35" s="37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227" t="s">
        <v>521</v>
      </c>
      <c r="B36" s="204">
        <f>'DE-Costos'!B135</f>
        <v>471782476.51858473</v>
      </c>
      <c r="C36" s="204">
        <f>'DE-Costos'!C135</f>
        <v>477283233.89514822</v>
      </c>
      <c r="D36" s="204">
        <f>'DE-Costos'!D135</f>
        <v>477283233.89514822</v>
      </c>
      <c r="E36" s="204">
        <f>'DE-Costos'!E135</f>
        <v>477283233.89514822</v>
      </c>
      <c r="F36" s="204">
        <f>'DE-Costos'!F135</f>
        <v>477283233.89514822</v>
      </c>
      <c r="G36" s="204">
        <f>'DE-Costos'!G135</f>
        <v>477283233.89514822</v>
      </c>
      <c r="H36" s="204">
        <f>'DE-Costos'!H135</f>
        <v>477283233.89514822</v>
      </c>
      <c r="I36" s="204">
        <f>'DE-Costos'!I135</f>
        <v>477283233.89514822</v>
      </c>
      <c r="J36" s="204">
        <f>'DE-Costos'!J135</f>
        <v>477283233.89514822</v>
      </c>
      <c r="K36" s="381">
        <f>'DE-Costos'!K135</f>
        <v>477283233.89514822</v>
      </c>
      <c r="L36" s="37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201" t="s">
        <v>522</v>
      </c>
      <c r="B37" s="204">
        <f>'DE-Costos'!B136</f>
        <v>89498269.875206605</v>
      </c>
      <c r="C37" s="204">
        <f>'DE-Costos'!C136</f>
        <v>89498269.875206605</v>
      </c>
      <c r="D37" s="204">
        <f>'DE-Costos'!D136</f>
        <v>89498269.875206605</v>
      </c>
      <c r="E37" s="204">
        <f>'DE-Costos'!E136</f>
        <v>89498269.875206605</v>
      </c>
      <c r="F37" s="204">
        <f>'DE-Costos'!F136</f>
        <v>89498269.875206605</v>
      </c>
      <c r="G37" s="204">
        <f>'DE-Costos'!G136</f>
        <v>89498269.875206605</v>
      </c>
      <c r="H37" s="204">
        <f>'DE-Costos'!H136</f>
        <v>89498269.875206605</v>
      </c>
      <c r="I37" s="204">
        <f>'DE-Costos'!I136</f>
        <v>89498269.875206605</v>
      </c>
      <c r="J37" s="204">
        <f>'DE-Costos'!J136</f>
        <v>89498269.875206605</v>
      </c>
      <c r="K37" s="381">
        <f>'DE-Costos'!K136</f>
        <v>89498269.875206605</v>
      </c>
      <c r="L37" s="37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227" t="s">
        <v>523</v>
      </c>
      <c r="B38" s="204">
        <f>'DE-Costos'!B137</f>
        <v>14135174.996644521</v>
      </c>
      <c r="C38" s="204">
        <f>'DE-Costos'!C137</f>
        <v>14135174.996644521</v>
      </c>
      <c r="D38" s="204">
        <f>'DE-Costos'!D137</f>
        <v>14135174.996644521</v>
      </c>
      <c r="E38" s="204">
        <f>'DE-Costos'!E137</f>
        <v>14135174.996644521</v>
      </c>
      <c r="F38" s="204">
        <f>'DE-Costos'!F137</f>
        <v>14135174.996644521</v>
      </c>
      <c r="G38" s="204">
        <f>'DE-Costos'!G137</f>
        <v>14135174.996644521</v>
      </c>
      <c r="H38" s="204">
        <f>'DE-Costos'!H137</f>
        <v>14135174.996644521</v>
      </c>
      <c r="I38" s="204">
        <f>'DE-Costos'!I137</f>
        <v>14135174.996644521</v>
      </c>
      <c r="J38" s="204">
        <f>'DE-Costos'!J137</f>
        <v>14135174.996644521</v>
      </c>
      <c r="K38" s="381">
        <f>'DE-Costos'!K137</f>
        <v>14135174.996644521</v>
      </c>
      <c r="L38" s="37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201" t="s">
        <v>524</v>
      </c>
      <c r="B39" s="204">
        <f>'DE-Costos'!B138</f>
        <v>45119819.275206611</v>
      </c>
      <c r="C39" s="204">
        <f>'DE-Costos'!C138</f>
        <v>45119819.275206611</v>
      </c>
      <c r="D39" s="204">
        <f>'DE-Costos'!D138</f>
        <v>45119819.275206611</v>
      </c>
      <c r="E39" s="204">
        <f>'DE-Costos'!E138</f>
        <v>45119819.275206611</v>
      </c>
      <c r="F39" s="204">
        <f>'DE-Costos'!F138</f>
        <v>45119819.275206611</v>
      </c>
      <c r="G39" s="204">
        <f>'DE-Costos'!G138</f>
        <v>45119819.275206611</v>
      </c>
      <c r="H39" s="204">
        <f>'DE-Costos'!H138</f>
        <v>45119819.275206611</v>
      </c>
      <c r="I39" s="204">
        <f>'DE-Costos'!I138</f>
        <v>45119819.275206611</v>
      </c>
      <c r="J39" s="204">
        <f>'DE-Costos'!J138</f>
        <v>45119819.275206611</v>
      </c>
      <c r="K39" s="381">
        <f>'DE-Costos'!K138</f>
        <v>45119819.275206611</v>
      </c>
      <c r="L39" s="37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227" t="s">
        <v>525</v>
      </c>
      <c r="B40" s="204">
        <f>'DE-Costos'!B139</f>
        <v>13247605.984644523</v>
      </c>
      <c r="C40" s="204">
        <f>'DE-Costos'!C139</f>
        <v>13247605.984644523</v>
      </c>
      <c r="D40" s="204">
        <f>'DE-Costos'!D139</f>
        <v>13247605.984644523</v>
      </c>
      <c r="E40" s="204">
        <f>'DE-Costos'!E139</f>
        <v>13247605.984644523</v>
      </c>
      <c r="F40" s="204">
        <f>'DE-Costos'!F139</f>
        <v>13247605.984644523</v>
      </c>
      <c r="G40" s="204">
        <f>'DE-Costos'!G139</f>
        <v>13247605.984644523</v>
      </c>
      <c r="H40" s="204">
        <f>'DE-Costos'!H139</f>
        <v>13247605.984644523</v>
      </c>
      <c r="I40" s="204">
        <f>'DE-Costos'!I139</f>
        <v>13247605.984644523</v>
      </c>
      <c r="J40" s="204">
        <f>'DE-Costos'!J139</f>
        <v>13247605.984644523</v>
      </c>
      <c r="K40" s="381">
        <f>'DE-Costos'!K139</f>
        <v>13247605.984644523</v>
      </c>
      <c r="L40" s="37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227" t="s">
        <v>653</v>
      </c>
      <c r="B41" s="204">
        <f>'DF-CRes'!B9</f>
        <v>629330941.99498367</v>
      </c>
      <c r="C41" s="204">
        <f>'DF-CRes'!C9</f>
        <v>485888564.0374741</v>
      </c>
      <c r="D41" s="204">
        <f>'DF-CRes'!D9</f>
        <v>342446186.07996446</v>
      </c>
      <c r="E41" s="204">
        <f>'DF-CRes'!E9</f>
        <v>49823735.04664474</v>
      </c>
      <c r="F41" s="204">
        <f>'DF-CRes'!F9</f>
        <v>49823735.04664474</v>
      </c>
      <c r="G41" s="204">
        <f>'DF-CRes'!G9</f>
        <v>49823735.04664474</v>
      </c>
      <c r="H41" s="204">
        <f>'DF-CRes'!H9</f>
        <v>49823735.04664474</v>
      </c>
      <c r="I41" s="204">
        <f>'DF-CRes'!I9</f>
        <v>49823735.04664474</v>
      </c>
      <c r="J41" s="204">
        <f>'DF-CRes'!J9</f>
        <v>49823735.04664474</v>
      </c>
      <c r="K41" s="381">
        <f>'DF-CRes'!K9</f>
        <v>49823735.04664474</v>
      </c>
      <c r="L41" s="37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382" t="s">
        <v>654</v>
      </c>
      <c r="B42" s="204">
        <f t="shared" ref="B42:K42" si="19">B35+B37+B39</f>
        <v>678220911.59312403</v>
      </c>
      <c r="C42" s="204">
        <f t="shared" si="19"/>
        <v>845342945.34312415</v>
      </c>
      <c r="D42" s="204">
        <f t="shared" si="19"/>
        <v>845342945.34312415</v>
      </c>
      <c r="E42" s="204">
        <f t="shared" si="19"/>
        <v>845342945.34312415</v>
      </c>
      <c r="F42" s="204">
        <f t="shared" si="19"/>
        <v>845342945.34312415</v>
      </c>
      <c r="G42" s="204">
        <f t="shared" si="19"/>
        <v>845342945.34312415</v>
      </c>
      <c r="H42" s="204">
        <f t="shared" si="19"/>
        <v>845342945.34312415</v>
      </c>
      <c r="I42" s="204">
        <f t="shared" si="19"/>
        <v>845342945.34312415</v>
      </c>
      <c r="J42" s="204">
        <f t="shared" si="19"/>
        <v>845342945.34312415</v>
      </c>
      <c r="K42" s="204">
        <f t="shared" si="19"/>
        <v>845342945.34312415</v>
      </c>
      <c r="L42" s="37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382" t="s">
        <v>655</v>
      </c>
      <c r="B43" s="204">
        <f t="shared" ref="B43:K43" si="20">B36+B38+B40+B41</f>
        <v>1128496199.4948573</v>
      </c>
      <c r="C43" s="204">
        <f t="shared" si="20"/>
        <v>990554578.91391134</v>
      </c>
      <c r="D43" s="204">
        <f t="shared" si="20"/>
        <v>847112200.95640171</v>
      </c>
      <c r="E43" s="204">
        <f t="shared" si="20"/>
        <v>554489749.92308199</v>
      </c>
      <c r="F43" s="204">
        <f t="shared" si="20"/>
        <v>554489749.92308199</v>
      </c>
      <c r="G43" s="204">
        <f t="shared" si="20"/>
        <v>554489749.92308199</v>
      </c>
      <c r="H43" s="204">
        <f t="shared" si="20"/>
        <v>554489749.92308199</v>
      </c>
      <c r="I43" s="204">
        <f t="shared" si="20"/>
        <v>554489749.92308199</v>
      </c>
      <c r="J43" s="204">
        <f t="shared" si="20"/>
        <v>554489749.92308199</v>
      </c>
      <c r="K43" s="204">
        <f t="shared" si="20"/>
        <v>554489749.92308199</v>
      </c>
      <c r="L43" s="37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201" t="s">
        <v>526</v>
      </c>
      <c r="B44" s="204">
        <f t="shared" ref="B44:K44" si="21">B48-B42</f>
        <v>1296154088.4068761</v>
      </c>
      <c r="C44" s="204">
        <f t="shared" si="21"/>
        <v>2079657054.6568758</v>
      </c>
      <c r="D44" s="204">
        <f t="shared" si="21"/>
        <v>2079657054.6568758</v>
      </c>
      <c r="E44" s="204">
        <f t="shared" si="21"/>
        <v>2079657054.6568758</v>
      </c>
      <c r="F44" s="204">
        <f t="shared" si="21"/>
        <v>2079657054.6568758</v>
      </c>
      <c r="G44" s="204">
        <f t="shared" si="21"/>
        <v>2079657054.6568758</v>
      </c>
      <c r="H44" s="204">
        <f t="shared" si="21"/>
        <v>2079657054.6568758</v>
      </c>
      <c r="I44" s="204">
        <f t="shared" si="21"/>
        <v>2079657054.6568758</v>
      </c>
      <c r="J44" s="204">
        <f t="shared" si="21"/>
        <v>2079657054.6568758</v>
      </c>
      <c r="K44" s="204">
        <f t="shared" si="21"/>
        <v>2079657054.6568758</v>
      </c>
      <c r="L44" s="37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>
      <c r="A45" s="266" t="s">
        <v>527</v>
      </c>
      <c r="B45" s="307">
        <f t="shared" ref="B45:K45" si="22">(B36+B38+B40+B41)/B44</f>
        <v>0.87064972412493813</v>
      </c>
      <c r="C45" s="307">
        <f t="shared" si="22"/>
        <v>0.47630669522929764</v>
      </c>
      <c r="D45" s="307">
        <f t="shared" si="22"/>
        <v>0.40733264124462454</v>
      </c>
      <c r="E45" s="307">
        <f t="shared" si="22"/>
        <v>0.26662557111589136</v>
      </c>
      <c r="F45" s="307">
        <f t="shared" si="22"/>
        <v>0.26662557111589136</v>
      </c>
      <c r="G45" s="307">
        <f t="shared" si="22"/>
        <v>0.26662557111589136</v>
      </c>
      <c r="H45" s="307">
        <f t="shared" si="22"/>
        <v>0.26662557111589136</v>
      </c>
      <c r="I45" s="307">
        <f t="shared" si="22"/>
        <v>0.26662557111589136</v>
      </c>
      <c r="J45" s="307">
        <f t="shared" si="22"/>
        <v>0.26662557111589136</v>
      </c>
      <c r="K45" s="383">
        <f t="shared" si="22"/>
        <v>0.26662557111589136</v>
      </c>
      <c r="L45" s="37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>
      <c r="A46" s="38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5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385" t="s">
        <v>656</v>
      </c>
      <c r="B48" s="386">
        <f>'DE-Costos'!B94</f>
        <v>1974375000</v>
      </c>
      <c r="C48" s="386">
        <f>'DE-Costos'!C94</f>
        <v>2925000000</v>
      </c>
      <c r="D48" s="386">
        <f>'DE-Costos'!D94</f>
        <v>2925000000</v>
      </c>
      <c r="E48" s="386">
        <f>'DE-Costos'!E94</f>
        <v>2925000000</v>
      </c>
      <c r="F48" s="386">
        <f>'DE-Costos'!F94</f>
        <v>2925000000</v>
      </c>
      <c r="G48" s="386">
        <f>'DE-Costos'!G94</f>
        <v>2925000000</v>
      </c>
      <c r="H48" s="386">
        <f>'DE-Costos'!H94</f>
        <v>2925000000</v>
      </c>
      <c r="I48" s="386">
        <f>'DE-Costos'!I94</f>
        <v>2925000000</v>
      </c>
      <c r="J48" s="386">
        <f>'DE-Costos'!J94</f>
        <v>2925000000</v>
      </c>
      <c r="K48" s="386">
        <f>'DE-Costos'!K94</f>
        <v>2925000000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387" t="s">
        <v>528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B53" s="630" t="s">
        <v>112</v>
      </c>
      <c r="C53" s="543"/>
      <c r="D53" s="7"/>
      <c r="F53" s="8"/>
      <c r="G53" s="630" t="s">
        <v>430</v>
      </c>
      <c r="H53" s="543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B54" s="310" t="s">
        <v>529</v>
      </c>
      <c r="C54" s="311">
        <v>3375</v>
      </c>
      <c r="D54" s="312">
        <f>C54*B45</f>
        <v>2938.442818921666</v>
      </c>
      <c r="F54" s="8"/>
      <c r="G54" s="310" t="s">
        <v>529</v>
      </c>
      <c r="H54" s="311">
        <v>5000</v>
      </c>
      <c r="I54" s="312">
        <f>H54*H58</f>
        <v>1333.1278555794568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B55" s="310" t="s">
        <v>530</v>
      </c>
      <c r="C55" s="313">
        <f>InfoInicial!$B$18*InfoInicial!$B$30</f>
        <v>585000</v>
      </c>
      <c r="D55" s="7"/>
      <c r="F55" s="8"/>
      <c r="G55" s="310" t="s">
        <v>530</v>
      </c>
      <c r="H55" s="313">
        <f>InfoInicial!$B$18*InfoInicial!$B$30</f>
        <v>585000</v>
      </c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B56" s="310" t="s">
        <v>531</v>
      </c>
      <c r="C56" s="313">
        <f>B38+B36+B40+B41</f>
        <v>1128496199.4948573</v>
      </c>
      <c r="D56" s="7"/>
      <c r="F56" s="8"/>
      <c r="G56" s="388" t="s">
        <v>531</v>
      </c>
      <c r="H56" s="313">
        <f>K36+K38+K40+K41</f>
        <v>554489749.92308199</v>
      </c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B57" s="310" t="s">
        <v>532</v>
      </c>
      <c r="C57" s="313">
        <f>(B37+B39+B35)/C54</f>
        <v>200954.34417574049</v>
      </c>
      <c r="D57" s="7"/>
      <c r="F57" s="8"/>
      <c r="G57" s="310" t="s">
        <v>532</v>
      </c>
      <c r="H57" s="313">
        <f>(K35+K37+K39)/H54</f>
        <v>169068.58906862483</v>
      </c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B58" s="194" t="s">
        <v>533</v>
      </c>
      <c r="C58" s="314">
        <f>B45</f>
        <v>0.87064972412493813</v>
      </c>
      <c r="D58" s="7"/>
      <c r="F58" s="8"/>
      <c r="G58" s="194" t="s">
        <v>533</v>
      </c>
      <c r="H58" s="314">
        <f>K45</f>
        <v>0.26662557111589136</v>
      </c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F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F60" s="8"/>
      <c r="G60" s="632" t="s">
        <v>430</v>
      </c>
      <c r="H60" s="540"/>
      <c r="I60" s="540"/>
      <c r="J60" s="543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B61" s="632" t="s">
        <v>112</v>
      </c>
      <c r="C61" s="540"/>
      <c r="D61" s="540"/>
      <c r="E61" s="543"/>
      <c r="F61" s="8"/>
      <c r="G61" s="389" t="s">
        <v>534</v>
      </c>
      <c r="H61" s="389" t="s">
        <v>535</v>
      </c>
      <c r="I61" s="389" t="s">
        <v>179</v>
      </c>
      <c r="J61" s="389" t="s">
        <v>536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B62" s="35" t="s">
        <v>534</v>
      </c>
      <c r="C62" s="35" t="s">
        <v>535</v>
      </c>
      <c r="D62" s="35" t="s">
        <v>179</v>
      </c>
      <c r="E62" s="35" t="s">
        <v>536</v>
      </c>
      <c r="F62" s="8"/>
      <c r="G62" s="10">
        <v>0</v>
      </c>
      <c r="H62" s="184">
        <f t="shared" ref="H62:H82" si="23">G62/$H$54</f>
        <v>0</v>
      </c>
      <c r="I62" s="315">
        <f t="shared" ref="I62:I82" si="24">G62*$H$55</f>
        <v>0</v>
      </c>
      <c r="J62" s="316">
        <f t="shared" ref="J62:J82" si="25">$H$56+$H$57*G62</f>
        <v>554489749.92308199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B63" s="10">
        <v>0</v>
      </c>
      <c r="C63" s="184">
        <f t="shared" ref="C63:C78" si="26">B63/$C$54</f>
        <v>0</v>
      </c>
      <c r="D63" s="315">
        <f t="shared" ref="D63:D78" si="27">B63*$C$55</f>
        <v>0</v>
      </c>
      <c r="E63" s="316">
        <f t="shared" ref="E63:E78" si="28">$C$56+$C$57*B63</f>
        <v>1128496199.4948573</v>
      </c>
      <c r="F63" s="8"/>
      <c r="G63" s="10">
        <v>250</v>
      </c>
      <c r="H63" s="184">
        <f t="shared" si="23"/>
        <v>0.05</v>
      </c>
      <c r="I63" s="315">
        <f t="shared" si="24"/>
        <v>146250000</v>
      </c>
      <c r="J63" s="316">
        <f t="shared" si="25"/>
        <v>596756897.19023824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B64" s="10">
        <v>225</v>
      </c>
      <c r="C64" s="184">
        <f t="shared" si="26"/>
        <v>6.6666666666666666E-2</v>
      </c>
      <c r="D64" s="315">
        <f t="shared" si="27"/>
        <v>131625000</v>
      </c>
      <c r="E64" s="316">
        <f t="shared" si="28"/>
        <v>1173710926.9343989</v>
      </c>
      <c r="F64" s="8"/>
      <c r="G64" s="10">
        <v>500</v>
      </c>
      <c r="H64" s="184">
        <f t="shared" si="23"/>
        <v>0.1</v>
      </c>
      <c r="I64" s="315">
        <f t="shared" si="24"/>
        <v>292500000</v>
      </c>
      <c r="J64" s="316">
        <f t="shared" si="25"/>
        <v>639024044.45739436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2:26" ht="12.75" customHeight="1">
      <c r="B65" s="10">
        <v>450</v>
      </c>
      <c r="C65" s="184">
        <f t="shared" si="26"/>
        <v>0.13333333333333333</v>
      </c>
      <c r="D65" s="315">
        <f t="shared" si="27"/>
        <v>263250000</v>
      </c>
      <c r="E65" s="316">
        <f t="shared" si="28"/>
        <v>1218925654.3739405</v>
      </c>
      <c r="F65" s="8"/>
      <c r="G65" s="10">
        <v>750</v>
      </c>
      <c r="H65" s="184">
        <f t="shared" si="23"/>
        <v>0.15</v>
      </c>
      <c r="I65" s="315">
        <f t="shared" si="24"/>
        <v>438750000</v>
      </c>
      <c r="J65" s="316">
        <f t="shared" si="25"/>
        <v>681291191.7245506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2:26" ht="12.75" customHeight="1">
      <c r="B66" s="10">
        <v>675</v>
      </c>
      <c r="C66" s="184">
        <f t="shared" si="26"/>
        <v>0.2</v>
      </c>
      <c r="D66" s="315">
        <f t="shared" si="27"/>
        <v>394875000</v>
      </c>
      <c r="E66" s="316">
        <f t="shared" si="28"/>
        <v>1264140381.813482</v>
      </c>
      <c r="F66" s="8"/>
      <c r="G66" s="10">
        <v>1000</v>
      </c>
      <c r="H66" s="184">
        <f t="shared" si="23"/>
        <v>0.2</v>
      </c>
      <c r="I66" s="315">
        <f t="shared" si="24"/>
        <v>585000000</v>
      </c>
      <c r="J66" s="316">
        <f t="shared" si="25"/>
        <v>723558338.99170685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2:26" ht="12.75" customHeight="1">
      <c r="B67" s="10">
        <v>900</v>
      </c>
      <c r="C67" s="184">
        <f t="shared" si="26"/>
        <v>0.26666666666666666</v>
      </c>
      <c r="D67" s="315">
        <f t="shared" si="27"/>
        <v>526500000</v>
      </c>
      <c r="E67" s="316">
        <f t="shared" si="28"/>
        <v>1309355109.2530236</v>
      </c>
      <c r="F67" s="8"/>
      <c r="G67" s="10">
        <v>1250</v>
      </c>
      <c r="H67" s="184">
        <f t="shared" si="23"/>
        <v>0.25</v>
      </c>
      <c r="I67" s="315">
        <f t="shared" si="24"/>
        <v>731250000</v>
      </c>
      <c r="J67" s="316">
        <f t="shared" si="25"/>
        <v>765825486.25886297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2:26" ht="12.75" customHeight="1">
      <c r="B68" s="10">
        <v>1125</v>
      </c>
      <c r="C68" s="184">
        <f t="shared" si="26"/>
        <v>0.33333333333333331</v>
      </c>
      <c r="D68" s="315">
        <f t="shared" si="27"/>
        <v>658125000</v>
      </c>
      <c r="E68" s="316">
        <f t="shared" si="28"/>
        <v>1354569836.6925654</v>
      </c>
      <c r="F68" s="8"/>
      <c r="G68" s="10">
        <v>1500</v>
      </c>
      <c r="H68" s="184">
        <f t="shared" si="23"/>
        <v>0.3</v>
      </c>
      <c r="I68" s="315">
        <f t="shared" si="24"/>
        <v>877500000</v>
      </c>
      <c r="J68" s="316">
        <f t="shared" si="25"/>
        <v>808092633.52601922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2:26" ht="12.75" customHeight="1">
      <c r="B69" s="10">
        <v>1350</v>
      </c>
      <c r="C69" s="184">
        <f t="shared" si="26"/>
        <v>0.4</v>
      </c>
      <c r="D69" s="315">
        <f t="shared" si="27"/>
        <v>789750000</v>
      </c>
      <c r="E69" s="316">
        <f t="shared" si="28"/>
        <v>1399784564.132107</v>
      </c>
      <c r="F69" s="8"/>
      <c r="G69" s="10">
        <v>1750</v>
      </c>
      <c r="H69" s="184">
        <f t="shared" si="23"/>
        <v>0.35</v>
      </c>
      <c r="I69" s="315">
        <f t="shared" si="24"/>
        <v>1023750000</v>
      </c>
      <c r="J69" s="316">
        <f t="shared" si="25"/>
        <v>850359780.79317546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2:26" ht="12.75" customHeight="1">
      <c r="B70" s="10">
        <v>1575</v>
      </c>
      <c r="C70" s="184">
        <f t="shared" si="26"/>
        <v>0.46666666666666667</v>
      </c>
      <c r="D70" s="315">
        <f t="shared" si="27"/>
        <v>921375000</v>
      </c>
      <c r="E70" s="316">
        <f t="shared" si="28"/>
        <v>1444999291.5716486</v>
      </c>
      <c r="F70" s="8"/>
      <c r="G70" s="10">
        <v>2000</v>
      </c>
      <c r="H70" s="184">
        <f t="shared" si="23"/>
        <v>0.4</v>
      </c>
      <c r="I70" s="315">
        <f t="shared" si="24"/>
        <v>1170000000</v>
      </c>
      <c r="J70" s="316">
        <f t="shared" si="25"/>
        <v>892626928.06033158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2:26" ht="12.75" customHeight="1">
      <c r="B71" s="10">
        <v>1800</v>
      </c>
      <c r="C71" s="184">
        <f t="shared" si="26"/>
        <v>0.53333333333333333</v>
      </c>
      <c r="D71" s="315">
        <f t="shared" si="27"/>
        <v>1053000000</v>
      </c>
      <c r="E71" s="316">
        <f t="shared" si="28"/>
        <v>1490214019.0111902</v>
      </c>
      <c r="F71" s="8"/>
      <c r="G71" s="10">
        <v>2250</v>
      </c>
      <c r="H71" s="184">
        <f t="shared" si="23"/>
        <v>0.45</v>
      </c>
      <c r="I71" s="315">
        <f t="shared" si="24"/>
        <v>1316250000</v>
      </c>
      <c r="J71" s="316">
        <f t="shared" si="25"/>
        <v>934894075.32748795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2:26" ht="12.75" customHeight="1">
      <c r="B72" s="10">
        <v>2025</v>
      </c>
      <c r="C72" s="184">
        <f t="shared" si="26"/>
        <v>0.6</v>
      </c>
      <c r="D72" s="315">
        <f t="shared" si="27"/>
        <v>1184625000</v>
      </c>
      <c r="E72" s="316">
        <f t="shared" si="28"/>
        <v>1535428746.4507318</v>
      </c>
      <c r="F72" s="8"/>
      <c r="G72" s="10">
        <v>2500</v>
      </c>
      <c r="H72" s="184">
        <f t="shared" si="23"/>
        <v>0.5</v>
      </c>
      <c r="I72" s="315">
        <f t="shared" si="24"/>
        <v>1462500000</v>
      </c>
      <c r="J72" s="316">
        <f t="shared" si="25"/>
        <v>977161222.59464407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2:26" ht="12.75" customHeight="1">
      <c r="B73" s="10">
        <v>2250</v>
      </c>
      <c r="C73" s="184">
        <f t="shared" si="26"/>
        <v>0.66666666666666663</v>
      </c>
      <c r="D73" s="315">
        <f t="shared" si="27"/>
        <v>1316250000</v>
      </c>
      <c r="E73" s="316">
        <f t="shared" si="28"/>
        <v>1580643473.8902736</v>
      </c>
      <c r="F73" s="8"/>
      <c r="G73" s="10">
        <v>2750</v>
      </c>
      <c r="H73" s="184">
        <f t="shared" si="23"/>
        <v>0.55000000000000004</v>
      </c>
      <c r="I73" s="315">
        <f t="shared" si="24"/>
        <v>1608750000</v>
      </c>
      <c r="J73" s="316">
        <f t="shared" si="25"/>
        <v>1019428369.8618002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2:26" ht="12.75" customHeight="1">
      <c r="B74" s="10">
        <v>2475</v>
      </c>
      <c r="C74" s="184">
        <f t="shared" si="26"/>
        <v>0.73333333333333328</v>
      </c>
      <c r="D74" s="315">
        <f t="shared" si="27"/>
        <v>1447875000</v>
      </c>
      <c r="E74" s="316">
        <f t="shared" si="28"/>
        <v>1625858201.3298149</v>
      </c>
      <c r="F74" s="8"/>
      <c r="G74" s="10">
        <v>3000</v>
      </c>
      <c r="H74" s="184">
        <f t="shared" si="23"/>
        <v>0.6</v>
      </c>
      <c r="I74" s="315">
        <f t="shared" si="24"/>
        <v>1755000000</v>
      </c>
      <c r="J74" s="316">
        <f t="shared" si="25"/>
        <v>1061695517.1289566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2:26" ht="12.75" customHeight="1">
      <c r="B75" s="10">
        <v>2700</v>
      </c>
      <c r="C75" s="184">
        <f t="shared" si="26"/>
        <v>0.8</v>
      </c>
      <c r="D75" s="315">
        <f t="shared" si="27"/>
        <v>1579500000</v>
      </c>
      <c r="E75" s="316">
        <f t="shared" si="28"/>
        <v>1671072928.7693567</v>
      </c>
      <c r="F75" s="8"/>
      <c r="G75" s="10">
        <v>3250</v>
      </c>
      <c r="H75" s="184">
        <f t="shared" si="23"/>
        <v>0.65</v>
      </c>
      <c r="I75" s="315">
        <f t="shared" si="24"/>
        <v>1901250000</v>
      </c>
      <c r="J75" s="316">
        <f t="shared" si="25"/>
        <v>1103962664.3961127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2:26" ht="12.75" customHeight="1">
      <c r="B76" s="10">
        <v>2925</v>
      </c>
      <c r="C76" s="184">
        <f t="shared" si="26"/>
        <v>0.8666666666666667</v>
      </c>
      <c r="D76" s="315">
        <f t="shared" si="27"/>
        <v>1711125000</v>
      </c>
      <c r="E76" s="316">
        <f t="shared" si="28"/>
        <v>1716287656.2088983</v>
      </c>
      <c r="F76" s="8"/>
      <c r="G76" s="10">
        <v>3500</v>
      </c>
      <c r="H76" s="184">
        <f t="shared" si="23"/>
        <v>0.7</v>
      </c>
      <c r="I76" s="315">
        <f t="shared" si="24"/>
        <v>2047500000</v>
      </c>
      <c r="J76" s="316">
        <f t="shared" si="25"/>
        <v>1146229811.663269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2:26" ht="12.75" customHeight="1">
      <c r="B77" s="10">
        <v>3150</v>
      </c>
      <c r="C77" s="184">
        <f t="shared" si="26"/>
        <v>0.93333333333333335</v>
      </c>
      <c r="D77" s="315">
        <f t="shared" si="27"/>
        <v>1842750000</v>
      </c>
      <c r="E77" s="316">
        <f t="shared" si="28"/>
        <v>1761502383.6484399</v>
      </c>
      <c r="F77" s="8"/>
      <c r="G77" s="10">
        <v>3750</v>
      </c>
      <c r="H77" s="184">
        <f t="shared" si="23"/>
        <v>0.75</v>
      </c>
      <c r="I77" s="315">
        <f t="shared" si="24"/>
        <v>2193750000</v>
      </c>
      <c r="J77" s="316">
        <f t="shared" si="25"/>
        <v>1188496958.9304252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2:26" ht="12.75" customHeight="1">
      <c r="B78" s="10">
        <v>3375</v>
      </c>
      <c r="C78" s="184">
        <f t="shared" si="26"/>
        <v>1</v>
      </c>
      <c r="D78" s="315">
        <f t="shared" si="27"/>
        <v>1974375000</v>
      </c>
      <c r="E78" s="316">
        <f t="shared" si="28"/>
        <v>1806717111.0879815</v>
      </c>
      <c r="F78" s="8"/>
      <c r="G78" s="10">
        <v>4000</v>
      </c>
      <c r="H78" s="184">
        <f t="shared" si="23"/>
        <v>0.8</v>
      </c>
      <c r="I78" s="315">
        <f t="shared" si="24"/>
        <v>2340000000</v>
      </c>
      <c r="J78" s="316">
        <f t="shared" si="25"/>
        <v>1230764106.1975813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2:26" ht="12.75" customHeight="1">
      <c r="F79" s="8"/>
      <c r="G79" s="10">
        <v>4250</v>
      </c>
      <c r="H79" s="184">
        <f t="shared" si="23"/>
        <v>0.85</v>
      </c>
      <c r="I79" s="315">
        <f t="shared" si="24"/>
        <v>2486250000</v>
      </c>
      <c r="J79" s="316">
        <f t="shared" si="25"/>
        <v>1273031253.4647374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2:26" ht="12.75" customHeight="1">
      <c r="F80" s="8"/>
      <c r="G80" s="10">
        <v>4500</v>
      </c>
      <c r="H80" s="184">
        <f t="shared" si="23"/>
        <v>0.9</v>
      </c>
      <c r="I80" s="315">
        <f t="shared" si="24"/>
        <v>2632500000</v>
      </c>
      <c r="J80" s="316">
        <f t="shared" si="25"/>
        <v>1315298400.7318938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D81" s="8"/>
      <c r="E81" s="8"/>
      <c r="F81" s="8"/>
      <c r="G81" s="10">
        <v>4750</v>
      </c>
      <c r="H81" s="184">
        <f t="shared" si="23"/>
        <v>0.95</v>
      </c>
      <c r="I81" s="315">
        <f t="shared" si="24"/>
        <v>2778750000</v>
      </c>
      <c r="J81" s="316">
        <f t="shared" si="25"/>
        <v>1357565547.9990499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D82" s="8"/>
      <c r="E82" s="8"/>
      <c r="F82" s="8"/>
      <c r="G82" s="10">
        <v>5000</v>
      </c>
      <c r="H82" s="184">
        <f t="shared" si="23"/>
        <v>1</v>
      </c>
      <c r="I82" s="315">
        <f t="shared" si="24"/>
        <v>2925000000</v>
      </c>
      <c r="J82" s="316">
        <f t="shared" si="25"/>
        <v>1399832695.2662063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54"/>
      <c r="B88" s="54"/>
      <c r="C88" s="5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54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54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54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54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54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54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54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54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54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54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54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mergeCells count="4">
    <mergeCell ref="B53:C53"/>
    <mergeCell ref="G53:H53"/>
    <mergeCell ref="G60:J60"/>
    <mergeCell ref="B61:E61"/>
  </mergeCell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1000"/>
  <sheetViews>
    <sheetView topLeftCell="H7" workbookViewId="0">
      <selection activeCell="G13" sqref="G13"/>
    </sheetView>
  </sheetViews>
  <sheetFormatPr baseColWidth="10" defaultColWidth="12.5703125" defaultRowHeight="15" customHeight="1"/>
  <cols>
    <col min="1" max="1" width="27.28515625" customWidth="1"/>
    <col min="2" max="3" width="18.42578125" customWidth="1"/>
    <col min="4" max="4" width="18.85546875" customWidth="1"/>
    <col min="5" max="5" width="16.85546875" customWidth="1"/>
    <col min="6" max="6" width="17.42578125" customWidth="1"/>
    <col min="7" max="7" width="17.140625" customWidth="1"/>
    <col min="8" max="9" width="15.140625" customWidth="1"/>
    <col min="10" max="10" width="10" customWidth="1"/>
    <col min="11" max="11" width="24.42578125" customWidth="1"/>
    <col min="12" max="12" width="19.5703125" customWidth="1"/>
    <col min="13" max="13" width="16.140625" customWidth="1"/>
    <col min="14" max="14" width="16.85546875" customWidth="1"/>
    <col min="15" max="15" width="16.42578125" customWidth="1"/>
    <col min="16" max="16" width="17.7109375" customWidth="1"/>
    <col min="17" max="17" width="16.42578125" customWidth="1"/>
    <col min="18" max="18" width="16.5703125" customWidth="1"/>
    <col min="19" max="24" width="10" customWidth="1"/>
  </cols>
  <sheetData>
    <row r="1" spans="1:24" ht="16.5" customHeight="1">
      <c r="A1" s="390" t="s">
        <v>657</v>
      </c>
      <c r="B1" s="391"/>
      <c r="C1" s="391"/>
      <c r="D1" s="391"/>
      <c r="E1" s="391"/>
      <c r="F1" s="391"/>
      <c r="G1" s="39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2.75" customHeight="1">
      <c r="A2" s="378" t="s">
        <v>421</v>
      </c>
      <c r="B2" s="646" t="s">
        <v>658</v>
      </c>
      <c r="C2" s="637"/>
      <c r="D2" s="646" t="s">
        <v>659</v>
      </c>
      <c r="E2" s="637"/>
      <c r="F2" s="646" t="s">
        <v>660</v>
      </c>
      <c r="G2" s="63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2.75" customHeight="1">
      <c r="A3" s="378" t="s">
        <v>388</v>
      </c>
      <c r="B3" s="393" t="s">
        <v>661</v>
      </c>
      <c r="C3" s="393" t="s">
        <v>662</v>
      </c>
      <c r="D3" s="393" t="s">
        <v>661</v>
      </c>
      <c r="E3" s="393" t="s">
        <v>662</v>
      </c>
      <c r="F3" s="393" t="s">
        <v>661</v>
      </c>
      <c r="G3" s="394" t="s">
        <v>662</v>
      </c>
      <c r="H3" s="37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2.75" customHeight="1">
      <c r="A4" s="209" t="s">
        <v>663</v>
      </c>
      <c r="B4" s="228">
        <f>'DE-Cal Inv.'!B6+'DE-Cal Inv.'!C6+'DE-Cal Inv.'!D6</f>
        <v>2868847559.1501927</v>
      </c>
      <c r="C4" s="395">
        <f t="shared" ref="C4:C7" si="0">B4/$B$7</f>
        <v>0.64092796936344876</v>
      </c>
      <c r="D4" s="228">
        <f>B4*InfoInicial!B35</f>
        <v>860654267.74505782</v>
      </c>
      <c r="E4" s="297">
        <f t="shared" ref="E4:E7" si="1">D4/$B$7</f>
        <v>0.19227839080903464</v>
      </c>
      <c r="F4" s="228">
        <f t="shared" ref="F4:F6" si="2">B4-D4</f>
        <v>2008193291.4051349</v>
      </c>
      <c r="G4" s="396">
        <f t="shared" ref="G4:G6" si="3">F4/$B$7</f>
        <v>0.44864957855441417</v>
      </c>
      <c r="H4" s="377"/>
      <c r="I4" s="8"/>
      <c r="J4" s="8"/>
      <c r="K4" s="8" t="s">
        <v>664</v>
      </c>
      <c r="L4" s="397">
        <v>0.02</v>
      </c>
      <c r="M4" s="8" t="s">
        <v>665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2.75" customHeight="1">
      <c r="A5" s="203" t="s">
        <v>666</v>
      </c>
      <c r="B5" s="228">
        <f>'DE-Cal Inv.'!C16+'DE-Cal Inv.'!D16</f>
        <v>830395584.11074567</v>
      </c>
      <c r="C5" s="395">
        <f t="shared" si="0"/>
        <v>0.18551831162828672</v>
      </c>
      <c r="D5" s="228">
        <f>B5*InfoInicial!B38</f>
        <v>415197792.05537283</v>
      </c>
      <c r="E5" s="297">
        <f t="shared" si="1"/>
        <v>9.275915581414336E-2</v>
      </c>
      <c r="F5" s="228">
        <f t="shared" si="2"/>
        <v>415197792.05537283</v>
      </c>
      <c r="G5" s="396">
        <f t="shared" si="3"/>
        <v>9.275915581414336E-2</v>
      </c>
      <c r="H5" s="37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2.75" customHeight="1">
      <c r="A6" s="203" t="s">
        <v>667</v>
      </c>
      <c r="B6" s="228">
        <f>'DE-Cal Inv.'!B21+'DE-Cal Inv.'!C21+'DE-Cal Inv.'!D21</f>
        <v>776841060.08479702</v>
      </c>
      <c r="C6" s="395">
        <f t="shared" si="0"/>
        <v>0.17355371900826444</v>
      </c>
      <c r="D6" s="228">
        <v>0</v>
      </c>
      <c r="E6" s="297">
        <f t="shared" si="1"/>
        <v>0</v>
      </c>
      <c r="F6" s="228">
        <f t="shared" si="2"/>
        <v>776841060.08479702</v>
      </c>
      <c r="G6" s="396">
        <f t="shared" si="3"/>
        <v>0.17355371900826444</v>
      </c>
      <c r="H6" s="377"/>
      <c r="I6" s="8"/>
      <c r="J6" s="8"/>
      <c r="K6" s="8" t="s">
        <v>668</v>
      </c>
      <c r="L6" s="8"/>
      <c r="M6" s="296">
        <f>I16+D16</f>
        <v>555122002.69556236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3.5" customHeight="1">
      <c r="A7" s="398" t="s">
        <v>70</v>
      </c>
      <c r="B7" s="399">
        <f>SUM(B4:B6)</f>
        <v>4476084203.3457355</v>
      </c>
      <c r="C7" s="400">
        <f t="shared" si="0"/>
        <v>1</v>
      </c>
      <c r="D7" s="399">
        <f>SUM(D4:D6)</f>
        <v>1275852059.8004308</v>
      </c>
      <c r="E7" s="401">
        <f t="shared" si="1"/>
        <v>0.28503754662317804</v>
      </c>
      <c r="F7" s="402">
        <f t="shared" ref="F7:G7" si="4">SUM(F4:F6)</f>
        <v>3200232143.5453048</v>
      </c>
      <c r="G7" s="403">
        <f t="shared" si="4"/>
        <v>0.71496245337682196</v>
      </c>
      <c r="H7" s="404">
        <f>E7+G7</f>
        <v>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4.25" customHeight="1">
      <c r="A8" s="54"/>
      <c r="B8" s="239"/>
      <c r="C8" s="405"/>
      <c r="D8" s="239"/>
      <c r="E8" s="239"/>
      <c r="F8" s="239"/>
      <c r="G8" s="239"/>
      <c r="H8" s="8"/>
      <c r="I8" s="8"/>
      <c r="J8" s="8"/>
      <c r="K8" s="1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6.5" customHeight="1">
      <c r="A9" s="406" t="s">
        <v>669</v>
      </c>
      <c r="B9" s="407"/>
      <c r="C9" s="407"/>
      <c r="D9" s="407"/>
      <c r="E9" s="407"/>
      <c r="F9" s="407"/>
      <c r="G9" s="407"/>
      <c r="H9" s="407"/>
      <c r="I9" s="408"/>
      <c r="J9" s="8"/>
      <c r="K9" s="1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2.75" customHeight="1">
      <c r="A10" s="409" t="s">
        <v>670</v>
      </c>
      <c r="B10" s="410" t="s">
        <v>671</v>
      </c>
      <c r="C10" s="410" t="s">
        <v>672</v>
      </c>
      <c r="D10" s="410" t="s">
        <v>673</v>
      </c>
      <c r="E10" s="410" t="s">
        <v>672</v>
      </c>
      <c r="F10" s="410" t="s">
        <v>674</v>
      </c>
      <c r="G10" s="410" t="s">
        <v>673</v>
      </c>
      <c r="H10" s="410"/>
      <c r="I10" s="411" t="s">
        <v>675</v>
      </c>
      <c r="J10" s="8"/>
      <c r="K10" s="412" t="s">
        <v>676</v>
      </c>
      <c r="L10" s="645" t="s">
        <v>671</v>
      </c>
      <c r="M10" s="413" t="s">
        <v>672</v>
      </c>
      <c r="N10" s="413" t="s">
        <v>673</v>
      </c>
      <c r="O10" s="413" t="s">
        <v>672</v>
      </c>
      <c r="P10" s="413" t="s">
        <v>673</v>
      </c>
      <c r="Q10" s="413" t="s">
        <v>675</v>
      </c>
      <c r="R10" s="645" t="s">
        <v>677</v>
      </c>
      <c r="S10" s="8"/>
      <c r="T10" s="8"/>
      <c r="U10" s="8"/>
      <c r="V10" s="8"/>
      <c r="W10" s="8"/>
      <c r="X10" s="8"/>
    </row>
    <row r="11" spans="1:24" ht="13.5" customHeight="1">
      <c r="A11" s="414"/>
      <c r="B11" s="415"/>
      <c r="C11" s="415" t="s">
        <v>678</v>
      </c>
      <c r="D11" s="415" t="s">
        <v>678</v>
      </c>
      <c r="E11" s="415" t="s">
        <v>226</v>
      </c>
      <c r="F11" s="415" t="s">
        <v>679</v>
      </c>
      <c r="G11" s="415" t="s">
        <v>226</v>
      </c>
      <c r="H11" s="415" t="s">
        <v>680</v>
      </c>
      <c r="I11" s="416" t="s">
        <v>681</v>
      </c>
      <c r="J11" s="8"/>
      <c r="K11" s="417" t="s">
        <v>682</v>
      </c>
      <c r="L11" s="596"/>
      <c r="M11" s="418" t="s">
        <v>678</v>
      </c>
      <c r="N11" s="418" t="s">
        <v>678</v>
      </c>
      <c r="O11" s="418" t="s">
        <v>226</v>
      </c>
      <c r="P11" s="418" t="s">
        <v>226</v>
      </c>
      <c r="Q11" s="418" t="s">
        <v>681</v>
      </c>
      <c r="R11" s="596"/>
      <c r="S11" s="8"/>
      <c r="T11" s="8"/>
      <c r="U11" s="8"/>
      <c r="V11" s="8"/>
      <c r="W11" s="8"/>
      <c r="X11" s="8"/>
    </row>
    <row r="12" spans="1:24" ht="13.5" customHeight="1">
      <c r="A12" s="419">
        <v>45657</v>
      </c>
      <c r="B12" s="228">
        <f t="shared" ref="B12:E12" si="5">L13</f>
        <v>717211889.78754818</v>
      </c>
      <c r="C12" s="228">
        <f t="shared" si="5"/>
        <v>143442377.95750964</v>
      </c>
      <c r="D12" s="228">
        <f t="shared" si="5"/>
        <v>215163566.93626446</v>
      </c>
      <c r="E12" s="228">
        <f t="shared" si="5"/>
        <v>0</v>
      </c>
      <c r="F12" s="204"/>
      <c r="G12" s="228"/>
      <c r="H12" s="304"/>
      <c r="I12" s="247">
        <f>Q13</f>
        <v>17213085.354901157</v>
      </c>
      <c r="J12" s="8"/>
      <c r="K12" s="419"/>
      <c r="L12" s="279">
        <f>D4</f>
        <v>860654267.74505782</v>
      </c>
      <c r="M12" s="279"/>
      <c r="N12" s="279"/>
      <c r="O12" s="279"/>
      <c r="P12" s="279"/>
      <c r="Q12" s="10"/>
      <c r="R12" s="11"/>
      <c r="S12" s="8"/>
      <c r="T12" s="8"/>
      <c r="U12" s="8"/>
      <c r="V12" s="8"/>
      <c r="W12" s="8"/>
      <c r="X12" s="8"/>
    </row>
    <row r="13" spans="1:24" ht="12.75" customHeight="1">
      <c r="A13" s="420">
        <v>45838</v>
      </c>
      <c r="B13" s="228">
        <f t="shared" ref="B13:E13" si="6">L14</f>
        <v>573769511.83003855</v>
      </c>
      <c r="C13" s="228">
        <f t="shared" si="6"/>
        <v>143442377.95750964</v>
      </c>
      <c r="D13" s="228">
        <f t="shared" si="6"/>
        <v>179302972.44688705</v>
      </c>
      <c r="E13" s="228">
        <f t="shared" si="6"/>
        <v>286884755.91501927</v>
      </c>
      <c r="F13" s="204">
        <f>(B12)</f>
        <v>717211889.78754818</v>
      </c>
      <c r="G13" s="228">
        <f>P14</f>
        <v>394466539.38315153</v>
      </c>
      <c r="H13" s="395">
        <f>G13/F13</f>
        <v>0.55000000000000004</v>
      </c>
      <c r="I13" s="247"/>
      <c r="J13" s="8">
        <v>-1</v>
      </c>
      <c r="K13" s="419">
        <v>45657</v>
      </c>
      <c r="L13" s="279">
        <f t="shared" ref="L13:L16" si="7">L12-M13</f>
        <v>717211889.78754818</v>
      </c>
      <c r="M13" s="279">
        <f t="shared" ref="M13:M18" si="8">$L$12/6</f>
        <v>143442377.95750964</v>
      </c>
      <c r="N13" s="279">
        <f>(InfoInicial!$B$33/2)*L12</f>
        <v>215163566.93626446</v>
      </c>
      <c r="O13" s="279"/>
      <c r="P13" s="279"/>
      <c r="Q13" s="279">
        <f>L12*L4</f>
        <v>17213085.354901157</v>
      </c>
      <c r="R13" s="316">
        <f t="shared" ref="R13:R18" si="9">M13+N13</f>
        <v>358605944.89377409</v>
      </c>
      <c r="S13" s="8"/>
      <c r="T13" s="8"/>
      <c r="U13" s="8"/>
      <c r="V13" s="8"/>
      <c r="W13" s="8"/>
      <c r="X13" s="8"/>
    </row>
    <row r="14" spans="1:24" ht="12.75" customHeight="1">
      <c r="A14" s="419">
        <v>46022</v>
      </c>
      <c r="B14" s="228">
        <f t="shared" ref="B14:E14" si="10">L15</f>
        <v>430327133.87252891</v>
      </c>
      <c r="C14" s="228">
        <f t="shared" si="10"/>
        <v>143442377.95750964</v>
      </c>
      <c r="D14" s="228">
        <f t="shared" si="10"/>
        <v>143442377.95750964</v>
      </c>
      <c r="E14" s="228">
        <f t="shared" si="10"/>
        <v>0</v>
      </c>
      <c r="F14" s="204"/>
      <c r="G14" s="228"/>
      <c r="H14" s="304"/>
      <c r="I14" s="247"/>
      <c r="J14" s="8">
        <v>-1</v>
      </c>
      <c r="K14" s="420">
        <v>45838</v>
      </c>
      <c r="L14" s="279">
        <f t="shared" si="7"/>
        <v>573769511.83003855</v>
      </c>
      <c r="M14" s="279">
        <f t="shared" si="8"/>
        <v>143442377.95750964</v>
      </c>
      <c r="N14" s="279">
        <f>(InfoInicial!$B$33/2)*L13</f>
        <v>179302972.44688705</v>
      </c>
      <c r="O14" s="279">
        <f t="shared" ref="O14:P14" si="11">M14+M13</f>
        <v>286884755.91501927</v>
      </c>
      <c r="P14" s="279">
        <f t="shared" si="11"/>
        <v>394466539.38315153</v>
      </c>
      <c r="Q14" s="10"/>
      <c r="R14" s="316">
        <f t="shared" si="9"/>
        <v>322745350.40439665</v>
      </c>
      <c r="S14" s="8"/>
      <c r="T14" s="8"/>
      <c r="U14" s="8"/>
      <c r="V14" s="8"/>
      <c r="W14" s="8"/>
      <c r="X14" s="8"/>
    </row>
    <row r="15" spans="1:24" ht="12.75" customHeight="1">
      <c r="A15" s="419"/>
      <c r="B15" s="228"/>
      <c r="C15" s="228"/>
      <c r="D15" s="228"/>
      <c r="E15" s="228"/>
      <c r="F15" s="204"/>
      <c r="G15" s="228"/>
      <c r="H15" s="304"/>
      <c r="I15" s="247"/>
      <c r="J15" s="8">
        <v>1</v>
      </c>
      <c r="K15" s="419">
        <v>46022</v>
      </c>
      <c r="L15" s="279">
        <f t="shared" si="7"/>
        <v>430327133.87252891</v>
      </c>
      <c r="M15" s="279">
        <f t="shared" si="8"/>
        <v>143442377.95750964</v>
      </c>
      <c r="N15" s="279">
        <f>(InfoInicial!$B$33/2)*L14</f>
        <v>143442377.95750964</v>
      </c>
      <c r="O15" s="279"/>
      <c r="P15" s="279"/>
      <c r="Q15" s="10"/>
      <c r="R15" s="316">
        <f t="shared" si="9"/>
        <v>286884755.91501927</v>
      </c>
      <c r="S15" s="8"/>
      <c r="T15" s="8"/>
      <c r="U15" s="8"/>
      <c r="V15" s="8"/>
      <c r="W15" s="8"/>
      <c r="X15" s="8"/>
    </row>
    <row r="16" spans="1:24" ht="12.75" customHeight="1">
      <c r="A16" s="421" t="s">
        <v>683</v>
      </c>
      <c r="B16" s="422"/>
      <c r="C16" s="422"/>
      <c r="D16" s="423">
        <f>SUM(D12:D14)</f>
        <v>537908917.34066117</v>
      </c>
      <c r="E16" s="422"/>
      <c r="F16" s="424"/>
      <c r="G16" s="423"/>
      <c r="H16" s="425"/>
      <c r="I16" s="423">
        <f>I12</f>
        <v>17213085.354901157</v>
      </c>
      <c r="J16" s="8">
        <v>1</v>
      </c>
      <c r="K16" s="426">
        <v>46203</v>
      </c>
      <c r="L16" s="279">
        <f t="shared" si="7"/>
        <v>286884755.91501927</v>
      </c>
      <c r="M16" s="279">
        <f t="shared" si="8"/>
        <v>143442377.95750964</v>
      </c>
      <c r="N16" s="279">
        <f>(InfoInicial!$B$33/2)*L15</f>
        <v>107581783.46813223</v>
      </c>
      <c r="O16" s="279">
        <f t="shared" ref="O16:P16" si="12">M16+M15</f>
        <v>286884755.91501927</v>
      </c>
      <c r="P16" s="279">
        <f t="shared" si="12"/>
        <v>251024161.42564186</v>
      </c>
      <c r="Q16" s="10"/>
      <c r="R16" s="316">
        <f t="shared" si="9"/>
        <v>251024161.42564186</v>
      </c>
      <c r="S16" s="8"/>
      <c r="T16" s="8"/>
      <c r="U16" s="8"/>
      <c r="V16" s="8"/>
      <c r="W16" s="8"/>
      <c r="X16" s="8"/>
    </row>
    <row r="17" spans="1:24" ht="12.75" customHeight="1">
      <c r="A17" s="426">
        <v>46203</v>
      </c>
      <c r="B17" s="274">
        <f t="shared" ref="B17:B19" si="13">L16+L25</f>
        <v>702082547.97039211</v>
      </c>
      <c r="C17" s="274">
        <f t="shared" ref="C17:C19" si="14">M16</f>
        <v>143442377.95750964</v>
      </c>
      <c r="D17" s="274">
        <f t="shared" ref="D17:D19" si="15">N16+N25</f>
        <v>132493650.9914546</v>
      </c>
      <c r="E17" s="274">
        <f>O16</f>
        <v>286884755.91501927</v>
      </c>
      <c r="F17" s="427">
        <f>AVERAGE(B14,B17)</f>
        <v>566204840.92146051</v>
      </c>
      <c r="G17" s="274">
        <f>M16+M15+N25</f>
        <v>311796623.43834162</v>
      </c>
      <c r="H17" s="428">
        <f>G17/F17</f>
        <v>0.55067813078198602</v>
      </c>
      <c r="I17" s="275"/>
      <c r="J17" s="8">
        <v>2</v>
      </c>
      <c r="K17" s="419">
        <v>46387</v>
      </c>
      <c r="L17" s="279">
        <f t="shared" ref="L17:L18" si="16">L16-$M$17</f>
        <v>143442377.95750964</v>
      </c>
      <c r="M17" s="279">
        <f t="shared" si="8"/>
        <v>143442377.95750964</v>
      </c>
      <c r="N17" s="279">
        <f>(InfoInicial!$B$33/2)*L16</f>
        <v>71721188.978754818</v>
      </c>
      <c r="O17" s="279"/>
      <c r="P17" s="279"/>
      <c r="Q17" s="10"/>
      <c r="R17" s="316">
        <f t="shared" si="9"/>
        <v>215163566.93626446</v>
      </c>
      <c r="S17" s="8"/>
      <c r="T17" s="8"/>
      <c r="U17" s="8"/>
      <c r="V17" s="8"/>
      <c r="W17" s="8"/>
      <c r="X17" s="8"/>
    </row>
    <row r="18" spans="1:24" ht="12.75" customHeight="1">
      <c r="A18" s="419">
        <v>46387</v>
      </c>
      <c r="B18" s="274">
        <f t="shared" si="13"/>
        <v>558640170.01288247</v>
      </c>
      <c r="C18" s="274">
        <f t="shared" si="14"/>
        <v>143442377.95750964</v>
      </c>
      <c r="D18" s="274">
        <f t="shared" si="15"/>
        <v>96633056.502077192</v>
      </c>
      <c r="E18" s="228"/>
      <c r="F18" s="427"/>
      <c r="G18" s="228"/>
      <c r="H18" s="395"/>
      <c r="I18" s="247"/>
      <c r="J18" s="8">
        <v>2</v>
      </c>
      <c r="K18" s="429">
        <v>46568</v>
      </c>
      <c r="L18" s="279">
        <f t="shared" si="16"/>
        <v>0</v>
      </c>
      <c r="M18" s="279">
        <f t="shared" si="8"/>
        <v>143442377.95750964</v>
      </c>
      <c r="N18" s="279">
        <f>(InfoInicial!$B$33/2)*L17</f>
        <v>35860594.489377409</v>
      </c>
      <c r="O18" s="279">
        <f t="shared" ref="O18:P18" si="17">M17+M18</f>
        <v>286884755.91501927</v>
      </c>
      <c r="P18" s="279">
        <f t="shared" si="17"/>
        <v>107581783.46813223</v>
      </c>
      <c r="Q18" s="10"/>
      <c r="R18" s="316">
        <f t="shared" si="9"/>
        <v>179302972.44688705</v>
      </c>
      <c r="S18" s="8"/>
      <c r="T18" s="8"/>
      <c r="U18" s="8"/>
      <c r="V18" s="8"/>
      <c r="W18" s="8"/>
      <c r="X18" s="8"/>
    </row>
    <row r="19" spans="1:24" ht="13.5" customHeight="1">
      <c r="A19" s="429">
        <v>46568</v>
      </c>
      <c r="B19" s="274">
        <f t="shared" si="13"/>
        <v>415197792.05537283</v>
      </c>
      <c r="C19" s="274">
        <f t="shared" si="14"/>
        <v>143442377.95750964</v>
      </c>
      <c r="D19" s="274">
        <f t="shared" si="15"/>
        <v>60772462.012699783</v>
      </c>
      <c r="E19" s="228">
        <f>O18</f>
        <v>286884755.91501927</v>
      </c>
      <c r="F19" s="427">
        <f>AVERAGE(B18,B19)</f>
        <v>486918981.03412765</v>
      </c>
      <c r="G19" s="228">
        <f>N18+N17+N27+N26</f>
        <v>157405518.51477697</v>
      </c>
      <c r="H19" s="428">
        <f>G19/F19</f>
        <v>0.3232683970965276</v>
      </c>
      <c r="I19" s="247"/>
      <c r="J19" s="8"/>
      <c r="K19" s="8"/>
      <c r="L19" s="8"/>
      <c r="M19" s="296"/>
      <c r="N19" s="296"/>
      <c r="O19" s="296"/>
      <c r="P19" s="296"/>
      <c r="Q19" s="8"/>
      <c r="R19" s="8"/>
      <c r="S19" s="8"/>
      <c r="T19" s="8"/>
      <c r="U19" s="8"/>
      <c r="V19" s="8"/>
      <c r="W19" s="8"/>
      <c r="X19" s="8"/>
    </row>
    <row r="20" spans="1:24" ht="14.25" customHeight="1">
      <c r="A20" s="420">
        <v>46752</v>
      </c>
      <c r="B20" s="274">
        <f t="shared" ref="B20:B36" si="18">L28</f>
        <v>415197792.05537283</v>
      </c>
      <c r="C20" s="274"/>
      <c r="D20" s="274">
        <f t="shared" ref="D20:D36" si="19">N28</f>
        <v>24911867.52332237</v>
      </c>
      <c r="E20" s="228"/>
      <c r="F20" s="427"/>
      <c r="G20" s="228"/>
      <c r="H20" s="395"/>
      <c r="I20" s="247"/>
      <c r="J20" s="8"/>
      <c r="K20" s="8"/>
      <c r="L20" s="8"/>
      <c r="M20" s="296"/>
      <c r="N20" s="296"/>
      <c r="O20" s="296"/>
      <c r="P20" s="296"/>
      <c r="Q20" s="8"/>
      <c r="R20" s="8"/>
      <c r="S20" s="8"/>
      <c r="T20" s="8"/>
      <c r="U20" s="8"/>
      <c r="V20" s="8"/>
      <c r="W20" s="8"/>
      <c r="X20" s="8"/>
    </row>
    <row r="21" spans="1:24" ht="13.5" customHeight="1">
      <c r="A21" s="419">
        <v>46934</v>
      </c>
      <c r="B21" s="274">
        <f t="shared" si="18"/>
        <v>415197792.05537283</v>
      </c>
      <c r="C21" s="274"/>
      <c r="D21" s="274">
        <f t="shared" si="19"/>
        <v>24911867.52332237</v>
      </c>
      <c r="E21" s="228"/>
      <c r="F21" s="427">
        <f>AVERAGE(B20,B21)</f>
        <v>415197792.05537283</v>
      </c>
      <c r="G21" s="228">
        <f>N29+N28</f>
        <v>49823735.04664474</v>
      </c>
      <c r="H21" s="428">
        <f>G21/F21</f>
        <v>0.12</v>
      </c>
      <c r="I21" s="247"/>
      <c r="J21" s="8"/>
      <c r="K21" s="17"/>
      <c r="L21" s="8"/>
      <c r="M21" s="296"/>
      <c r="N21" s="296"/>
      <c r="O21" s="296"/>
      <c r="P21" s="296"/>
      <c r="Q21" s="17"/>
      <c r="R21" s="8"/>
      <c r="S21" s="8"/>
      <c r="T21" s="8"/>
      <c r="U21" s="8"/>
      <c r="V21" s="8"/>
      <c r="W21" s="8"/>
      <c r="X21" s="8"/>
    </row>
    <row r="22" spans="1:24" ht="12.75" customHeight="1">
      <c r="A22" s="420">
        <v>47118</v>
      </c>
      <c r="B22" s="274">
        <f t="shared" si="18"/>
        <v>415197792.05537283</v>
      </c>
      <c r="C22" s="228"/>
      <c r="D22" s="274">
        <f t="shared" si="19"/>
        <v>24911867.52332237</v>
      </c>
      <c r="E22" s="228"/>
      <c r="F22" s="427"/>
      <c r="G22" s="228"/>
      <c r="H22" s="395"/>
      <c r="I22" s="247"/>
      <c r="J22" s="8"/>
      <c r="K22" s="412" t="s">
        <v>684</v>
      </c>
      <c r="L22" s="645" t="s">
        <v>671</v>
      </c>
      <c r="M22" s="413" t="s">
        <v>672</v>
      </c>
      <c r="N22" s="413" t="s">
        <v>673</v>
      </c>
      <c r="O22" s="413" t="s">
        <v>672</v>
      </c>
      <c r="P22" s="413" t="s">
        <v>673</v>
      </c>
      <c r="Q22" s="645" t="s">
        <v>677</v>
      </c>
      <c r="S22" s="8"/>
      <c r="T22" s="8"/>
      <c r="U22" s="8"/>
      <c r="V22" s="8"/>
      <c r="W22" s="8"/>
      <c r="X22" s="8"/>
    </row>
    <row r="23" spans="1:24" ht="12.75" customHeight="1">
      <c r="A23" s="420">
        <v>47299</v>
      </c>
      <c r="B23" s="274">
        <f t="shared" si="18"/>
        <v>415197792.05537283</v>
      </c>
      <c r="C23" s="228"/>
      <c r="D23" s="274">
        <f t="shared" si="19"/>
        <v>24911867.52332237</v>
      </c>
      <c r="E23" s="228"/>
      <c r="F23" s="427">
        <f>AVERAGE(B22,B23)</f>
        <v>415197792.05537283</v>
      </c>
      <c r="G23" s="228">
        <f>N30+N31</f>
        <v>49823735.04664474</v>
      </c>
      <c r="H23" s="428">
        <f>G23/F23</f>
        <v>0.12</v>
      </c>
      <c r="I23" s="247"/>
      <c r="J23" s="8"/>
      <c r="K23" s="417" t="s">
        <v>685</v>
      </c>
      <c r="L23" s="596"/>
      <c r="M23" s="418" t="s">
        <v>678</v>
      </c>
      <c r="N23" s="418" t="s">
        <v>678</v>
      </c>
      <c r="O23" s="418" t="s">
        <v>226</v>
      </c>
      <c r="P23" s="418" t="s">
        <v>226</v>
      </c>
      <c r="Q23" s="596"/>
      <c r="S23" s="8"/>
      <c r="T23" s="8"/>
      <c r="U23" s="8"/>
      <c r="V23" s="8"/>
      <c r="W23" s="8"/>
      <c r="X23" s="8"/>
    </row>
    <row r="24" spans="1:24" ht="12.75" customHeight="1">
      <c r="A24" s="419">
        <v>47483</v>
      </c>
      <c r="B24" s="274">
        <f t="shared" si="18"/>
        <v>415197792.05537283</v>
      </c>
      <c r="C24" s="228"/>
      <c r="D24" s="274">
        <f t="shared" si="19"/>
        <v>24911867.52332237</v>
      </c>
      <c r="E24" s="228"/>
      <c r="F24" s="427"/>
      <c r="G24" s="228"/>
      <c r="H24" s="395"/>
      <c r="I24" s="247"/>
      <c r="K24" s="11"/>
      <c r="L24" s="316">
        <f>D5</f>
        <v>415197792.05537283</v>
      </c>
      <c r="M24" s="316"/>
      <c r="N24" s="316"/>
      <c r="O24" s="316"/>
      <c r="P24" s="316"/>
      <c r="Q24" s="11"/>
      <c r="S24" s="8"/>
      <c r="T24" s="8"/>
      <c r="U24" s="8"/>
      <c r="V24" s="8"/>
      <c r="W24" s="8"/>
      <c r="X24" s="8"/>
    </row>
    <row r="25" spans="1:24" ht="12.75" customHeight="1">
      <c r="A25" s="420">
        <v>47664</v>
      </c>
      <c r="B25" s="274">
        <f t="shared" si="18"/>
        <v>415197792.05537283</v>
      </c>
      <c r="C25" s="228"/>
      <c r="D25" s="274">
        <f t="shared" si="19"/>
        <v>24911867.52332237</v>
      </c>
      <c r="E25" s="228"/>
      <c r="F25" s="427">
        <f>AVERAGE(B24,B25)</f>
        <v>415197792.05537283</v>
      </c>
      <c r="G25" s="228">
        <f>N31+N32</f>
        <v>49823735.04664474</v>
      </c>
      <c r="H25" s="428">
        <f>G25/F25</f>
        <v>0.12</v>
      </c>
      <c r="I25" s="247"/>
      <c r="J25" s="8">
        <v>1</v>
      </c>
      <c r="K25" s="426">
        <v>46203</v>
      </c>
      <c r="L25" s="316">
        <f t="shared" ref="L25:L44" si="20">L24</f>
        <v>415197792.05537283</v>
      </c>
      <c r="M25" s="10" t="s">
        <v>161</v>
      </c>
      <c r="N25" s="316">
        <f>L24*(InfoInicial!$B$39/2)</f>
        <v>24911867.52332237</v>
      </c>
      <c r="O25" s="10" t="s">
        <v>161</v>
      </c>
      <c r="P25" s="316"/>
      <c r="Q25" s="316">
        <f t="shared" ref="Q25:Q44" si="21">N25</f>
        <v>24911867.52332237</v>
      </c>
      <c r="S25" s="8"/>
      <c r="T25" s="8"/>
      <c r="U25" s="8"/>
      <c r="V25" s="8"/>
      <c r="W25" s="8"/>
      <c r="X25" s="8"/>
    </row>
    <row r="26" spans="1:24" ht="12.75" customHeight="1">
      <c r="A26" s="420">
        <v>47848</v>
      </c>
      <c r="B26" s="274">
        <f t="shared" si="18"/>
        <v>415197792.05537283</v>
      </c>
      <c r="C26" s="228"/>
      <c r="D26" s="274">
        <f t="shared" si="19"/>
        <v>24911867.52332237</v>
      </c>
      <c r="E26" s="228"/>
      <c r="F26" s="427"/>
      <c r="G26" s="228"/>
      <c r="H26" s="395"/>
      <c r="I26" s="247"/>
      <c r="J26" s="8">
        <v>1</v>
      </c>
      <c r="K26" s="419">
        <v>46387</v>
      </c>
      <c r="L26" s="316">
        <f t="shared" si="20"/>
        <v>415197792.05537283</v>
      </c>
      <c r="M26" s="10" t="s">
        <v>161</v>
      </c>
      <c r="N26" s="316">
        <f>L25*(InfoInicial!$B$39/2)</f>
        <v>24911867.52332237</v>
      </c>
      <c r="O26" s="10" t="s">
        <v>161</v>
      </c>
      <c r="P26" s="316">
        <f>N25+N26</f>
        <v>49823735.04664474</v>
      </c>
      <c r="Q26" s="316">
        <f t="shared" si="21"/>
        <v>24911867.52332237</v>
      </c>
      <c r="S26" s="8"/>
      <c r="T26" s="8"/>
      <c r="U26" s="8"/>
      <c r="V26" s="8"/>
      <c r="W26" s="8"/>
      <c r="X26" s="8"/>
    </row>
    <row r="27" spans="1:24" ht="12.75" customHeight="1">
      <c r="A27" s="419">
        <v>48029</v>
      </c>
      <c r="B27" s="274">
        <f t="shared" si="18"/>
        <v>415197792.05537283</v>
      </c>
      <c r="C27" s="228"/>
      <c r="D27" s="274">
        <f t="shared" si="19"/>
        <v>24911867.52332237</v>
      </c>
      <c r="E27" s="228"/>
      <c r="F27" s="427">
        <f>AVERAGE(B26,B27)</f>
        <v>415197792.05537283</v>
      </c>
      <c r="G27" s="228">
        <f>N34+N33</f>
        <v>49823735.04664474</v>
      </c>
      <c r="H27" s="428">
        <f>G27/F27</f>
        <v>0.12</v>
      </c>
      <c r="I27" s="247"/>
      <c r="J27" s="8">
        <v>2</v>
      </c>
      <c r="K27" s="429">
        <v>46568</v>
      </c>
      <c r="L27" s="316">
        <f t="shared" si="20"/>
        <v>415197792.05537283</v>
      </c>
      <c r="M27" s="10" t="s">
        <v>161</v>
      </c>
      <c r="N27" s="316">
        <f>L26*(InfoInicial!$B$39/2)</f>
        <v>24911867.52332237</v>
      </c>
      <c r="O27" s="10" t="s">
        <v>161</v>
      </c>
      <c r="P27" s="316"/>
      <c r="Q27" s="316">
        <f t="shared" si="21"/>
        <v>24911867.52332237</v>
      </c>
      <c r="S27" s="8"/>
      <c r="T27" s="8"/>
      <c r="U27" s="8"/>
      <c r="V27" s="8"/>
      <c r="W27" s="8"/>
      <c r="X27" s="8"/>
    </row>
    <row r="28" spans="1:24" ht="12.75" customHeight="1">
      <c r="A28" s="420">
        <v>48213</v>
      </c>
      <c r="B28" s="274">
        <f t="shared" si="18"/>
        <v>415197792.05537283</v>
      </c>
      <c r="C28" s="228"/>
      <c r="D28" s="274">
        <f t="shared" si="19"/>
        <v>24911867.52332237</v>
      </c>
      <c r="E28" s="228"/>
      <c r="F28" s="427"/>
      <c r="G28" s="228"/>
      <c r="H28" s="395"/>
      <c r="I28" s="247"/>
      <c r="J28" s="8">
        <v>2</v>
      </c>
      <c r="K28" s="420">
        <v>46752</v>
      </c>
      <c r="L28" s="316">
        <f t="shared" si="20"/>
        <v>415197792.05537283</v>
      </c>
      <c r="M28" s="10" t="s">
        <v>161</v>
      </c>
      <c r="N28" s="316">
        <f>L27*(InfoInicial!$B$39/2)</f>
        <v>24911867.52332237</v>
      </c>
      <c r="O28" s="10" t="s">
        <v>161</v>
      </c>
      <c r="P28" s="316">
        <f>N27+N28</f>
        <v>49823735.04664474</v>
      </c>
      <c r="Q28" s="316">
        <f t="shared" si="21"/>
        <v>24911867.52332237</v>
      </c>
      <c r="S28" s="8"/>
      <c r="T28" s="8"/>
      <c r="U28" s="8"/>
      <c r="V28" s="8"/>
      <c r="W28" s="8"/>
      <c r="X28" s="8"/>
    </row>
    <row r="29" spans="1:24" ht="12.75" customHeight="1">
      <c r="A29" s="420">
        <v>48395</v>
      </c>
      <c r="B29" s="274">
        <f t="shared" si="18"/>
        <v>415197792.05537283</v>
      </c>
      <c r="C29" s="228"/>
      <c r="D29" s="274">
        <f t="shared" si="19"/>
        <v>24911867.52332237</v>
      </c>
      <c r="E29" s="228"/>
      <c r="F29" s="427">
        <f>AVERAGE(B28,B29)</f>
        <v>415197792.05537283</v>
      </c>
      <c r="G29" s="228">
        <f>N36+N35</f>
        <v>49823735.04664474</v>
      </c>
      <c r="H29" s="428">
        <f>G29/F29</f>
        <v>0.12</v>
      </c>
      <c r="I29" s="247"/>
      <c r="J29" s="8">
        <v>3</v>
      </c>
      <c r="K29" s="419">
        <v>46934</v>
      </c>
      <c r="L29" s="316">
        <f t="shared" si="20"/>
        <v>415197792.05537283</v>
      </c>
      <c r="M29" s="10" t="s">
        <v>161</v>
      </c>
      <c r="N29" s="316">
        <f>L28*(InfoInicial!$B$39/2)</f>
        <v>24911867.52332237</v>
      </c>
      <c r="O29" s="10" t="s">
        <v>161</v>
      </c>
      <c r="P29" s="316"/>
      <c r="Q29" s="316">
        <f t="shared" si="21"/>
        <v>24911867.52332237</v>
      </c>
      <c r="S29" s="8"/>
      <c r="T29" s="8"/>
      <c r="U29" s="8"/>
      <c r="V29" s="8"/>
      <c r="W29" s="8"/>
      <c r="X29" s="8"/>
    </row>
    <row r="30" spans="1:24" ht="12.75" customHeight="1">
      <c r="A30" s="419">
        <v>48579</v>
      </c>
      <c r="B30" s="274">
        <f t="shared" si="18"/>
        <v>415197792.05537283</v>
      </c>
      <c r="C30" s="228"/>
      <c r="D30" s="274">
        <f t="shared" si="19"/>
        <v>24911867.52332237</v>
      </c>
      <c r="E30" s="228"/>
      <c r="F30" s="427"/>
      <c r="G30" s="228"/>
      <c r="H30" s="395"/>
      <c r="I30" s="247"/>
      <c r="J30" s="8">
        <v>3</v>
      </c>
      <c r="K30" s="420">
        <v>47118</v>
      </c>
      <c r="L30" s="316">
        <f t="shared" si="20"/>
        <v>415197792.05537283</v>
      </c>
      <c r="M30" s="10" t="s">
        <v>161</v>
      </c>
      <c r="N30" s="316">
        <f>L29*(InfoInicial!$B$39/2)</f>
        <v>24911867.52332237</v>
      </c>
      <c r="O30" s="10" t="s">
        <v>161</v>
      </c>
      <c r="P30" s="316">
        <f>N29+N30</f>
        <v>49823735.04664474</v>
      </c>
      <c r="Q30" s="316">
        <f t="shared" si="21"/>
        <v>24911867.52332237</v>
      </c>
      <c r="S30" s="8"/>
      <c r="T30" s="8"/>
      <c r="U30" s="8"/>
      <c r="V30" s="8"/>
      <c r="W30" s="8"/>
      <c r="X30" s="8"/>
    </row>
    <row r="31" spans="1:24" ht="12.75" customHeight="1">
      <c r="A31" s="420">
        <v>48760</v>
      </c>
      <c r="B31" s="274">
        <f t="shared" si="18"/>
        <v>415197792.05537283</v>
      </c>
      <c r="C31" s="228"/>
      <c r="D31" s="274">
        <f t="shared" si="19"/>
        <v>24911867.52332237</v>
      </c>
      <c r="E31" s="228"/>
      <c r="F31" s="427">
        <f>AVERAGE(B30,B31)</f>
        <v>415197792.05537283</v>
      </c>
      <c r="G31" s="228">
        <f>N37+N38</f>
        <v>49823735.04664474</v>
      </c>
      <c r="H31" s="428">
        <f>G31/F31</f>
        <v>0.12</v>
      </c>
      <c r="I31" s="247"/>
      <c r="J31" s="8">
        <v>4</v>
      </c>
      <c r="K31" s="420">
        <v>47299</v>
      </c>
      <c r="L31" s="316">
        <f t="shared" si="20"/>
        <v>415197792.05537283</v>
      </c>
      <c r="M31" s="10" t="s">
        <v>161</v>
      </c>
      <c r="N31" s="316">
        <f>L30*(InfoInicial!$B$39/2)</f>
        <v>24911867.52332237</v>
      </c>
      <c r="O31" s="10" t="s">
        <v>161</v>
      </c>
      <c r="P31" s="316"/>
      <c r="Q31" s="316">
        <f t="shared" si="21"/>
        <v>24911867.52332237</v>
      </c>
      <c r="S31" s="8"/>
      <c r="T31" s="8"/>
      <c r="U31" s="8"/>
      <c r="V31" s="8"/>
      <c r="W31" s="8"/>
      <c r="X31" s="8"/>
    </row>
    <row r="32" spans="1:24" ht="12.75" customHeight="1">
      <c r="A32" s="420">
        <v>48944</v>
      </c>
      <c r="B32" s="274">
        <f t="shared" si="18"/>
        <v>415197792.05537283</v>
      </c>
      <c r="C32" s="228"/>
      <c r="D32" s="274">
        <f t="shared" si="19"/>
        <v>24911867.52332237</v>
      </c>
      <c r="E32" s="228"/>
      <c r="F32" s="427"/>
      <c r="G32" s="228"/>
      <c r="H32" s="395"/>
      <c r="I32" s="247"/>
      <c r="J32" s="8">
        <v>4</v>
      </c>
      <c r="K32" s="419">
        <v>47483</v>
      </c>
      <c r="L32" s="316">
        <f t="shared" si="20"/>
        <v>415197792.05537283</v>
      </c>
      <c r="M32" s="10" t="s">
        <v>161</v>
      </c>
      <c r="N32" s="316">
        <f>L31*(InfoInicial!$B$39/2)</f>
        <v>24911867.52332237</v>
      </c>
      <c r="O32" s="10" t="s">
        <v>161</v>
      </c>
      <c r="P32" s="316">
        <f>N31+N32</f>
        <v>49823735.04664474</v>
      </c>
      <c r="Q32" s="316">
        <f t="shared" si="21"/>
        <v>24911867.52332237</v>
      </c>
      <c r="S32" s="8"/>
      <c r="T32" s="8"/>
      <c r="U32" s="8"/>
      <c r="V32" s="8"/>
      <c r="W32" s="8"/>
      <c r="X32" s="8"/>
    </row>
    <row r="33" spans="1:24" ht="12.75" customHeight="1">
      <c r="A33" s="419">
        <v>49125</v>
      </c>
      <c r="B33" s="274">
        <f t="shared" si="18"/>
        <v>415197792.05537283</v>
      </c>
      <c r="C33" s="228"/>
      <c r="D33" s="274">
        <f t="shared" si="19"/>
        <v>24911867.52332237</v>
      </c>
      <c r="E33" s="228"/>
      <c r="F33" s="427">
        <f>AVERAGE(B32,B33)</f>
        <v>415197792.05537283</v>
      </c>
      <c r="G33" s="228">
        <f>N39+N40</f>
        <v>49823735.04664474</v>
      </c>
      <c r="H33" s="428">
        <f>G33/F33</f>
        <v>0.12</v>
      </c>
      <c r="I33" s="247"/>
      <c r="J33" s="8">
        <v>5</v>
      </c>
      <c r="K33" s="420">
        <v>47664</v>
      </c>
      <c r="L33" s="316">
        <f t="shared" si="20"/>
        <v>415197792.05537283</v>
      </c>
      <c r="M33" s="10" t="s">
        <v>161</v>
      </c>
      <c r="N33" s="316">
        <f>L32*(InfoInicial!$B$39/2)</f>
        <v>24911867.52332237</v>
      </c>
      <c r="O33" s="10" t="s">
        <v>161</v>
      </c>
      <c r="P33" s="316"/>
      <c r="Q33" s="316">
        <f t="shared" si="21"/>
        <v>24911867.52332237</v>
      </c>
      <c r="S33" s="8"/>
      <c r="T33" s="8"/>
      <c r="U33" s="8"/>
      <c r="V33" s="8"/>
      <c r="W33" s="8"/>
      <c r="X33" s="8"/>
    </row>
    <row r="34" spans="1:24" ht="12.75" customHeight="1">
      <c r="A34" s="420">
        <v>49309</v>
      </c>
      <c r="B34" s="274">
        <f t="shared" si="18"/>
        <v>415197792.05537283</v>
      </c>
      <c r="C34" s="228"/>
      <c r="D34" s="274">
        <f t="shared" si="19"/>
        <v>24911867.52332237</v>
      </c>
      <c r="E34" s="228"/>
      <c r="F34" s="427"/>
      <c r="G34" s="228"/>
      <c r="H34" s="395"/>
      <c r="I34" s="247"/>
      <c r="J34" s="8">
        <v>5</v>
      </c>
      <c r="K34" s="420">
        <v>47848</v>
      </c>
      <c r="L34" s="316">
        <f t="shared" si="20"/>
        <v>415197792.05537283</v>
      </c>
      <c r="M34" s="10" t="s">
        <v>161</v>
      </c>
      <c r="N34" s="316">
        <f>L33*(InfoInicial!$B$39/2)</f>
        <v>24911867.52332237</v>
      </c>
      <c r="O34" s="10" t="s">
        <v>161</v>
      </c>
      <c r="P34" s="316">
        <f>N33+N34</f>
        <v>49823735.04664474</v>
      </c>
      <c r="Q34" s="316">
        <f t="shared" si="21"/>
        <v>24911867.52332237</v>
      </c>
      <c r="S34" s="8"/>
      <c r="T34" s="8"/>
      <c r="U34" s="8"/>
      <c r="V34" s="8"/>
      <c r="W34" s="8"/>
      <c r="X34" s="8"/>
    </row>
    <row r="35" spans="1:24" ht="12.75" customHeight="1">
      <c r="A35" s="420">
        <v>49490</v>
      </c>
      <c r="B35" s="274">
        <f t="shared" si="18"/>
        <v>415197792.05537283</v>
      </c>
      <c r="C35" s="228"/>
      <c r="D35" s="274">
        <f t="shared" si="19"/>
        <v>24911867.52332237</v>
      </c>
      <c r="E35" s="228"/>
      <c r="F35" s="427">
        <f>AVERAGE(B34,B35)</f>
        <v>415197792.05537283</v>
      </c>
      <c r="G35" s="228">
        <f>N41+N42</f>
        <v>49823735.04664474</v>
      </c>
      <c r="H35" s="428">
        <f>G35/F35</f>
        <v>0.12</v>
      </c>
      <c r="I35" s="247"/>
      <c r="J35" s="8">
        <v>6</v>
      </c>
      <c r="K35" s="419">
        <v>48029</v>
      </c>
      <c r="L35" s="316">
        <f t="shared" si="20"/>
        <v>415197792.05537283</v>
      </c>
      <c r="M35" s="10" t="s">
        <v>161</v>
      </c>
      <c r="N35" s="316">
        <f>L34*(InfoInicial!$B$39/2)</f>
        <v>24911867.52332237</v>
      </c>
      <c r="O35" s="10" t="s">
        <v>161</v>
      </c>
      <c r="P35" s="316"/>
      <c r="Q35" s="316">
        <f t="shared" si="21"/>
        <v>24911867.52332237</v>
      </c>
      <c r="S35" s="8"/>
      <c r="T35" s="8"/>
      <c r="U35" s="8"/>
      <c r="V35" s="8"/>
      <c r="W35" s="8"/>
      <c r="X35" s="8"/>
    </row>
    <row r="36" spans="1:24" ht="12.75" customHeight="1">
      <c r="A36" s="419">
        <v>49674</v>
      </c>
      <c r="B36" s="274">
        <f t="shared" si="18"/>
        <v>415197792.05537283</v>
      </c>
      <c r="C36" s="228"/>
      <c r="D36" s="274">
        <f t="shared" si="19"/>
        <v>24911867.52332237</v>
      </c>
      <c r="E36" s="228"/>
      <c r="F36" s="427"/>
      <c r="G36" s="228"/>
      <c r="H36" s="304"/>
      <c r="I36" s="247"/>
      <c r="J36" s="8">
        <v>6</v>
      </c>
      <c r="K36" s="420">
        <v>48213</v>
      </c>
      <c r="L36" s="316">
        <f t="shared" si="20"/>
        <v>415197792.05537283</v>
      </c>
      <c r="M36" s="10" t="s">
        <v>161</v>
      </c>
      <c r="N36" s="316">
        <f>L35*(InfoInicial!$B$39/2)</f>
        <v>24911867.52332237</v>
      </c>
      <c r="O36" s="10" t="s">
        <v>161</v>
      </c>
      <c r="P36" s="316">
        <f>N35+N36</f>
        <v>49823735.04664474</v>
      </c>
      <c r="Q36" s="316">
        <f t="shared" si="21"/>
        <v>24911867.52332237</v>
      </c>
      <c r="S36" s="8"/>
      <c r="T36" s="8"/>
      <c r="U36" s="8"/>
      <c r="V36" s="8"/>
      <c r="W36" s="8"/>
      <c r="X36" s="8"/>
    </row>
    <row r="37" spans="1:24" ht="12.75" customHeight="1">
      <c r="A37" s="430" t="s">
        <v>686</v>
      </c>
      <c r="B37" s="399">
        <f t="shared" ref="B37:D37" si="22">SUM(B17:B36,B12:B14)</f>
        <v>10455591510.470102</v>
      </c>
      <c r="C37" s="399">
        <f t="shared" si="22"/>
        <v>860654267.74505782</v>
      </c>
      <c r="D37" s="399">
        <f t="shared" si="22"/>
        <v>1251309834.7433724</v>
      </c>
      <c r="E37" s="399">
        <f>E13+E17+E19</f>
        <v>860654267.74505782</v>
      </c>
      <c r="F37" s="399"/>
      <c r="G37" s="399"/>
      <c r="H37" s="431"/>
      <c r="I37" s="432"/>
      <c r="J37" s="8">
        <v>7</v>
      </c>
      <c r="K37" s="420">
        <v>48395</v>
      </c>
      <c r="L37" s="316">
        <f t="shared" si="20"/>
        <v>415197792.05537283</v>
      </c>
      <c r="M37" s="10" t="s">
        <v>161</v>
      </c>
      <c r="N37" s="316">
        <f>L36*(InfoInicial!$B$39/2)</f>
        <v>24911867.52332237</v>
      </c>
      <c r="O37" s="10" t="s">
        <v>161</v>
      </c>
      <c r="P37" s="11"/>
      <c r="Q37" s="316">
        <f t="shared" si="21"/>
        <v>24911867.52332237</v>
      </c>
      <c r="S37" s="8"/>
      <c r="T37" s="8"/>
      <c r="U37" s="8"/>
      <c r="V37" s="8"/>
      <c r="W37" s="8"/>
      <c r="X37" s="8"/>
    </row>
    <row r="38" spans="1:24" ht="12.75" customHeight="1">
      <c r="J38" s="8">
        <v>7</v>
      </c>
      <c r="K38" s="419">
        <v>48579</v>
      </c>
      <c r="L38" s="316">
        <f t="shared" si="20"/>
        <v>415197792.05537283</v>
      </c>
      <c r="M38" s="10" t="s">
        <v>161</v>
      </c>
      <c r="N38" s="316">
        <f>L37*(InfoInicial!$B$39/2)</f>
        <v>24911867.52332237</v>
      </c>
      <c r="O38" s="10" t="s">
        <v>161</v>
      </c>
      <c r="P38" s="316">
        <f>N37+N38</f>
        <v>49823735.04664474</v>
      </c>
      <c r="Q38" s="316">
        <f t="shared" si="21"/>
        <v>24911867.52332237</v>
      </c>
      <c r="S38" s="8"/>
      <c r="T38" s="8"/>
      <c r="U38" s="8"/>
      <c r="V38" s="8"/>
      <c r="W38" s="8"/>
      <c r="X38" s="8"/>
    </row>
    <row r="39" spans="1:24" ht="12.75" customHeight="1">
      <c r="J39" s="8">
        <v>8</v>
      </c>
      <c r="K39" s="420">
        <v>48760</v>
      </c>
      <c r="L39" s="316">
        <f t="shared" si="20"/>
        <v>415197792.05537283</v>
      </c>
      <c r="M39" s="10" t="s">
        <v>161</v>
      </c>
      <c r="N39" s="316">
        <f>L38*(InfoInicial!$B$39/2)</f>
        <v>24911867.52332237</v>
      </c>
      <c r="O39" s="10" t="s">
        <v>161</v>
      </c>
      <c r="P39" s="11"/>
      <c r="Q39" s="316">
        <f t="shared" si="21"/>
        <v>24911867.52332237</v>
      </c>
      <c r="S39" s="8"/>
      <c r="T39" s="8"/>
      <c r="U39" s="8"/>
      <c r="V39" s="8"/>
      <c r="W39" s="8"/>
      <c r="X39" s="8"/>
    </row>
    <row r="40" spans="1:24" ht="12.75" customHeight="1">
      <c r="J40" s="8">
        <v>8</v>
      </c>
      <c r="K40" s="420">
        <v>48944</v>
      </c>
      <c r="L40" s="316">
        <f t="shared" si="20"/>
        <v>415197792.05537283</v>
      </c>
      <c r="M40" s="10" t="s">
        <v>161</v>
      </c>
      <c r="N40" s="316">
        <f>L39*(InfoInicial!$B$39/2)</f>
        <v>24911867.52332237</v>
      </c>
      <c r="O40" s="10" t="s">
        <v>161</v>
      </c>
      <c r="P40" s="316">
        <f>N39+N40</f>
        <v>49823735.04664474</v>
      </c>
      <c r="Q40" s="316">
        <f t="shared" si="21"/>
        <v>24911867.52332237</v>
      </c>
      <c r="S40" s="8"/>
      <c r="T40" s="8"/>
      <c r="U40" s="8"/>
      <c r="V40" s="8"/>
      <c r="W40" s="8"/>
      <c r="X40" s="8"/>
    </row>
    <row r="41" spans="1:24" ht="12.75" customHeight="1">
      <c r="J41" s="8">
        <v>9</v>
      </c>
      <c r="K41" s="419">
        <v>49125</v>
      </c>
      <c r="L41" s="316">
        <f t="shared" si="20"/>
        <v>415197792.05537283</v>
      </c>
      <c r="M41" s="10" t="s">
        <v>161</v>
      </c>
      <c r="N41" s="316">
        <f>L40*(InfoInicial!$B$39/2)</f>
        <v>24911867.52332237</v>
      </c>
      <c r="O41" s="10" t="s">
        <v>161</v>
      </c>
      <c r="P41" s="11"/>
      <c r="Q41" s="316">
        <f t="shared" si="21"/>
        <v>24911867.52332237</v>
      </c>
      <c r="S41" s="8"/>
      <c r="T41" s="8"/>
      <c r="U41" s="8"/>
      <c r="V41" s="8"/>
      <c r="W41" s="8"/>
      <c r="X41" s="8"/>
    </row>
    <row r="42" spans="1:24" ht="12.75" customHeight="1">
      <c r="A42" s="433"/>
      <c r="B42" s="285"/>
      <c r="C42" s="285"/>
      <c r="D42" s="285"/>
      <c r="E42" s="285"/>
      <c r="F42" s="296"/>
      <c r="G42" s="285"/>
      <c r="H42" s="434"/>
      <c r="I42" s="285"/>
      <c r="J42" s="8">
        <v>9</v>
      </c>
      <c r="K42" s="420">
        <v>49309</v>
      </c>
      <c r="L42" s="316">
        <f t="shared" si="20"/>
        <v>415197792.05537283</v>
      </c>
      <c r="M42" s="10" t="s">
        <v>161</v>
      </c>
      <c r="N42" s="316">
        <f>L41*(InfoInicial!$B$39/2)</f>
        <v>24911867.52332237</v>
      </c>
      <c r="O42" s="10" t="s">
        <v>161</v>
      </c>
      <c r="P42" s="316">
        <f>N41+N42</f>
        <v>49823735.04664474</v>
      </c>
      <c r="Q42" s="316">
        <f t="shared" si="21"/>
        <v>24911867.52332237</v>
      </c>
      <c r="S42" s="8"/>
      <c r="T42" s="8"/>
      <c r="U42" s="8"/>
      <c r="V42" s="8"/>
      <c r="W42" s="8"/>
      <c r="X42" s="8"/>
    </row>
    <row r="43" spans="1:24" ht="12.75" customHeight="1">
      <c r="A43" s="8"/>
      <c r="B43" s="8"/>
      <c r="C43" s="8"/>
      <c r="D43" s="8"/>
      <c r="E43" s="8"/>
      <c r="F43" s="8"/>
      <c r="G43" s="8"/>
      <c r="H43" s="8"/>
      <c r="I43" s="8"/>
      <c r="J43" s="8">
        <v>10</v>
      </c>
      <c r="K43" s="420">
        <v>49490</v>
      </c>
      <c r="L43" s="316">
        <f t="shared" si="20"/>
        <v>415197792.05537283</v>
      </c>
      <c r="M43" s="10" t="s">
        <v>161</v>
      </c>
      <c r="N43" s="316">
        <f>L42*(InfoInicial!$B$39/2)</f>
        <v>24911867.52332237</v>
      </c>
      <c r="O43" s="10" t="s">
        <v>161</v>
      </c>
      <c r="P43" s="11"/>
      <c r="Q43" s="316">
        <f t="shared" si="21"/>
        <v>24911867.52332237</v>
      </c>
      <c r="S43" s="8"/>
      <c r="T43" s="8"/>
      <c r="U43" s="8"/>
      <c r="V43" s="8"/>
      <c r="W43" s="8"/>
      <c r="X43" s="8"/>
    </row>
    <row r="44" spans="1:24" ht="12.75" customHeight="1">
      <c r="A44" s="8"/>
      <c r="B44" s="8"/>
      <c r="C44" s="8"/>
      <c r="D44" s="8"/>
      <c r="E44" s="8"/>
      <c r="F44" s="8"/>
      <c r="G44" s="8"/>
      <c r="H44" s="8"/>
      <c r="I44" s="8"/>
      <c r="J44" s="8">
        <v>10</v>
      </c>
      <c r="K44" s="419">
        <v>49674</v>
      </c>
      <c r="L44" s="316">
        <f t="shared" si="20"/>
        <v>415197792.05537283</v>
      </c>
      <c r="M44" s="11"/>
      <c r="N44" s="316">
        <f>L43*(InfoInicial!$B$39/2)</f>
        <v>24911867.52332237</v>
      </c>
      <c r="O44" s="10" t="s">
        <v>161</v>
      </c>
      <c r="P44" s="316">
        <f>N43+N44</f>
        <v>49823735.04664474</v>
      </c>
      <c r="Q44" s="316">
        <f t="shared" si="21"/>
        <v>24911867.52332237</v>
      </c>
      <c r="S44" s="8"/>
      <c r="T44" s="8"/>
      <c r="U44" s="8"/>
      <c r="V44" s="8"/>
      <c r="W44" s="8"/>
      <c r="X44" s="8"/>
    </row>
    <row r="45" spans="1:24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3.5" customHeight="1"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2.75" customHeight="1"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2.75" customHeight="1"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mergeCells count="7">
    <mergeCell ref="R10:R11"/>
    <mergeCell ref="L22:L23"/>
    <mergeCell ref="Q22:Q23"/>
    <mergeCell ref="B2:C2"/>
    <mergeCell ref="D2:E2"/>
    <mergeCell ref="F2:G2"/>
    <mergeCell ref="L10:L11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>
      <selection activeCell="L12" sqref="L12"/>
    </sheetView>
  </sheetViews>
  <sheetFormatPr baseColWidth="10" defaultColWidth="12.5703125" defaultRowHeight="15" customHeight="1"/>
  <cols>
    <col min="1" max="1" width="32.140625" customWidth="1"/>
    <col min="2" max="2" width="20.140625" customWidth="1"/>
    <col min="3" max="3" width="17.140625" customWidth="1"/>
    <col min="4" max="4" width="18.42578125" customWidth="1"/>
    <col min="5" max="5" width="18.28515625" customWidth="1"/>
    <col min="6" max="6" width="17.85546875" customWidth="1"/>
    <col min="7" max="7" width="18" customWidth="1"/>
    <col min="8" max="8" width="19.42578125" customWidth="1"/>
    <col min="9" max="9" width="20.28515625" customWidth="1"/>
    <col min="10" max="10" width="18.28515625" customWidth="1"/>
    <col min="11" max="11" width="18.85546875" customWidth="1"/>
    <col min="12" max="12" width="17.5703125" customWidth="1"/>
    <col min="13" max="13" width="12.85546875" customWidth="1"/>
    <col min="14" max="26" width="10" customWidth="1"/>
  </cols>
  <sheetData>
    <row r="1" spans="1:26" ht="16.5" customHeight="1">
      <c r="A1" s="367" t="s">
        <v>687</v>
      </c>
      <c r="B1" s="368"/>
      <c r="C1" s="435"/>
      <c r="D1" s="368"/>
      <c r="E1" s="368"/>
      <c r="F1" s="368"/>
      <c r="G1" s="368"/>
      <c r="H1" s="368"/>
      <c r="I1" s="368"/>
      <c r="J1" s="368"/>
      <c r="K1" s="368"/>
      <c r="L1" s="36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>
      <c r="A2" s="378" t="s">
        <v>421</v>
      </c>
      <c r="B2" s="379" t="s">
        <v>112</v>
      </c>
      <c r="C2" s="379" t="s">
        <v>422</v>
      </c>
      <c r="D2" s="379" t="s">
        <v>423</v>
      </c>
      <c r="E2" s="379" t="s">
        <v>424</v>
      </c>
      <c r="F2" s="379" t="s">
        <v>425</v>
      </c>
      <c r="G2" s="379" t="s">
        <v>426</v>
      </c>
      <c r="H2" s="379" t="s">
        <v>427</v>
      </c>
      <c r="I2" s="379" t="s">
        <v>428</v>
      </c>
      <c r="J2" s="379" t="s">
        <v>429</v>
      </c>
      <c r="K2" s="380" t="s">
        <v>430</v>
      </c>
      <c r="L2" s="370" t="s">
        <v>70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8" t="s">
        <v>688</v>
      </c>
      <c r="B3" s="436">
        <f>'DE-Costos'!B94</f>
        <v>1974375000</v>
      </c>
      <c r="C3" s="436">
        <f>'DE-Costos'!C94</f>
        <v>2925000000</v>
      </c>
      <c r="D3" s="436">
        <f>'DE-Costos'!D94</f>
        <v>2925000000</v>
      </c>
      <c r="E3" s="436">
        <f>'DE-Costos'!E94</f>
        <v>2925000000</v>
      </c>
      <c r="F3" s="436">
        <f>'DE-Costos'!F94</f>
        <v>2925000000</v>
      </c>
      <c r="G3" s="436">
        <f>'DE-Costos'!G94</f>
        <v>2925000000</v>
      </c>
      <c r="H3" s="436">
        <f>'DE-Costos'!H94</f>
        <v>2925000000</v>
      </c>
      <c r="I3" s="436">
        <f>'DE-Costos'!I94</f>
        <v>2925000000</v>
      </c>
      <c r="J3" s="436">
        <f>'DE-Costos'!J94</f>
        <v>2925000000</v>
      </c>
      <c r="K3" s="436">
        <f>'DE-Costos'!K94</f>
        <v>2925000000</v>
      </c>
      <c r="L3" s="247">
        <f t="shared" ref="L3:L11" si="0">SUM(B3:K3)</f>
        <v>28299375000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8" t="s">
        <v>689</v>
      </c>
      <c r="B4" s="436">
        <f>'DE-Costos'!B118</f>
        <v>962437272.50417089</v>
      </c>
      <c r="C4" s="436">
        <f>'DE-Costos'!C118</f>
        <v>1352916485.2243412</v>
      </c>
      <c r="D4" s="436">
        <f>'DE-Costos'!D118</f>
        <v>1350463184.9143405</v>
      </c>
      <c r="E4" s="436">
        <f>'DE-Costos'!E118</f>
        <v>1350008960.2195616</v>
      </c>
      <c r="F4" s="436">
        <f>'DE-Costos'!F118</f>
        <v>1350008960.2195616</v>
      </c>
      <c r="G4" s="436">
        <f>'DE-Costos'!G118</f>
        <v>1350008960.2195616</v>
      </c>
      <c r="H4" s="436">
        <f>'DE-Costos'!H118</f>
        <v>1350008960.2195616</v>
      </c>
      <c r="I4" s="436">
        <f>'DE-Costos'!I118</f>
        <v>1350008960.2195616</v>
      </c>
      <c r="J4" s="436">
        <f>'DE-Costos'!J118</f>
        <v>1350008960.2195616</v>
      </c>
      <c r="K4" s="436">
        <f>'DE-Costos'!K118</f>
        <v>1350008960.2195616</v>
      </c>
      <c r="L4" s="247">
        <f t="shared" si="0"/>
        <v>13115879664.179787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8" t="s">
        <v>690</v>
      </c>
      <c r="B5" s="436">
        <f t="shared" ref="B5:K5" si="1">B3-B4</f>
        <v>1011937727.4958291</v>
      </c>
      <c r="C5" s="436">
        <f t="shared" si="1"/>
        <v>1572083514.7756588</v>
      </c>
      <c r="D5" s="436">
        <f t="shared" si="1"/>
        <v>1574536815.0856595</v>
      </c>
      <c r="E5" s="436">
        <f t="shared" si="1"/>
        <v>1574991039.7804384</v>
      </c>
      <c r="F5" s="436">
        <f t="shared" si="1"/>
        <v>1574991039.7804384</v>
      </c>
      <c r="G5" s="436">
        <f t="shared" si="1"/>
        <v>1574991039.7804384</v>
      </c>
      <c r="H5" s="436">
        <f t="shared" si="1"/>
        <v>1574991039.7804384</v>
      </c>
      <c r="I5" s="436">
        <f t="shared" si="1"/>
        <v>1574991039.7804384</v>
      </c>
      <c r="J5" s="436">
        <f t="shared" si="1"/>
        <v>1574991039.7804384</v>
      </c>
      <c r="K5" s="436">
        <f t="shared" si="1"/>
        <v>1574991039.7804384</v>
      </c>
      <c r="L5" s="247">
        <f t="shared" si="0"/>
        <v>15183495335.820213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8" t="s">
        <v>474</v>
      </c>
      <c r="B6" s="228"/>
      <c r="C6" s="228"/>
      <c r="D6" s="228"/>
      <c r="E6" s="228"/>
      <c r="F6" s="228"/>
      <c r="G6" s="228"/>
      <c r="H6" s="228"/>
      <c r="I6" s="228"/>
      <c r="J6" s="228"/>
      <c r="K6" s="331"/>
      <c r="L6" s="247">
        <f t="shared" si="0"/>
        <v>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8" t="s">
        <v>691</v>
      </c>
      <c r="B7" s="228">
        <f>'DE-Costos'!B115</f>
        <v>103633444.87185113</v>
      </c>
      <c r="C7" s="228">
        <f>'DE-Costos'!C115</f>
        <v>103633444.87185113</v>
      </c>
      <c r="D7" s="228">
        <f>'DE-Costos'!D115</f>
        <v>103633444.87185113</v>
      </c>
      <c r="E7" s="228">
        <f>'DE-Costos'!E115</f>
        <v>103633444.87185113</v>
      </c>
      <c r="F7" s="228">
        <f>'DE-Costos'!F115</f>
        <v>103633444.87185113</v>
      </c>
      <c r="G7" s="228">
        <f>'DE-Costos'!G115</f>
        <v>103633444.87185113</v>
      </c>
      <c r="H7" s="228">
        <f>'DE-Costos'!H115</f>
        <v>103633444.87185113</v>
      </c>
      <c r="I7" s="228">
        <f>'DE-Costos'!I115</f>
        <v>103633444.87185113</v>
      </c>
      <c r="J7" s="228">
        <f>'DE-Costos'!J115</f>
        <v>103633444.87185113</v>
      </c>
      <c r="K7" s="228">
        <f>'DE-Costos'!K115</f>
        <v>103633444.87185113</v>
      </c>
      <c r="L7" s="247">
        <f t="shared" si="0"/>
        <v>1036334448.7185111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8" t="s">
        <v>692</v>
      </c>
      <c r="B8" s="228">
        <f>'DE-Costos'!B116</f>
        <v>58367425.259851135</v>
      </c>
      <c r="C8" s="228">
        <f>'DE-Costos'!C116</f>
        <v>58367425.259851135</v>
      </c>
      <c r="D8" s="228">
        <f>'DE-Costos'!D116</f>
        <v>58367425.259851135</v>
      </c>
      <c r="E8" s="228">
        <f>'DE-Costos'!E116</f>
        <v>58367425.259851135</v>
      </c>
      <c r="F8" s="228">
        <f>'DE-Costos'!F116</f>
        <v>58367425.259851135</v>
      </c>
      <c r="G8" s="228">
        <f>'DE-Costos'!G116</f>
        <v>58367425.259851135</v>
      </c>
      <c r="H8" s="228">
        <f>'DE-Costos'!H116</f>
        <v>58367425.259851135</v>
      </c>
      <c r="I8" s="228">
        <f>'DE-Costos'!I116</f>
        <v>58367425.259851135</v>
      </c>
      <c r="J8" s="228">
        <f>'DE-Costos'!J116</f>
        <v>58367425.259851135</v>
      </c>
      <c r="K8" s="228">
        <f>'DE-Costos'!K116</f>
        <v>58367425.259851135</v>
      </c>
      <c r="L8" s="247">
        <f t="shared" si="0"/>
        <v>583674252.59851146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8" t="s">
        <v>693</v>
      </c>
      <c r="B9" s="228">
        <f>H21</f>
        <v>629330941.99498367</v>
      </c>
      <c r="C9" s="228">
        <f>H22</f>
        <v>485888564.0374741</v>
      </c>
      <c r="D9" s="228">
        <f>H23</f>
        <v>342446186.07996446</v>
      </c>
      <c r="E9" s="436">
        <f>H24</f>
        <v>49823735.04664474</v>
      </c>
      <c r="F9" s="228">
        <f>H25</f>
        <v>49823735.04664474</v>
      </c>
      <c r="G9" s="228">
        <f>H26</f>
        <v>49823735.04664474</v>
      </c>
      <c r="H9" s="228">
        <f>H27</f>
        <v>49823735.04664474</v>
      </c>
      <c r="I9" s="228">
        <f>H28</f>
        <v>49823735.04664474</v>
      </c>
      <c r="J9" s="228">
        <f>H29</f>
        <v>49823735.04664474</v>
      </c>
      <c r="K9" s="331">
        <f>H30</f>
        <v>49823735.04664474</v>
      </c>
      <c r="L9" s="247">
        <f t="shared" si="0"/>
        <v>1806431837.438935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54" t="s">
        <v>694</v>
      </c>
      <c r="B10" s="228">
        <f t="shared" ref="B10:K10" si="2">B5-(B7+B8+B9)</f>
        <v>220605915.36914313</v>
      </c>
      <c r="C10" s="228">
        <f t="shared" si="2"/>
        <v>924194080.60648251</v>
      </c>
      <c r="D10" s="228">
        <f t="shared" si="2"/>
        <v>1070089758.8739928</v>
      </c>
      <c r="E10" s="228">
        <f t="shared" si="2"/>
        <v>1363166434.6020913</v>
      </c>
      <c r="F10" s="228">
        <f t="shared" si="2"/>
        <v>1363166434.6020913</v>
      </c>
      <c r="G10" s="228">
        <f t="shared" si="2"/>
        <v>1363166434.6020913</v>
      </c>
      <c r="H10" s="228">
        <f t="shared" si="2"/>
        <v>1363166434.6020913</v>
      </c>
      <c r="I10" s="228">
        <f t="shared" si="2"/>
        <v>1363166434.6020913</v>
      </c>
      <c r="J10" s="228">
        <f t="shared" si="2"/>
        <v>1363166434.6020913</v>
      </c>
      <c r="K10" s="228">
        <f t="shared" si="2"/>
        <v>1363166434.6020913</v>
      </c>
      <c r="L10" s="247">
        <f t="shared" si="0"/>
        <v>11757054797.064255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8" t="s">
        <v>695</v>
      </c>
      <c r="B11" s="228">
        <f>'DE-Form'!E4</f>
        <v>0</v>
      </c>
      <c r="C11" s="228">
        <f>'DE-Form'!E5</f>
        <v>0</v>
      </c>
      <c r="D11" s="228">
        <f>'DE-Form'!E6</f>
        <v>0</v>
      </c>
      <c r="E11" s="228">
        <f>'DE-Form'!E7</f>
        <v>0</v>
      </c>
      <c r="F11" s="228">
        <f>'DE-Form'!E8</f>
        <v>0</v>
      </c>
      <c r="G11" s="228">
        <f>'DE-Form'!E9</f>
        <v>0</v>
      </c>
      <c r="H11" s="228">
        <f>'DE-Form'!E10</f>
        <v>0</v>
      </c>
      <c r="I11" s="228">
        <f>'DE-Form'!E11</f>
        <v>0</v>
      </c>
      <c r="J11" s="228">
        <f>'DE-Form'!E12</f>
        <v>0</v>
      </c>
      <c r="K11" s="228">
        <f>'DE-Form'!E13</f>
        <v>0</v>
      </c>
      <c r="L11" s="247">
        <f t="shared" si="0"/>
        <v>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17" t="s">
        <v>696</v>
      </c>
      <c r="B12" s="228">
        <f>(B10-B11)*InfoInicial!$B$3</f>
        <v>77212070.379200086</v>
      </c>
      <c r="C12" s="228">
        <f>(C10-C11)*InfoInicial!$B$3</f>
        <v>323467928.21226883</v>
      </c>
      <c r="D12" s="228">
        <f>(D10-D11)*InfoInicial!$B$3</f>
        <v>374531415.60589749</v>
      </c>
      <c r="E12" s="228">
        <f>(E10-E11)*InfoInicial!$B$3</f>
        <v>477108252.1107319</v>
      </c>
      <c r="F12" s="228">
        <f>(F10-F11)*InfoInicial!$B$3</f>
        <v>477108252.1107319</v>
      </c>
      <c r="G12" s="228">
        <f>(G10-G11)*InfoInicial!$B$3</f>
        <v>477108252.1107319</v>
      </c>
      <c r="H12" s="228">
        <f>(H10-H11)*InfoInicial!$B$3</f>
        <v>477108252.1107319</v>
      </c>
      <c r="I12" s="228">
        <f>(I10-I11)*InfoInicial!$B$3</f>
        <v>477108252.1107319</v>
      </c>
      <c r="J12" s="228">
        <f>(J10-J11)*InfoInicial!$B$3</f>
        <v>477108252.1107319</v>
      </c>
      <c r="K12" s="228">
        <f>(K10-K11)*InfoInicial!$B$3</f>
        <v>477108252.1107319</v>
      </c>
      <c r="L12" s="437">
        <f>(L10-L11)*InfoInicial!$B$3</f>
        <v>4114969178.9724889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>
      <c r="A13" s="322" t="s">
        <v>697</v>
      </c>
      <c r="B13" s="323">
        <f t="shared" ref="B13:K13" si="3">B10-B12</f>
        <v>143393844.98994303</v>
      </c>
      <c r="C13" s="323">
        <f t="shared" si="3"/>
        <v>600726152.39421368</v>
      </c>
      <c r="D13" s="323">
        <f t="shared" si="3"/>
        <v>695558343.26809525</v>
      </c>
      <c r="E13" s="323">
        <f t="shared" si="3"/>
        <v>886058182.49135947</v>
      </c>
      <c r="F13" s="323">
        <f t="shared" si="3"/>
        <v>886058182.49135947</v>
      </c>
      <c r="G13" s="323">
        <f t="shared" si="3"/>
        <v>886058182.49135947</v>
      </c>
      <c r="H13" s="323">
        <f t="shared" si="3"/>
        <v>886058182.49135947</v>
      </c>
      <c r="I13" s="323">
        <f t="shared" si="3"/>
        <v>886058182.49135947</v>
      </c>
      <c r="J13" s="323">
        <f t="shared" si="3"/>
        <v>886058182.49135947</v>
      </c>
      <c r="K13" s="323">
        <f t="shared" si="3"/>
        <v>886058182.49135947</v>
      </c>
      <c r="L13" s="438">
        <f>SUM(B13:K13)</f>
        <v>7642085618.0917692</v>
      </c>
      <c r="M13" s="439" t="s">
        <v>698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649" t="s">
        <v>248</v>
      </c>
      <c r="B19" s="650" t="s">
        <v>699</v>
      </c>
      <c r="C19" s="576"/>
      <c r="D19" s="650" t="s">
        <v>700</v>
      </c>
      <c r="E19" s="576"/>
      <c r="F19" s="650" t="s">
        <v>701</v>
      </c>
      <c r="G19" s="576"/>
      <c r="H19" s="652" t="s">
        <v>702</v>
      </c>
      <c r="I19" s="57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604"/>
      <c r="B20" s="651"/>
      <c r="C20" s="579"/>
      <c r="D20" s="651"/>
      <c r="E20" s="579"/>
      <c r="F20" s="651"/>
      <c r="G20" s="579"/>
      <c r="H20" s="577"/>
      <c r="I20" s="57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10">
        <v>1</v>
      </c>
      <c r="B21" s="648">
        <f>('DF-Cred'!$M$6)/3</f>
        <v>185040667.56518745</v>
      </c>
      <c r="C21" s="543"/>
      <c r="D21" s="648">
        <f>'DF-Cred'!P14</f>
        <v>394466539.38315153</v>
      </c>
      <c r="E21" s="543"/>
      <c r="F21" s="648">
        <f>'DF-Cred'!P26</f>
        <v>49823735.04664474</v>
      </c>
      <c r="G21" s="543"/>
      <c r="H21" s="648">
        <f t="shared" ref="H21:H30" si="4">B21+D21+F21</f>
        <v>629330941.99498367</v>
      </c>
      <c r="I21" s="543"/>
      <c r="J21" s="1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10">
        <v>2</v>
      </c>
      <c r="B22" s="648">
        <f>('DF-Cred'!$M$6)/3</f>
        <v>185040667.56518745</v>
      </c>
      <c r="C22" s="543"/>
      <c r="D22" s="648">
        <f>'DF-Cred'!P16</f>
        <v>251024161.42564186</v>
      </c>
      <c r="E22" s="543"/>
      <c r="F22" s="648">
        <f>'DF-Cred'!P28</f>
        <v>49823735.04664474</v>
      </c>
      <c r="G22" s="543"/>
      <c r="H22" s="648">
        <f t="shared" si="4"/>
        <v>485888564.0374741</v>
      </c>
      <c r="I22" s="54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10">
        <v>3</v>
      </c>
      <c r="B23" s="648">
        <f>('DF-Cred'!$M$6)/3</f>
        <v>185040667.56518745</v>
      </c>
      <c r="C23" s="543"/>
      <c r="D23" s="648">
        <f>'DF-Cred'!P18</f>
        <v>107581783.46813223</v>
      </c>
      <c r="E23" s="543"/>
      <c r="F23" s="648">
        <f>'DF-Cred'!P30</f>
        <v>49823735.04664474</v>
      </c>
      <c r="G23" s="543"/>
      <c r="H23" s="648">
        <f t="shared" si="4"/>
        <v>342446186.07996446</v>
      </c>
      <c r="I23" s="54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10">
        <v>4</v>
      </c>
      <c r="B24" s="647"/>
      <c r="C24" s="543"/>
      <c r="D24" s="648"/>
      <c r="E24" s="543"/>
      <c r="F24" s="648">
        <f>'DF-Cred'!P32</f>
        <v>49823735.04664474</v>
      </c>
      <c r="G24" s="543"/>
      <c r="H24" s="648">
        <f t="shared" si="4"/>
        <v>49823735.04664474</v>
      </c>
      <c r="I24" s="54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10">
        <v>5</v>
      </c>
      <c r="B25" s="647"/>
      <c r="C25" s="543"/>
      <c r="D25" s="648"/>
      <c r="E25" s="543"/>
      <c r="F25" s="648">
        <f>'DF-Cred'!P34</f>
        <v>49823735.04664474</v>
      </c>
      <c r="G25" s="543"/>
      <c r="H25" s="648">
        <f t="shared" si="4"/>
        <v>49823735.04664474</v>
      </c>
      <c r="I25" s="54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10">
        <v>6</v>
      </c>
      <c r="B26" s="647"/>
      <c r="C26" s="543"/>
      <c r="D26" s="648"/>
      <c r="E26" s="543"/>
      <c r="F26" s="648">
        <f>'DF-Cred'!P36</f>
        <v>49823735.04664474</v>
      </c>
      <c r="G26" s="543"/>
      <c r="H26" s="648">
        <f t="shared" si="4"/>
        <v>49823735.04664474</v>
      </c>
      <c r="I26" s="54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10">
        <v>7</v>
      </c>
      <c r="B27" s="647"/>
      <c r="C27" s="543"/>
      <c r="D27" s="648"/>
      <c r="E27" s="543"/>
      <c r="F27" s="648">
        <f>'DF-Cred'!P38</f>
        <v>49823735.04664474</v>
      </c>
      <c r="G27" s="543"/>
      <c r="H27" s="648">
        <f t="shared" si="4"/>
        <v>49823735.04664474</v>
      </c>
      <c r="I27" s="54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10">
        <v>8</v>
      </c>
      <c r="B28" s="647"/>
      <c r="C28" s="543"/>
      <c r="D28" s="648"/>
      <c r="E28" s="543"/>
      <c r="F28" s="648">
        <f>'DF-Cred'!P40</f>
        <v>49823735.04664474</v>
      </c>
      <c r="G28" s="543"/>
      <c r="H28" s="648">
        <f t="shared" si="4"/>
        <v>49823735.04664474</v>
      </c>
      <c r="I28" s="54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10">
        <v>9</v>
      </c>
      <c r="B29" s="647"/>
      <c r="C29" s="543"/>
      <c r="D29" s="648"/>
      <c r="E29" s="543"/>
      <c r="F29" s="648">
        <f>'DF-Cred'!P42</f>
        <v>49823735.04664474</v>
      </c>
      <c r="G29" s="543"/>
      <c r="H29" s="648">
        <f t="shared" si="4"/>
        <v>49823735.04664474</v>
      </c>
      <c r="I29" s="54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10">
        <v>10</v>
      </c>
      <c r="B30" s="647"/>
      <c r="C30" s="543"/>
      <c r="D30" s="648"/>
      <c r="E30" s="543"/>
      <c r="F30" s="648">
        <f>'DF-Cred'!P44</f>
        <v>49823735.04664474</v>
      </c>
      <c r="G30" s="543"/>
      <c r="H30" s="648">
        <f t="shared" si="4"/>
        <v>49823735.04664474</v>
      </c>
      <c r="I30" s="54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35" t="s">
        <v>239</v>
      </c>
      <c r="B31" s="653">
        <f>SUM(B21:C30)</f>
        <v>555122002.69556236</v>
      </c>
      <c r="C31" s="543"/>
      <c r="D31" s="653">
        <f>SUM(D21:E30)</f>
        <v>753072484.27692568</v>
      </c>
      <c r="E31" s="543"/>
      <c r="F31" s="653">
        <f>SUM(F21:G30)</f>
        <v>498237350.46644741</v>
      </c>
      <c r="G31" s="543"/>
      <c r="H31" s="653">
        <f>SUM(H21:I30)</f>
        <v>1806431837.438935</v>
      </c>
      <c r="I31" s="54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126">
        <f>B31+F31</f>
        <v>1053359353.1620097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9">
    <mergeCell ref="B30:C30"/>
    <mergeCell ref="D30:E30"/>
    <mergeCell ref="F30:G30"/>
    <mergeCell ref="H30:I30"/>
    <mergeCell ref="B31:C31"/>
    <mergeCell ref="D31:E31"/>
    <mergeCell ref="F31:G31"/>
    <mergeCell ref="H31:I31"/>
    <mergeCell ref="F25:G25"/>
    <mergeCell ref="H25:I25"/>
    <mergeCell ref="B23:C23"/>
    <mergeCell ref="B24:C24"/>
    <mergeCell ref="D24:E24"/>
    <mergeCell ref="F24:G24"/>
    <mergeCell ref="H24:I24"/>
    <mergeCell ref="B25:C25"/>
    <mergeCell ref="D25:E25"/>
    <mergeCell ref="B22:C22"/>
    <mergeCell ref="D22:E22"/>
    <mergeCell ref="F22:G22"/>
    <mergeCell ref="H22:I22"/>
    <mergeCell ref="D23:E23"/>
    <mergeCell ref="F23:G23"/>
    <mergeCell ref="H23:I23"/>
    <mergeCell ref="F21:G21"/>
    <mergeCell ref="H21:I21"/>
    <mergeCell ref="A19:A20"/>
    <mergeCell ref="B19:C20"/>
    <mergeCell ref="D19:E20"/>
    <mergeCell ref="F19:G20"/>
    <mergeCell ref="H19:I20"/>
    <mergeCell ref="B21:C21"/>
    <mergeCell ref="D21:E21"/>
    <mergeCell ref="B28:C28"/>
    <mergeCell ref="D28:E28"/>
    <mergeCell ref="F28:G28"/>
    <mergeCell ref="H28:I28"/>
    <mergeCell ref="B29:C29"/>
    <mergeCell ref="D29:E29"/>
    <mergeCell ref="F29:G29"/>
    <mergeCell ref="H29:I29"/>
    <mergeCell ref="B26:C26"/>
    <mergeCell ref="D26:E26"/>
    <mergeCell ref="F26:G26"/>
    <mergeCell ref="H26:I26"/>
    <mergeCell ref="D27:E27"/>
    <mergeCell ref="F27:G27"/>
    <mergeCell ref="H27:I27"/>
    <mergeCell ref="B27:C27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/>
  </sheetViews>
  <sheetFormatPr baseColWidth="10" defaultColWidth="12.5703125" defaultRowHeight="15" customHeight="1"/>
  <cols>
    <col min="1" max="1" width="43" customWidth="1"/>
    <col min="2" max="2" width="16.28515625" customWidth="1"/>
    <col min="3" max="3" width="15.85546875" customWidth="1"/>
    <col min="4" max="4" width="17.85546875" customWidth="1"/>
    <col min="5" max="5" width="17.7109375" customWidth="1"/>
    <col min="6" max="6" width="17.42578125" customWidth="1"/>
    <col min="7" max="7" width="15.5703125" customWidth="1"/>
    <col min="8" max="8" width="16.42578125" customWidth="1"/>
    <col min="9" max="9" width="15.85546875" customWidth="1"/>
    <col min="10" max="10" width="16" customWidth="1"/>
    <col min="11" max="11" width="16.7109375" customWidth="1"/>
    <col min="12" max="12" width="15.5703125" customWidth="1"/>
    <col min="13" max="26" width="10" customWidth="1"/>
  </cols>
  <sheetData>
    <row r="1" spans="1:26" ht="16.5" customHeight="1">
      <c r="A1" s="367" t="s">
        <v>587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7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440"/>
      <c r="B2" s="654" t="s">
        <v>588</v>
      </c>
      <c r="C2" s="635"/>
      <c r="D2" s="635"/>
      <c r="E2" s="635"/>
      <c r="F2" s="635"/>
      <c r="G2" s="635"/>
      <c r="H2" s="635"/>
      <c r="I2" s="635"/>
      <c r="J2" s="635"/>
      <c r="K2" s="635"/>
      <c r="L2" s="636"/>
      <c r="M2" s="37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441" t="s">
        <v>421</v>
      </c>
      <c r="B3" s="442" t="s">
        <v>297</v>
      </c>
      <c r="C3" s="379" t="s">
        <v>112</v>
      </c>
      <c r="D3" s="379" t="s">
        <v>422</v>
      </c>
      <c r="E3" s="379" t="s">
        <v>423</v>
      </c>
      <c r="F3" s="379" t="s">
        <v>424</v>
      </c>
      <c r="G3" s="379" t="s">
        <v>425</v>
      </c>
      <c r="H3" s="379" t="s">
        <v>426</v>
      </c>
      <c r="I3" s="379" t="s">
        <v>427</v>
      </c>
      <c r="J3" s="379" t="s">
        <v>428</v>
      </c>
      <c r="K3" s="379" t="s">
        <v>429</v>
      </c>
      <c r="L3" s="380" t="s">
        <v>430</v>
      </c>
      <c r="M3" s="37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>
      <c r="A4" s="341" t="s">
        <v>703</v>
      </c>
      <c r="B4" s="342"/>
      <c r="C4" s="274"/>
      <c r="D4" s="274"/>
      <c r="E4" s="274"/>
      <c r="F4" s="274"/>
      <c r="G4" s="274"/>
      <c r="H4" s="274"/>
      <c r="I4" s="274"/>
      <c r="J4" s="274"/>
      <c r="K4" s="274"/>
      <c r="L4" s="329"/>
      <c r="M4" s="37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343" t="s">
        <v>704</v>
      </c>
      <c r="B5" s="342">
        <v>0</v>
      </c>
      <c r="C5" s="228">
        <f>'DE-IVA '!C16</f>
        <v>122837913.45719433</v>
      </c>
      <c r="D5" s="228">
        <f>'DE-IVA '!D16</f>
        <v>168922253.47072384</v>
      </c>
      <c r="E5" s="228">
        <f>'DE-IVA '!E16</f>
        <v>169017640.65662745</v>
      </c>
      <c r="F5" s="228">
        <f>'DE-IVA '!F16</f>
        <v>169017640.65662745</v>
      </c>
      <c r="G5" s="228">
        <f>'DE-IVA '!G16</f>
        <v>169017640.65662745</v>
      </c>
      <c r="H5" s="228">
        <f>'DE-IVA '!H16</f>
        <v>169017640.65662745</v>
      </c>
      <c r="I5" s="228">
        <f>'DE-IVA '!I16</f>
        <v>169017640.65662745</v>
      </c>
      <c r="J5" s="228">
        <f>'DE-IVA '!J16</f>
        <v>169017640.65662745</v>
      </c>
      <c r="K5" s="228">
        <f>'DE-IVA '!K16</f>
        <v>169017640.65662745</v>
      </c>
      <c r="L5" s="331">
        <f>'DE-IVA '!L16</f>
        <v>169017640.65662745</v>
      </c>
      <c r="M5" s="37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343" t="s">
        <v>705</v>
      </c>
      <c r="B6" s="342">
        <v>0</v>
      </c>
      <c r="C6" s="228">
        <f>'DE-IVA '!C17</f>
        <v>6149909.7149629882</v>
      </c>
      <c r="D6" s="228">
        <f>'DE-IVA '!D17</f>
        <v>6149909.7149629882</v>
      </c>
      <c r="E6" s="228">
        <f>'DE-IVA '!E17</f>
        <v>6149909.7149629882</v>
      </c>
      <c r="F6" s="228">
        <f>'DE-IVA '!F17</f>
        <v>6149909.7149629882</v>
      </c>
      <c r="G6" s="228">
        <f>'DE-IVA '!G17</f>
        <v>6149909.7149629882</v>
      </c>
      <c r="H6" s="228">
        <f>'DE-IVA '!H17</f>
        <v>6149909.7149629882</v>
      </c>
      <c r="I6" s="228">
        <f>'DE-IVA '!I17</f>
        <v>6149909.7149629882</v>
      </c>
      <c r="J6" s="228">
        <f>'DE-IVA '!J17</f>
        <v>6149909.7149629882</v>
      </c>
      <c r="K6" s="228">
        <f>'DE-IVA '!K17</f>
        <v>6149909.7149629882</v>
      </c>
      <c r="L6" s="331">
        <f>'DE-IVA '!L17</f>
        <v>6149909.7149629882</v>
      </c>
      <c r="M6" s="37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443" t="s">
        <v>706</v>
      </c>
      <c r="B7" s="342">
        <v>0</v>
      </c>
      <c r="C7" s="228">
        <f>'DE-IVA '!C18</f>
        <v>6149909.7149629882</v>
      </c>
      <c r="D7" s="228">
        <f>'DE-IVA '!D18</f>
        <v>6149909.7149629882</v>
      </c>
      <c r="E7" s="228">
        <f>'DE-IVA '!E18</f>
        <v>6149909.7149629882</v>
      </c>
      <c r="F7" s="228">
        <f>'DE-IVA '!F18</f>
        <v>6149909.7149629882</v>
      </c>
      <c r="G7" s="228">
        <f>'DE-IVA '!G18</f>
        <v>6149909.7149629882</v>
      </c>
      <c r="H7" s="228">
        <f>'DE-IVA '!H18</f>
        <v>6149909.7149629882</v>
      </c>
      <c r="I7" s="228">
        <f>'DE-IVA '!I18</f>
        <v>6149909.7149629882</v>
      </c>
      <c r="J7" s="228">
        <f>'DE-IVA '!J18</f>
        <v>6149909.7149629882</v>
      </c>
      <c r="K7" s="228">
        <f>'DE-IVA '!K18</f>
        <v>6149909.7149629882</v>
      </c>
      <c r="L7" s="331">
        <f>'DE-IVA '!L18</f>
        <v>6149909.7149629882</v>
      </c>
      <c r="M7" s="37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443" t="s">
        <v>707</v>
      </c>
      <c r="B8" s="342">
        <v>0</v>
      </c>
      <c r="C8" s="228">
        <f>0.21*('DF-CRes'!D21+'DF-CRes'!F21)</f>
        <v>93300957.630257219</v>
      </c>
      <c r="D8" s="228">
        <f>0.21*('DF-CRes'!D22+'DF-CRes'!F22)</f>
        <v>63178058.259180181</v>
      </c>
      <c r="E8" s="228">
        <f>0.21*('DF-CRes'!D23+'DF-CRes'!F23)</f>
        <v>33055158.888103165</v>
      </c>
      <c r="F8" s="228">
        <f>0.21*('DF-CRes'!D24+'DF-CRes'!F24)</f>
        <v>10462984.359795395</v>
      </c>
      <c r="G8" s="228">
        <f>0.21*('DF-CRes'!D25+'DF-CRes'!F25)</f>
        <v>10462984.359795395</v>
      </c>
      <c r="H8" s="228">
        <f>0.21*('DF-CRes'!D26+'DF-CRes'!F26)</f>
        <v>10462984.359795395</v>
      </c>
      <c r="I8" s="228">
        <f>0.21*('DF-CRes'!D27+'DF-CRes'!F27)</f>
        <v>10462984.359795395</v>
      </c>
      <c r="J8" s="228">
        <f>0.21*('DF-CRes'!D28+'DF-CRes'!F28)</f>
        <v>10462984.359795395</v>
      </c>
      <c r="K8" s="228">
        <f>0.21*('DF-CRes'!D29+'DF-CRes'!F29)</f>
        <v>10462984.359795395</v>
      </c>
      <c r="L8" s="331">
        <f>0.21*('DF-CRes'!D30+'DF-CRes'!F30)</f>
        <v>10462984.359795395</v>
      </c>
      <c r="M8" s="37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345" t="s">
        <v>708</v>
      </c>
      <c r="B9" s="344">
        <f t="shared" ref="B9:L9" si="0">SUM(B5:B8)</f>
        <v>0</v>
      </c>
      <c r="C9" s="344">
        <f t="shared" si="0"/>
        <v>228438690.51737753</v>
      </c>
      <c r="D9" s="344">
        <f t="shared" si="0"/>
        <v>244400131.15983</v>
      </c>
      <c r="E9" s="344">
        <f t="shared" si="0"/>
        <v>214372618.97465658</v>
      </c>
      <c r="F9" s="344">
        <f t="shared" si="0"/>
        <v>191780444.44634882</v>
      </c>
      <c r="G9" s="344">
        <f t="shared" si="0"/>
        <v>191780444.44634882</v>
      </c>
      <c r="H9" s="344">
        <f t="shared" si="0"/>
        <v>191780444.44634882</v>
      </c>
      <c r="I9" s="344">
        <f t="shared" si="0"/>
        <v>191780444.44634882</v>
      </c>
      <c r="J9" s="344">
        <f t="shared" si="0"/>
        <v>191780444.44634882</v>
      </c>
      <c r="K9" s="344">
        <f t="shared" si="0"/>
        <v>191780444.44634882</v>
      </c>
      <c r="L9" s="444">
        <f t="shared" si="0"/>
        <v>191780444.44634882</v>
      </c>
      <c r="M9" s="37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345"/>
      <c r="B10" s="344"/>
      <c r="C10" s="228"/>
      <c r="D10" s="228"/>
      <c r="E10" s="228"/>
      <c r="F10" s="228"/>
      <c r="G10" s="228"/>
      <c r="H10" s="228"/>
      <c r="I10" s="228"/>
      <c r="J10" s="228"/>
      <c r="K10" s="228"/>
      <c r="L10" s="331"/>
      <c r="M10" s="37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43" t="s">
        <v>600</v>
      </c>
      <c r="B11" s="344">
        <f>'DE-IVA '!B20</f>
        <v>0</v>
      </c>
      <c r="C11" s="344">
        <f>'DE-IVA '!C20</f>
        <v>135137732.88712031</v>
      </c>
      <c r="D11" s="344">
        <f>'DE-IVA '!D20</f>
        <v>181222072.90064982</v>
      </c>
      <c r="E11" s="344">
        <f>'DE-IVA '!E20</f>
        <v>181317460.08655342</v>
      </c>
      <c r="F11" s="344">
        <f>'DE-IVA '!F20</f>
        <v>181317460.08655342</v>
      </c>
      <c r="G11" s="344">
        <f>'DE-IVA '!G20</f>
        <v>181317460.08655342</v>
      </c>
      <c r="H11" s="344">
        <f>'DE-IVA '!H20</f>
        <v>181317460.08655342</v>
      </c>
      <c r="I11" s="344">
        <f>'DE-IVA '!I20</f>
        <v>181317460.08655342</v>
      </c>
      <c r="J11" s="344">
        <f>'DE-IVA '!J20</f>
        <v>181317460.08655342</v>
      </c>
      <c r="K11" s="344">
        <f>'DE-IVA '!K20</f>
        <v>181317460.08655342</v>
      </c>
      <c r="L11" s="444">
        <f>'DE-IVA '!L20</f>
        <v>181317460.08655342</v>
      </c>
      <c r="M11" s="37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43" t="s">
        <v>601</v>
      </c>
      <c r="B12" s="344">
        <f>'DE-IVA '!B21</f>
        <v>0</v>
      </c>
      <c r="C12" s="344">
        <f>'DE-IVA '!C21</f>
        <v>414618750</v>
      </c>
      <c r="D12" s="344">
        <f>'DE-IVA '!D21</f>
        <v>614250000</v>
      </c>
      <c r="E12" s="344">
        <f>'DE-IVA '!E21</f>
        <v>614250000</v>
      </c>
      <c r="F12" s="344">
        <f>'DE-IVA '!F21</f>
        <v>614250000</v>
      </c>
      <c r="G12" s="344">
        <f>'DE-IVA '!G21</f>
        <v>614250000</v>
      </c>
      <c r="H12" s="344">
        <f>'DE-IVA '!H21</f>
        <v>614250000</v>
      </c>
      <c r="I12" s="344">
        <f>'DE-IVA '!I21</f>
        <v>614250000</v>
      </c>
      <c r="J12" s="344">
        <f>'DE-IVA '!J21</f>
        <v>614250000</v>
      </c>
      <c r="K12" s="344">
        <f>'DE-IVA '!K21</f>
        <v>614250000</v>
      </c>
      <c r="L12" s="444">
        <f>'DE-IVA '!L21</f>
        <v>614250000</v>
      </c>
      <c r="M12" s="37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345" t="s">
        <v>709</v>
      </c>
      <c r="B13" s="344">
        <f t="shared" ref="B13:L13" si="1">B12-B11</f>
        <v>0</v>
      </c>
      <c r="C13" s="344">
        <f t="shared" si="1"/>
        <v>279481017.11287969</v>
      </c>
      <c r="D13" s="344">
        <f t="shared" si="1"/>
        <v>433027927.09935021</v>
      </c>
      <c r="E13" s="344">
        <f t="shared" si="1"/>
        <v>432932539.91344655</v>
      </c>
      <c r="F13" s="344">
        <f t="shared" si="1"/>
        <v>432932539.91344655</v>
      </c>
      <c r="G13" s="344">
        <f t="shared" si="1"/>
        <v>432932539.91344655</v>
      </c>
      <c r="H13" s="344">
        <f t="shared" si="1"/>
        <v>432932539.91344655</v>
      </c>
      <c r="I13" s="344">
        <f t="shared" si="1"/>
        <v>432932539.91344655</v>
      </c>
      <c r="J13" s="344">
        <f t="shared" si="1"/>
        <v>432932539.91344655</v>
      </c>
      <c r="K13" s="344">
        <f t="shared" si="1"/>
        <v>432932539.91344655</v>
      </c>
      <c r="L13" s="444">
        <f t="shared" si="1"/>
        <v>432932539.91344655</v>
      </c>
      <c r="M13" s="37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343"/>
      <c r="B14" s="344"/>
      <c r="C14" s="228"/>
      <c r="D14" s="228"/>
      <c r="E14" s="228"/>
      <c r="F14" s="228"/>
      <c r="G14" s="228"/>
      <c r="H14" s="228"/>
      <c r="I14" s="228"/>
      <c r="J14" s="228"/>
      <c r="K14" s="228"/>
      <c r="L14" s="331"/>
      <c r="M14" s="37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346" t="s">
        <v>710</v>
      </c>
      <c r="B15" s="344">
        <v>0</v>
      </c>
      <c r="C15" s="228">
        <f>B16</f>
        <v>766890024.95135367</v>
      </c>
      <c r="D15" s="228">
        <f t="shared" ref="D15:E15" si="2">C17</f>
        <v>663752498.60034537</v>
      </c>
      <c r="E15" s="228">
        <f t="shared" si="2"/>
        <v>272564468.08277655</v>
      </c>
      <c r="F15" s="344">
        <f>'DE-IVA '!F24</f>
        <v>0</v>
      </c>
      <c r="G15" s="344">
        <f>'DE-IVA '!G24</f>
        <v>0</v>
      </c>
      <c r="H15" s="344">
        <f>'DE-IVA '!H24</f>
        <v>0</v>
      </c>
      <c r="I15" s="344">
        <f>'DE-IVA '!I24</f>
        <v>0</v>
      </c>
      <c r="J15" s="344">
        <f>'DE-IVA '!J24</f>
        <v>0</v>
      </c>
      <c r="K15" s="344">
        <f>'DE-IVA '!K24</f>
        <v>0</v>
      </c>
      <c r="L15" s="444">
        <f>'DE-IVA '!L24</f>
        <v>0</v>
      </c>
      <c r="M15" s="37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346" t="s">
        <v>711</v>
      </c>
      <c r="B16" s="344">
        <f>'DF-2 Estructura'!B8+'DF-2 Estructura'!B20</f>
        <v>766890024.95135367</v>
      </c>
      <c r="C16" s="344">
        <f>'DF-2 Estructura'!C8+'DF-2 Estructura'!C20</f>
        <v>176343490.76187143</v>
      </c>
      <c r="D16" s="344">
        <f>'DE-IVA '!D25</f>
        <v>41839896.581781365</v>
      </c>
      <c r="E16" s="344">
        <f>'DE-IVA '!E25</f>
        <v>0</v>
      </c>
      <c r="F16" s="344">
        <f>'DE-IVA '!F25</f>
        <v>0</v>
      </c>
      <c r="G16" s="344">
        <f>'DE-IVA '!G25</f>
        <v>0</v>
      </c>
      <c r="H16" s="344">
        <f>'DE-IVA '!H25</f>
        <v>0</v>
      </c>
      <c r="I16" s="344">
        <f>'DE-IVA '!I25</f>
        <v>0</v>
      </c>
      <c r="J16" s="344">
        <f>'DE-IVA '!J25</f>
        <v>0</v>
      </c>
      <c r="K16" s="344">
        <f>'DE-IVA '!K25</f>
        <v>0</v>
      </c>
      <c r="L16" s="444">
        <f>'DE-IVA '!L25</f>
        <v>0</v>
      </c>
      <c r="M16" s="37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345" t="s">
        <v>712</v>
      </c>
      <c r="B17" s="344">
        <f>B16</f>
        <v>766890024.95135367</v>
      </c>
      <c r="C17" s="344">
        <f t="shared" ref="C17:D17" si="3">C16+C15-C13</f>
        <v>663752498.60034537</v>
      </c>
      <c r="D17" s="344">
        <f t="shared" si="3"/>
        <v>272564468.08277655</v>
      </c>
      <c r="E17" s="228"/>
      <c r="F17" s="228"/>
      <c r="G17" s="228"/>
      <c r="H17" s="228"/>
      <c r="I17" s="228"/>
      <c r="J17" s="228"/>
      <c r="K17" s="228"/>
      <c r="L17" s="331"/>
      <c r="M17" s="37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345" t="s">
        <v>713</v>
      </c>
      <c r="B18" s="344"/>
      <c r="C18" s="228">
        <f t="shared" ref="C18:D18" si="4">C15+C16-C17</f>
        <v>279481017.11287975</v>
      </c>
      <c r="D18" s="228">
        <f t="shared" si="4"/>
        <v>433027927.09935021</v>
      </c>
      <c r="E18" s="228">
        <f t="shared" ref="E18:L18" si="5">E15</f>
        <v>272564468.08277655</v>
      </c>
      <c r="F18" s="228">
        <f t="shared" si="5"/>
        <v>0</v>
      </c>
      <c r="G18" s="228">
        <f t="shared" si="5"/>
        <v>0</v>
      </c>
      <c r="H18" s="228">
        <f t="shared" si="5"/>
        <v>0</v>
      </c>
      <c r="I18" s="228">
        <f t="shared" si="5"/>
        <v>0</v>
      </c>
      <c r="J18" s="228">
        <f t="shared" si="5"/>
        <v>0</v>
      </c>
      <c r="K18" s="228">
        <f t="shared" si="5"/>
        <v>0</v>
      </c>
      <c r="L18" s="331">
        <f t="shared" si="5"/>
        <v>0</v>
      </c>
      <c r="M18" s="37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343"/>
      <c r="B19" s="344"/>
      <c r="C19" s="228"/>
      <c r="D19" s="228"/>
      <c r="E19" s="228"/>
      <c r="F19" s="228"/>
      <c r="G19" s="228"/>
      <c r="H19" s="228"/>
      <c r="I19" s="228"/>
      <c r="J19" s="228"/>
      <c r="K19" s="228"/>
      <c r="L19" s="331"/>
      <c r="M19" s="37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>
      <c r="A20" s="347" t="s">
        <v>607</v>
      </c>
      <c r="B20" s="348"/>
      <c r="C20" s="323"/>
      <c r="D20" s="323"/>
      <c r="E20" s="323">
        <f>E13-E18</f>
        <v>160368071.83067</v>
      </c>
      <c r="F20" s="323"/>
      <c r="G20" s="323"/>
      <c r="H20" s="323"/>
      <c r="I20" s="323"/>
      <c r="J20" s="323"/>
      <c r="K20" s="323"/>
      <c r="L20" s="445"/>
      <c r="M20" s="37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1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54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5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31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31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31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5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5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31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5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5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5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5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5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2:L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topLeftCell="A2" workbookViewId="0">
      <selection activeCell="C35" sqref="C35"/>
    </sheetView>
  </sheetViews>
  <sheetFormatPr baseColWidth="10" defaultColWidth="12.5703125" defaultRowHeight="15" customHeight="1"/>
  <cols>
    <col min="1" max="1" width="41" customWidth="1"/>
    <col min="2" max="2" width="22.5703125" customWidth="1"/>
    <col min="3" max="3" width="21.42578125" customWidth="1"/>
    <col min="4" max="4" width="19.140625" customWidth="1"/>
    <col min="5" max="5" width="20.7109375" customWidth="1"/>
    <col min="6" max="6" width="18" customWidth="1"/>
    <col min="7" max="7" width="18.42578125" customWidth="1"/>
    <col min="8" max="8" width="17.85546875" customWidth="1"/>
    <col min="9" max="9" width="19.5703125" customWidth="1"/>
    <col min="10" max="10" width="18.7109375" customWidth="1"/>
    <col min="11" max="11" width="19" customWidth="1"/>
    <col min="12" max="12" width="19.140625" customWidth="1"/>
    <col min="13" max="13" width="20.42578125" customWidth="1"/>
    <col min="14" max="14" width="17.42578125" customWidth="1"/>
    <col min="15" max="15" width="16.28515625" customWidth="1"/>
    <col min="16" max="19" width="11.42578125" customWidth="1"/>
    <col min="20" max="26" width="10" customWidth="1"/>
  </cols>
  <sheetData>
    <row r="1" spans="1:26" ht="12.75" customHeight="1">
      <c r="A1" s="8"/>
      <c r="B1" s="44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>
      <c r="A3" s="390" t="s">
        <v>714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447"/>
      <c r="M3" s="392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203"/>
      <c r="B4" s="393" t="s">
        <v>297</v>
      </c>
      <c r="C4" s="393" t="s">
        <v>112</v>
      </c>
      <c r="D4" s="393" t="s">
        <v>422</v>
      </c>
      <c r="E4" s="393" t="s">
        <v>423</v>
      </c>
      <c r="F4" s="393" t="s">
        <v>424</v>
      </c>
      <c r="G4" s="393" t="s">
        <v>425</v>
      </c>
      <c r="H4" s="393" t="s">
        <v>426</v>
      </c>
      <c r="I4" s="393" t="s">
        <v>427</v>
      </c>
      <c r="J4" s="393" t="s">
        <v>428</v>
      </c>
      <c r="K4" s="393" t="s">
        <v>429</v>
      </c>
      <c r="L4" s="394" t="s">
        <v>430</v>
      </c>
      <c r="M4" s="448" t="s">
        <v>70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54" t="s">
        <v>715</v>
      </c>
      <c r="B5" s="254">
        <f t="shared" ref="B5:L5" si="0">SUM(B6:B12)</f>
        <v>4418747286.6244669</v>
      </c>
      <c r="C5" s="254">
        <f t="shared" si="0"/>
        <v>3269930416.2646151</v>
      </c>
      <c r="D5" s="254">
        <f t="shared" si="0"/>
        <v>4094693127.2847242</v>
      </c>
      <c r="E5" s="254">
        <f t="shared" si="0"/>
        <v>4803473562.3856201</v>
      </c>
      <c r="F5" s="254">
        <f t="shared" si="0"/>
        <v>5576184511.0534592</v>
      </c>
      <c r="G5" s="254">
        <f t="shared" si="0"/>
        <v>6640678938.8000107</v>
      </c>
      <c r="H5" s="254">
        <f t="shared" si="0"/>
        <v>7705148523.6172771</v>
      </c>
      <c r="I5" s="254">
        <f t="shared" si="0"/>
        <v>8599772446.5056839</v>
      </c>
      <c r="J5" s="254">
        <f t="shared" si="0"/>
        <v>9494411878.9970436</v>
      </c>
      <c r="K5" s="254">
        <f t="shared" si="0"/>
        <v>10389051311.488403</v>
      </c>
      <c r="L5" s="254">
        <f t="shared" si="0"/>
        <v>11283690743.979763</v>
      </c>
      <c r="M5" s="449">
        <f t="shared" ref="M5:M12" si="1">SUM(B5:L5)</f>
        <v>76275782747.001068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8" t="s">
        <v>716</v>
      </c>
      <c r="B6" s="228">
        <v>0</v>
      </c>
      <c r="C6" s="228">
        <f t="shared" ref="C6:L6" si="2">B28</f>
        <v>0</v>
      </c>
      <c r="D6" s="228">
        <f t="shared" si="2"/>
        <v>736665200.18537378</v>
      </c>
      <c r="E6" s="228">
        <f t="shared" si="2"/>
        <v>1605909094.3028436</v>
      </c>
      <c r="F6" s="228">
        <f t="shared" si="2"/>
        <v>2651184511.0534587</v>
      </c>
      <c r="G6" s="228">
        <f t="shared" si="2"/>
        <v>3715678938.8000112</v>
      </c>
      <c r="H6" s="228">
        <f t="shared" si="2"/>
        <v>4780148523.6172771</v>
      </c>
      <c r="I6" s="228">
        <f t="shared" si="2"/>
        <v>5674772446.5056849</v>
      </c>
      <c r="J6" s="228">
        <f t="shared" si="2"/>
        <v>6569411878.9970436</v>
      </c>
      <c r="K6" s="228">
        <f t="shared" si="2"/>
        <v>7464051311.4884033</v>
      </c>
      <c r="L6" s="228">
        <f t="shared" si="2"/>
        <v>8358690743.979763</v>
      </c>
      <c r="M6" s="450">
        <f t="shared" si="1"/>
        <v>41556512648.929855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8" t="s">
        <v>717</v>
      </c>
      <c r="B7" s="228">
        <f>'DF-2 Estructura'!B30</f>
        <v>3558093018.8794088</v>
      </c>
      <c r="C7" s="228">
        <f>'DF-2 Estructura'!C30</f>
        <v>600876607.09636259</v>
      </c>
      <c r="D7" s="451">
        <v>0</v>
      </c>
      <c r="E7" s="451">
        <v>0</v>
      </c>
      <c r="F7" s="451">
        <v>0</v>
      </c>
      <c r="G7" s="451">
        <v>0</v>
      </c>
      <c r="H7" s="451">
        <v>0</v>
      </c>
      <c r="I7" s="451">
        <v>0</v>
      </c>
      <c r="J7" s="451">
        <v>0</v>
      </c>
      <c r="K7" s="451">
        <v>0</v>
      </c>
      <c r="L7" s="451">
        <v>0</v>
      </c>
      <c r="M7" s="450">
        <f t="shared" si="1"/>
        <v>4158969625.9757714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8" t="s">
        <v>718</v>
      </c>
      <c r="B8" s="228">
        <f>'DF-2 Estructura'!B28</f>
        <v>0</v>
      </c>
      <c r="C8" s="228">
        <f>'DF-2 Estructura'!C28</f>
        <v>415197792.05537283</v>
      </c>
      <c r="D8" s="228">
        <v>0</v>
      </c>
      <c r="E8" s="228">
        <v>0</v>
      </c>
      <c r="F8" s="228">
        <v>0</v>
      </c>
      <c r="G8" s="228">
        <v>0</v>
      </c>
      <c r="H8" s="228">
        <v>0</v>
      </c>
      <c r="I8" s="228">
        <v>0</v>
      </c>
      <c r="J8" s="228">
        <v>0</v>
      </c>
      <c r="K8" s="228">
        <v>0</v>
      </c>
      <c r="L8" s="228">
        <v>0</v>
      </c>
      <c r="M8" s="452">
        <f t="shared" si="1"/>
        <v>415197792.05537283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8" t="s">
        <v>719</v>
      </c>
      <c r="B9" s="228">
        <f>'DF-2 Estructura'!B29</f>
        <v>860654267.74505782</v>
      </c>
      <c r="C9" s="228">
        <f>'DF-2 Estructura'!C29</f>
        <v>0</v>
      </c>
      <c r="D9" s="451">
        <v>0</v>
      </c>
      <c r="E9" s="451">
        <v>0</v>
      </c>
      <c r="F9" s="451">
        <v>0</v>
      </c>
      <c r="G9" s="451">
        <v>0</v>
      </c>
      <c r="H9" s="451">
        <v>0</v>
      </c>
      <c r="I9" s="451">
        <v>0</v>
      </c>
      <c r="J9" s="451">
        <v>0</v>
      </c>
      <c r="K9" s="451">
        <v>0</v>
      </c>
      <c r="L9" s="451">
        <v>0</v>
      </c>
      <c r="M9" s="450">
        <f t="shared" si="1"/>
        <v>860654267.74505782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8" t="s">
        <v>720</v>
      </c>
      <c r="B10" s="228">
        <v>0</v>
      </c>
      <c r="C10" s="228">
        <f>'DF-CRes'!B3</f>
        <v>1974375000</v>
      </c>
      <c r="D10" s="228">
        <f>'DF-CRes'!C3</f>
        <v>2925000000</v>
      </c>
      <c r="E10" s="228">
        <f>'DF-CRes'!D3</f>
        <v>2925000000</v>
      </c>
      <c r="F10" s="228">
        <f>'DF-CRes'!E3</f>
        <v>2925000000</v>
      </c>
      <c r="G10" s="228">
        <f>'DF-CRes'!F3</f>
        <v>2925000000</v>
      </c>
      <c r="H10" s="228">
        <f>'DF-CRes'!G3</f>
        <v>2925000000</v>
      </c>
      <c r="I10" s="228">
        <f>'DF-CRes'!H3</f>
        <v>2925000000</v>
      </c>
      <c r="J10" s="228">
        <f>'DF-CRes'!I3</f>
        <v>2925000000</v>
      </c>
      <c r="K10" s="228">
        <f>'DF-CRes'!J3</f>
        <v>2925000000</v>
      </c>
      <c r="L10" s="228">
        <f>'DF-CRes'!K3</f>
        <v>2925000000</v>
      </c>
      <c r="M10" s="450">
        <f t="shared" si="1"/>
        <v>28299375000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8" t="s">
        <v>721</v>
      </c>
      <c r="B11" s="228">
        <v>0</v>
      </c>
      <c r="C11" s="453">
        <f>'DF-IVA'!C18</f>
        <v>279481017.11287975</v>
      </c>
      <c r="D11" s="453">
        <f>'DF-IVA'!D18</f>
        <v>433027927.09935021</v>
      </c>
      <c r="E11" s="453">
        <f>'DF-IVA'!E18</f>
        <v>272564468.08277655</v>
      </c>
      <c r="F11" s="453">
        <f>'DF-IVA'!F18</f>
        <v>0</v>
      </c>
      <c r="G11" s="453">
        <f>'DF-IVA'!G18</f>
        <v>0</v>
      </c>
      <c r="H11" s="453">
        <f>'DF-IVA'!H18</f>
        <v>0</v>
      </c>
      <c r="I11" s="453">
        <f>'DF-IVA'!I18</f>
        <v>0</v>
      </c>
      <c r="J11" s="453">
        <f>'DF-IVA'!J18</f>
        <v>0</v>
      </c>
      <c r="K11" s="453">
        <f>'DF-IVA'!K18</f>
        <v>0</v>
      </c>
      <c r="L11" s="453">
        <f>'DF-IVA'!L18</f>
        <v>0</v>
      </c>
      <c r="M11" s="450">
        <f t="shared" si="1"/>
        <v>985073412.29500651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8" t="s">
        <v>722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450">
        <f t="shared" si="1"/>
        <v>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331"/>
      <c r="M13" s="450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54" t="s">
        <v>723</v>
      </c>
      <c r="B14" s="254">
        <f t="shared" ref="B14:L14" si="3">SUM(B15:B23)</f>
        <v>4418747286.6244669</v>
      </c>
      <c r="C14" s="254">
        <f t="shared" si="3"/>
        <v>2896717285.970335</v>
      </c>
      <c r="D14" s="254">
        <f t="shared" si="3"/>
        <v>2852236102.8729744</v>
      </c>
      <c r="E14" s="254">
        <f t="shared" si="3"/>
        <v>2515741121.2232552</v>
      </c>
      <c r="F14" s="254">
        <f t="shared" si="3"/>
        <v>2038916974.5793545</v>
      </c>
      <c r="G14" s="254">
        <f t="shared" si="3"/>
        <v>2038941817.5086405</v>
      </c>
      <c r="H14" s="254">
        <f t="shared" si="3"/>
        <v>2038957327.1115925</v>
      </c>
      <c r="I14" s="254">
        <f t="shared" si="3"/>
        <v>2038941817.5086405</v>
      </c>
      <c r="J14" s="254">
        <f t="shared" si="3"/>
        <v>2038941817.5086405</v>
      </c>
      <c r="K14" s="254">
        <f t="shared" si="3"/>
        <v>2038941817.5086405</v>
      </c>
      <c r="L14" s="254">
        <f t="shared" si="3"/>
        <v>2038941817.5086405</v>
      </c>
      <c r="M14" s="449">
        <f t="shared" ref="M14:M23" si="4">SUM(B14:L14)</f>
        <v>26956025185.925182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8" t="s">
        <v>228</v>
      </c>
      <c r="B15" s="228">
        <f>'DF-2 Estructura'!B7</f>
        <v>3414634237.566637</v>
      </c>
      <c r="C15" s="228">
        <f>'DF-2 Estructura'!C7</f>
        <v>9335324.2791182324</v>
      </c>
      <c r="D15" s="451">
        <v>0</v>
      </c>
      <c r="E15" s="451">
        <v>0</v>
      </c>
      <c r="F15" s="451">
        <v>0</v>
      </c>
      <c r="G15" s="451">
        <v>0</v>
      </c>
      <c r="H15" s="451">
        <v>0</v>
      </c>
      <c r="I15" s="451">
        <v>0</v>
      </c>
      <c r="J15" s="451">
        <v>0</v>
      </c>
      <c r="K15" s="451">
        <v>0</v>
      </c>
      <c r="L15" s="451">
        <v>0</v>
      </c>
      <c r="M15" s="450">
        <f t="shared" si="4"/>
        <v>3423969561.8457551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 t="s">
        <v>666</v>
      </c>
      <c r="B16" s="228">
        <f>'DE-InvAT'!B23</f>
        <v>237223024.10647607</v>
      </c>
      <c r="C16" s="228">
        <f>'DE-InvAT'!C23</f>
        <v>593172560.0042696</v>
      </c>
      <c r="D16" s="228">
        <f>'DE-InvAT'!D23</f>
        <v>199237602.77038753</v>
      </c>
      <c r="E16" s="228">
        <f>'DE-InvAT'!E23</f>
        <v>-585291.42366933823</v>
      </c>
      <c r="F16" s="228">
        <f>'DE-InvAT'!F23</f>
        <v>-24842.929286003113</v>
      </c>
      <c r="G16" s="228">
        <f>'DE-InvAT'!G23</f>
        <v>0</v>
      </c>
      <c r="H16" s="228">
        <f>'DE-InvAT'!H23</f>
        <v>15509.602952122688</v>
      </c>
      <c r="I16" s="228">
        <f>'DE-InvAT'!I23</f>
        <v>0</v>
      </c>
      <c r="J16" s="451">
        <f>'DE-InvAT'!J23</f>
        <v>0</v>
      </c>
      <c r="K16" s="451">
        <f>'DE-InvAT'!K23</f>
        <v>0</v>
      </c>
      <c r="L16" s="451">
        <f>'DE-InvAT'!L23</f>
        <v>0</v>
      </c>
      <c r="M16" s="450">
        <f t="shared" si="4"/>
        <v>1029038562.13113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 t="s">
        <v>724</v>
      </c>
      <c r="B17" s="228">
        <v>0</v>
      </c>
      <c r="C17" s="228">
        <f>'DF-CRes'!B4+'DF-CRes'!B7+'DF-CRes'!B8+'DF-CRes'!B9</f>
        <v>1753769084.6308568</v>
      </c>
      <c r="D17" s="228">
        <f>'DF-CRes'!C4+'DF-CRes'!C7+'DF-CRes'!C8+'DF-CRes'!C9</f>
        <v>2000805919.3935177</v>
      </c>
      <c r="E17" s="228">
        <f>'DF-CRes'!D4+'DF-CRes'!D7+'DF-CRes'!D8+'DF-CRes'!D9</f>
        <v>1854910241.1260073</v>
      </c>
      <c r="F17" s="228">
        <f>'DF-CRes'!E4+'DF-CRes'!E7+'DF-CRes'!E8+'DF-CRes'!E9</f>
        <v>1561833565.3979087</v>
      </c>
      <c r="G17" s="228">
        <f>'DF-CRes'!F4+'DF-CRes'!F7+'DF-CRes'!F8+'DF-CRes'!F9</f>
        <v>1561833565.3979087</v>
      </c>
      <c r="H17" s="228">
        <f>'DF-CRes'!G4+'DF-CRes'!G7+'DF-CRes'!G8+'DF-CRes'!G9</f>
        <v>1561833565.3979087</v>
      </c>
      <c r="I17" s="228">
        <f>'DF-CRes'!H4+'DF-CRes'!H7+'DF-CRes'!H8+'DF-CRes'!H9</f>
        <v>1561833565.3979087</v>
      </c>
      <c r="J17" s="228">
        <f>'DF-CRes'!I4+'DF-CRes'!I7+'DF-CRes'!I8+'DF-CRes'!I9</f>
        <v>1561833565.3979087</v>
      </c>
      <c r="K17" s="228">
        <f>'DF-CRes'!J4+'DF-CRes'!J7+'DF-CRes'!J8+'DF-CRes'!J9</f>
        <v>1561833565.3979087</v>
      </c>
      <c r="L17" s="228">
        <f>'DF-CRes'!K4+'DF-CRes'!K7+'DF-CRes'!K8+'DF-CRes'!K9</f>
        <v>1561833565.3979087</v>
      </c>
      <c r="M17" s="450">
        <f t="shared" si="4"/>
        <v>16542320202.935745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 t="s">
        <v>725</v>
      </c>
      <c r="B18" s="228">
        <v>0</v>
      </c>
      <c r="C18" s="228">
        <f>'DF-CRes'!B12</f>
        <v>77212070.379200086</v>
      </c>
      <c r="D18" s="228">
        <f>'DF-CRes'!C12</f>
        <v>323467928.21226883</v>
      </c>
      <c r="E18" s="228">
        <f>'DF-CRes'!D12</f>
        <v>374531415.60589749</v>
      </c>
      <c r="F18" s="228">
        <f>'DF-CRes'!E12</f>
        <v>477108252.1107319</v>
      </c>
      <c r="G18" s="228">
        <f>'DF-CRes'!F12</f>
        <v>477108252.1107319</v>
      </c>
      <c r="H18" s="228">
        <f>'DF-CRes'!G12</f>
        <v>477108252.1107319</v>
      </c>
      <c r="I18" s="228">
        <f>'DF-CRes'!H12</f>
        <v>477108252.1107319</v>
      </c>
      <c r="J18" s="228">
        <f>'DF-CRes'!I12</f>
        <v>477108252.1107319</v>
      </c>
      <c r="K18" s="228">
        <f>'DF-CRes'!J12</f>
        <v>477108252.1107319</v>
      </c>
      <c r="L18" s="228">
        <f>'DF-CRes'!K12</f>
        <v>477108252.1107319</v>
      </c>
      <c r="M18" s="450">
        <f t="shared" si="4"/>
        <v>4114969178.9724903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 t="s">
        <v>726</v>
      </c>
      <c r="B19" s="228"/>
      <c r="C19" s="228">
        <f>'DF-Cred'!O14</f>
        <v>286884755.91501927</v>
      </c>
      <c r="D19" s="228">
        <f>'DF-Cred'!O16</f>
        <v>286884755.91501927</v>
      </c>
      <c r="E19" s="228">
        <f>'DF-Cred'!O18</f>
        <v>286884755.91501927</v>
      </c>
      <c r="F19" s="451"/>
      <c r="G19" s="451"/>
      <c r="H19" s="451"/>
      <c r="I19" s="451"/>
      <c r="J19" s="451"/>
      <c r="K19" s="451"/>
      <c r="L19" s="454"/>
      <c r="M19" s="450">
        <f t="shared" si="4"/>
        <v>860654267.74505782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 t="s">
        <v>727</v>
      </c>
      <c r="B20" s="228">
        <v>0</v>
      </c>
      <c r="C20" s="228">
        <v>0</v>
      </c>
      <c r="D20" s="228">
        <v>0</v>
      </c>
      <c r="E20" s="228">
        <v>0</v>
      </c>
      <c r="F20" s="228">
        <v>0</v>
      </c>
      <c r="G20" s="228">
        <v>0</v>
      </c>
      <c r="H20" s="228">
        <v>0</v>
      </c>
      <c r="I20" s="228">
        <v>0</v>
      </c>
      <c r="J20" s="228">
        <v>0</v>
      </c>
      <c r="K20" s="228">
        <v>0</v>
      </c>
      <c r="L20" s="228">
        <v>0</v>
      </c>
      <c r="M20" s="450">
        <f t="shared" si="4"/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8" t="s">
        <v>728</v>
      </c>
      <c r="B21" s="451">
        <v>0</v>
      </c>
      <c r="C21" s="451">
        <v>0</v>
      </c>
      <c r="D21" s="451">
        <v>0</v>
      </c>
      <c r="E21" s="451">
        <v>0</v>
      </c>
      <c r="F21" s="451">
        <v>0</v>
      </c>
      <c r="G21" s="451">
        <v>0</v>
      </c>
      <c r="H21" s="451">
        <v>0</v>
      </c>
      <c r="I21" s="451">
        <v>0</v>
      </c>
      <c r="J21" s="451">
        <v>0</v>
      </c>
      <c r="K21" s="451">
        <v>0</v>
      </c>
      <c r="L21" s="451">
        <v>0</v>
      </c>
      <c r="M21" s="450">
        <f t="shared" si="4"/>
        <v>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 t="s">
        <v>729</v>
      </c>
      <c r="B22" s="228">
        <f>'DF-IVA'!B16</f>
        <v>766890024.95135367</v>
      </c>
      <c r="C22" s="228">
        <f>'DF-IVA'!C16</f>
        <v>176343490.76187143</v>
      </c>
      <c r="D22" s="228">
        <f>'DF-IVA'!D16</f>
        <v>41839896.581781365</v>
      </c>
      <c r="E22" s="228">
        <f>'DF-IVA'!E16</f>
        <v>0</v>
      </c>
      <c r="F22" s="228">
        <f>'DF-IVA'!F16</f>
        <v>0</v>
      </c>
      <c r="G22" s="228">
        <f>'DF-IVA'!G16</f>
        <v>0</v>
      </c>
      <c r="H22" s="228">
        <f>'DF-IVA'!H16</f>
        <v>0</v>
      </c>
      <c r="I22" s="228">
        <f>'DF-IVA'!I16</f>
        <v>0</v>
      </c>
      <c r="J22" s="228">
        <f>'DF-IVA'!J16</f>
        <v>0</v>
      </c>
      <c r="K22" s="228">
        <f>'DF-IVA'!K16</f>
        <v>0</v>
      </c>
      <c r="L22" s="228">
        <f>'DF-IVA'!L16</f>
        <v>0</v>
      </c>
      <c r="M22" s="450">
        <f t="shared" si="4"/>
        <v>985073412.29500651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8" t="s">
        <v>730</v>
      </c>
      <c r="B23" s="453">
        <v>0</v>
      </c>
      <c r="C23" s="453">
        <v>0</v>
      </c>
      <c r="D23" s="453">
        <v>0</v>
      </c>
      <c r="E23" s="453">
        <v>0</v>
      </c>
      <c r="F23" s="453">
        <v>0</v>
      </c>
      <c r="G23" s="453">
        <v>0</v>
      </c>
      <c r="H23" s="453">
        <v>0</v>
      </c>
      <c r="I23" s="453">
        <v>0</v>
      </c>
      <c r="J23" s="453">
        <v>0</v>
      </c>
      <c r="K23" s="453">
        <v>0</v>
      </c>
      <c r="L23" s="453">
        <v>0</v>
      </c>
      <c r="M23" s="450">
        <f t="shared" si="4"/>
        <v>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331"/>
      <c r="M24" s="450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54" t="s">
        <v>731</v>
      </c>
      <c r="B25" s="455">
        <f t="shared" ref="B25:L25" si="5">B5-B14</f>
        <v>0</v>
      </c>
      <c r="C25" s="254">
        <f t="shared" si="5"/>
        <v>373213130.29428005</v>
      </c>
      <c r="D25" s="254">
        <f t="shared" si="5"/>
        <v>1242457024.4117498</v>
      </c>
      <c r="E25" s="254">
        <f t="shared" si="5"/>
        <v>2287732441.162365</v>
      </c>
      <c r="F25" s="254">
        <f t="shared" si="5"/>
        <v>3537267536.4741049</v>
      </c>
      <c r="G25" s="254">
        <f t="shared" si="5"/>
        <v>4601737121.2913704</v>
      </c>
      <c r="H25" s="254">
        <f t="shared" si="5"/>
        <v>5666191196.5056849</v>
      </c>
      <c r="I25" s="254">
        <f t="shared" si="5"/>
        <v>6560830628.9970436</v>
      </c>
      <c r="J25" s="254">
        <f t="shared" si="5"/>
        <v>7455470061.4884033</v>
      </c>
      <c r="K25" s="254">
        <f t="shared" si="5"/>
        <v>8350109493.979763</v>
      </c>
      <c r="L25" s="254">
        <f t="shared" si="5"/>
        <v>9244748926.4711227</v>
      </c>
      <c r="M25" s="449">
        <f t="shared" ref="M25:M29" si="6">SUM(B25:L25)</f>
        <v>49319757561.07589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54" t="s">
        <v>732</v>
      </c>
      <c r="B26" s="253">
        <v>0</v>
      </c>
      <c r="C26" s="228">
        <f>'DE-Inv AF y Am'!D55+'DF-CRes'!B21</f>
        <v>363452069.89109373</v>
      </c>
      <c r="D26" s="228">
        <f>'DE-Inv AF y Am'!D55+'DF-CRes'!B22</f>
        <v>363452069.89109373</v>
      </c>
      <c r="E26" s="228">
        <f>'DE-Inv AF y Am'!D55+'DF-CRes'!B23</f>
        <v>363452069.89109373</v>
      </c>
      <c r="F26" s="228">
        <f>'DE-Inv AF y Am'!E55+'DF-CRes'!B24</f>
        <v>178411402.32590628</v>
      </c>
      <c r="G26" s="228">
        <f>'DE-Inv AF y Am'!E55+'DF-CRes'!B25</f>
        <v>178411402.32590628</v>
      </c>
      <c r="H26" s="228">
        <f>'DE-Inv AF y Am'!F55+'DF-CRes'!B26</f>
        <v>8581250</v>
      </c>
      <c r="I26" s="228">
        <f>'DE-Inv AF y Am'!F55</f>
        <v>8581250</v>
      </c>
      <c r="J26" s="228">
        <f>'DE-Inv AF y Am'!F55</f>
        <v>8581250</v>
      </c>
      <c r="K26" s="228">
        <f>'DE-Inv AF y Am'!F55</f>
        <v>8581250</v>
      </c>
      <c r="L26" s="228">
        <f>'DE-Inv AF y Am'!F55</f>
        <v>8581250</v>
      </c>
      <c r="M26" s="450">
        <f t="shared" si="6"/>
        <v>1490085264.3250937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54"/>
      <c r="B27" s="253"/>
      <c r="C27" s="228"/>
      <c r="D27" s="228"/>
      <c r="E27" s="228"/>
      <c r="F27" s="228"/>
      <c r="G27" s="228"/>
      <c r="H27" s="228"/>
      <c r="I27" s="228"/>
      <c r="J27" s="228"/>
      <c r="K27" s="228"/>
      <c r="L27" s="331"/>
      <c r="M27" s="450">
        <f t="shared" si="6"/>
        <v>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54" t="s">
        <v>733</v>
      </c>
      <c r="B28" s="455">
        <f t="shared" ref="B28:L28" si="7">B25+B26</f>
        <v>0</v>
      </c>
      <c r="C28" s="254">
        <f t="shared" si="7"/>
        <v>736665200.18537378</v>
      </c>
      <c r="D28" s="254">
        <f t="shared" si="7"/>
        <v>1605909094.3028436</v>
      </c>
      <c r="E28" s="254">
        <f t="shared" si="7"/>
        <v>2651184511.0534587</v>
      </c>
      <c r="F28" s="254">
        <f t="shared" si="7"/>
        <v>3715678938.8000112</v>
      </c>
      <c r="G28" s="254">
        <f t="shared" si="7"/>
        <v>4780148523.6172771</v>
      </c>
      <c r="H28" s="254">
        <f t="shared" si="7"/>
        <v>5674772446.5056849</v>
      </c>
      <c r="I28" s="254">
        <f t="shared" si="7"/>
        <v>6569411878.9970436</v>
      </c>
      <c r="J28" s="254">
        <f t="shared" si="7"/>
        <v>7464051311.4884033</v>
      </c>
      <c r="K28" s="254">
        <f t="shared" si="7"/>
        <v>8358690743.979763</v>
      </c>
      <c r="L28" s="254">
        <f t="shared" si="7"/>
        <v>9253330176.4711227</v>
      </c>
      <c r="M28" s="450">
        <f t="shared" si="6"/>
        <v>50809842825.400978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>
      <c r="A29" s="266" t="s">
        <v>734</v>
      </c>
      <c r="B29" s="456">
        <f>B28</f>
        <v>0</v>
      </c>
      <c r="C29" s="456">
        <f t="shared" ref="C29:L29" si="8">C28-B28</f>
        <v>736665200.18537378</v>
      </c>
      <c r="D29" s="456">
        <f t="shared" si="8"/>
        <v>869243894.11746979</v>
      </c>
      <c r="E29" s="456">
        <f t="shared" si="8"/>
        <v>1045275416.7506151</v>
      </c>
      <c r="F29" s="456">
        <f t="shared" si="8"/>
        <v>1064494427.7465525</v>
      </c>
      <c r="G29" s="456">
        <f t="shared" si="8"/>
        <v>1064469584.817266</v>
      </c>
      <c r="H29" s="456">
        <f t="shared" si="8"/>
        <v>894623922.88840771</v>
      </c>
      <c r="I29" s="456">
        <f t="shared" si="8"/>
        <v>894639432.49135876</v>
      </c>
      <c r="J29" s="456">
        <f t="shared" si="8"/>
        <v>894639432.49135971</v>
      </c>
      <c r="K29" s="456">
        <f t="shared" si="8"/>
        <v>894639432.49135971</v>
      </c>
      <c r="L29" s="456">
        <f t="shared" si="8"/>
        <v>894639432.49135971</v>
      </c>
      <c r="M29" s="457">
        <f t="shared" si="6"/>
        <v>9253330176.4711227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5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37" t="s">
        <v>735</v>
      </c>
      <c r="C34" s="458">
        <f>M15-M26</f>
        <v>1933884297.5206614</v>
      </c>
      <c r="D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459" t="s">
        <v>736</v>
      </c>
      <c r="C35" s="460">
        <f>M29-M7+M16+C34-M8</f>
        <v>7642085618.0917702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5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5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5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5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5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5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tabSelected="1" workbookViewId="0">
      <selection activeCell="G43" sqref="G43"/>
    </sheetView>
  </sheetViews>
  <sheetFormatPr baseColWidth="10" defaultColWidth="12.5703125" defaultRowHeight="15" customHeight="1"/>
  <cols>
    <col min="1" max="1" width="37.7109375" customWidth="1"/>
    <col min="2" max="2" width="16.5703125" customWidth="1"/>
    <col min="3" max="4" width="17.42578125" customWidth="1"/>
    <col min="5" max="5" width="16.7109375" customWidth="1"/>
    <col min="6" max="6" width="17.28515625" customWidth="1"/>
    <col min="7" max="7" width="18.140625" customWidth="1"/>
    <col min="8" max="8" width="17.140625" customWidth="1"/>
    <col min="9" max="10" width="17.42578125" customWidth="1"/>
    <col min="11" max="11" width="18.28515625" customWidth="1"/>
    <col min="12" max="12" width="18.42578125" customWidth="1"/>
    <col min="13" max="13" width="24.5703125" customWidth="1"/>
    <col min="14" max="14" width="12.5703125" customWidth="1"/>
    <col min="15" max="26" width="10" customWidth="1"/>
  </cols>
  <sheetData>
    <row r="1" spans="1:26" ht="12.75" customHeight="1">
      <c r="A1" s="8"/>
      <c r="B1" s="446" t="s">
        <v>737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>
      <c r="A3" s="390" t="s">
        <v>738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2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>
      <c r="A4" s="256"/>
      <c r="B4" s="463" t="s">
        <v>297</v>
      </c>
      <c r="C4" s="463" t="s">
        <v>112</v>
      </c>
      <c r="D4" s="463" t="s">
        <v>422</v>
      </c>
      <c r="E4" s="463" t="s">
        <v>423</v>
      </c>
      <c r="F4" s="463" t="s">
        <v>424</v>
      </c>
      <c r="G4" s="463" t="s">
        <v>425</v>
      </c>
      <c r="H4" s="463" t="s">
        <v>426</v>
      </c>
      <c r="I4" s="463" t="s">
        <v>427</v>
      </c>
      <c r="J4" s="463" t="s">
        <v>428</v>
      </c>
      <c r="K4" s="463" t="s">
        <v>429</v>
      </c>
      <c r="L4" s="464" t="s">
        <v>430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>
      <c r="A5" s="218" t="s">
        <v>739</v>
      </c>
      <c r="B5" s="465">
        <f t="shared" ref="B5:L5" si="0">SUM(B7:B11)</f>
        <v>237223024.10647607</v>
      </c>
      <c r="C5" s="465">
        <f t="shared" si="0"/>
        <v>1933283126.460036</v>
      </c>
      <c r="D5" s="465">
        <f t="shared" si="0"/>
        <v>3178928500.9530325</v>
      </c>
      <c r="E5" s="465">
        <f t="shared" si="0"/>
        <v>4063286233.9922948</v>
      </c>
      <c r="F5" s="465">
        <f t="shared" si="0"/>
        <v>4855216193.6560707</v>
      </c>
      <c r="G5" s="465">
        <f t="shared" si="0"/>
        <v>5919685778.4733372</v>
      </c>
      <c r="H5" s="465">
        <f t="shared" si="0"/>
        <v>6814309701.3617449</v>
      </c>
      <c r="I5" s="465">
        <f t="shared" si="0"/>
        <v>7708949133.8531036</v>
      </c>
      <c r="J5" s="465">
        <f t="shared" si="0"/>
        <v>8603588566.3444633</v>
      </c>
      <c r="K5" s="465">
        <f t="shared" si="0"/>
        <v>9498227998.8358231</v>
      </c>
      <c r="L5" s="466">
        <f t="shared" si="0"/>
        <v>10392867431.327183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201" t="s">
        <v>740</v>
      </c>
      <c r="B6" s="467"/>
      <c r="C6" s="467"/>
      <c r="D6" s="467"/>
      <c r="E6" s="467"/>
      <c r="F6" s="467"/>
      <c r="G6" s="467"/>
      <c r="H6" s="467"/>
      <c r="I6" s="467"/>
      <c r="J6" s="467"/>
      <c r="K6" s="467"/>
      <c r="L6" s="46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203" t="s">
        <v>741</v>
      </c>
      <c r="B7" s="467">
        <f>'DE-InvAT'!B4</f>
        <v>39487500</v>
      </c>
      <c r="C7" s="467">
        <f>'DE-InvAT'!C4</f>
        <v>58500000</v>
      </c>
      <c r="D7" s="467">
        <f>'DE-InvAT'!D4</f>
        <v>58500000</v>
      </c>
      <c r="E7" s="467">
        <f>'DE-InvAT'!E4</f>
        <v>58500000</v>
      </c>
      <c r="F7" s="467">
        <f>'DE-InvAT'!F4</f>
        <v>58500000</v>
      </c>
      <c r="G7" s="467">
        <f>'DE-InvAT'!G4</f>
        <v>58500000</v>
      </c>
      <c r="H7" s="467">
        <f>'DE-InvAT'!H4</f>
        <v>58500000</v>
      </c>
      <c r="I7" s="467">
        <f>'DE-InvAT'!I4</f>
        <v>58500000</v>
      </c>
      <c r="J7" s="467">
        <f>'DE-InvAT'!J4</f>
        <v>58500000</v>
      </c>
      <c r="K7" s="467">
        <f>'DE-InvAT'!K4</f>
        <v>58500000</v>
      </c>
      <c r="L7" s="468">
        <f>'DE-InvAT'!L4</f>
        <v>58500000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203" t="s">
        <v>742</v>
      </c>
      <c r="B8" s="469">
        <f>'DF- CFyU'!B28</f>
        <v>0</v>
      </c>
      <c r="C8" s="467">
        <f>'DF- CFyU'!C28</f>
        <v>736665200.18537378</v>
      </c>
      <c r="D8" s="467">
        <f>'DF- CFyU'!D28</f>
        <v>1605909094.3028436</v>
      </c>
      <c r="E8" s="467">
        <f>'DF- CFyU'!E28</f>
        <v>2651184511.0534587</v>
      </c>
      <c r="F8" s="467">
        <f>'DF- CFyU'!F28</f>
        <v>3715678938.8000112</v>
      </c>
      <c r="G8" s="467">
        <f>'DF- CFyU'!G28</f>
        <v>4780148523.6172771</v>
      </c>
      <c r="H8" s="467">
        <f>'DF- CFyU'!H28</f>
        <v>5674772446.5056849</v>
      </c>
      <c r="I8" s="467">
        <f>'DF- CFyU'!I28</f>
        <v>6569411878.9970436</v>
      </c>
      <c r="J8" s="467">
        <f>'DF- CFyU'!J28</f>
        <v>7464051311.4884033</v>
      </c>
      <c r="K8" s="467">
        <f>'DF- CFyU'!K28</f>
        <v>8358690743.979763</v>
      </c>
      <c r="L8" s="468">
        <f>'DF- CFyU'!L28</f>
        <v>9253330176.4711227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201" t="s">
        <v>743</v>
      </c>
      <c r="B9" s="470" t="s">
        <v>161</v>
      </c>
      <c r="C9" s="467">
        <f>'DE-InvAT'!C5</f>
        <v>162277397.26027396</v>
      </c>
      <c r="D9" s="467">
        <f>'DE-InvAT'!D5</f>
        <v>240410958.90410957</v>
      </c>
      <c r="E9" s="467">
        <f>'DE-InvAT'!E5</f>
        <v>240410958.90410957</v>
      </c>
      <c r="F9" s="467">
        <f>'DE-InvAT'!F5</f>
        <v>240410958.90410957</v>
      </c>
      <c r="G9" s="467">
        <f>'DE-InvAT'!G5</f>
        <v>240410958.90410957</v>
      </c>
      <c r="H9" s="467">
        <f>'DE-InvAT'!H5</f>
        <v>240410958.90410957</v>
      </c>
      <c r="I9" s="467">
        <f>'DE-InvAT'!I5</f>
        <v>240410958.90410957</v>
      </c>
      <c r="J9" s="467">
        <f>'DE-InvAT'!J5</f>
        <v>240410958.90410957</v>
      </c>
      <c r="K9" s="467">
        <f>'DE-InvAT'!K5</f>
        <v>240410958.90410957</v>
      </c>
      <c r="L9" s="468">
        <f>'DE-InvAT'!L5</f>
        <v>240410958.90410957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201" t="s">
        <v>274</v>
      </c>
      <c r="B10" s="467">
        <f>'DE-InvAT'!B7</f>
        <v>197735524.10647607</v>
      </c>
      <c r="C10" s="467">
        <f>'DE-InvAT'!C7</f>
        <v>696359511.90150857</v>
      </c>
      <c r="D10" s="467">
        <f>'DE-InvAT'!D7</f>
        <v>841080520.64672887</v>
      </c>
      <c r="E10" s="467">
        <f>'DE-InvAT'!E7</f>
        <v>840626295.95194983</v>
      </c>
      <c r="F10" s="467">
        <f>'DE-InvAT'!F7</f>
        <v>840626295.95194983</v>
      </c>
      <c r="G10" s="467">
        <f>'DE-InvAT'!G7</f>
        <v>840626295.95194983</v>
      </c>
      <c r="H10" s="467">
        <f>'DE-InvAT'!H7</f>
        <v>840626295.95194983</v>
      </c>
      <c r="I10" s="467">
        <f>'DE-InvAT'!I7</f>
        <v>840626295.95194983</v>
      </c>
      <c r="J10" s="467">
        <f>'DE-InvAT'!J7</f>
        <v>840626295.95194983</v>
      </c>
      <c r="K10" s="467">
        <f>'DE-InvAT'!K7</f>
        <v>840626295.95194983</v>
      </c>
      <c r="L10" s="468">
        <f>'DE-InvAT'!L7</f>
        <v>840626295.95194983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201" t="s">
        <v>744</v>
      </c>
      <c r="B11" s="470" t="s">
        <v>161</v>
      </c>
      <c r="C11" s="467">
        <f>'DF-IVA'!C18</f>
        <v>279481017.11287975</v>
      </c>
      <c r="D11" s="467">
        <f>'DF-IVA'!D18</f>
        <v>433027927.09935021</v>
      </c>
      <c r="E11" s="467">
        <f>'DF-IVA'!E18</f>
        <v>272564468.08277655</v>
      </c>
      <c r="F11" s="467">
        <f>'DF-IVA'!F18</f>
        <v>0</v>
      </c>
      <c r="G11" s="467">
        <f>'DF-IVA'!G18</f>
        <v>0</v>
      </c>
      <c r="H11" s="467">
        <f>'DF-IVA'!H18</f>
        <v>0</v>
      </c>
      <c r="I11" s="467">
        <f>'DF-IVA'!I18</f>
        <v>0</v>
      </c>
      <c r="J11" s="467">
        <f>'DF-IVA'!J18</f>
        <v>0</v>
      </c>
      <c r="K11" s="467">
        <f>'DF-IVA'!K18</f>
        <v>0</v>
      </c>
      <c r="L11" s="468">
        <f>'DF-IVA'!L18</f>
        <v>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201" t="s">
        <v>745</v>
      </c>
      <c r="B12" s="467">
        <f t="shared" ref="B12:L12" si="1">B17+B22+B23</f>
        <v>3902043245.4051108</v>
      </c>
      <c r="C12" s="467">
        <f t="shared" si="1"/>
        <v>3291242063.4556565</v>
      </c>
      <c r="D12" s="467">
        <f t="shared" si="1"/>
        <v>2697065422.0635676</v>
      </c>
      <c r="E12" s="467">
        <f t="shared" si="1"/>
        <v>2333613352.1724739</v>
      </c>
      <c r="F12" s="467">
        <f t="shared" si="1"/>
        <v>2155201949.8465672</v>
      </c>
      <c r="G12" s="467">
        <f t="shared" si="1"/>
        <v>1976790547.5206609</v>
      </c>
      <c r="H12" s="467">
        <f t="shared" si="1"/>
        <v>1968209297.5206609</v>
      </c>
      <c r="I12" s="467">
        <f t="shared" si="1"/>
        <v>1959628047.5206609</v>
      </c>
      <c r="J12" s="467">
        <f t="shared" si="1"/>
        <v>1951046797.5206609</v>
      </c>
      <c r="K12" s="467">
        <f t="shared" si="1"/>
        <v>1942465547.5206609</v>
      </c>
      <c r="L12" s="468">
        <f t="shared" si="1"/>
        <v>1933884297.5206609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201" t="s">
        <v>746</v>
      </c>
      <c r="B13" s="467"/>
      <c r="C13" s="467"/>
      <c r="D13" s="467"/>
      <c r="E13" s="467"/>
      <c r="F13" s="467"/>
      <c r="G13" s="467"/>
      <c r="H13" s="467"/>
      <c r="I13" s="467"/>
      <c r="J13" s="467"/>
      <c r="K13" s="467"/>
      <c r="L13" s="46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203" t="s">
        <v>747</v>
      </c>
      <c r="B14" s="467">
        <f>'DF-2 Estructura'!B6</f>
        <v>574627462.69556236</v>
      </c>
      <c r="C14" s="467">
        <f t="shared" ref="C14:L14" si="2">B17</f>
        <v>574627462.69556236</v>
      </c>
      <c r="D14" s="467">
        <f t="shared" si="2"/>
        <v>393153962.55366945</v>
      </c>
      <c r="E14" s="467">
        <f t="shared" si="2"/>
        <v>202345138.13265836</v>
      </c>
      <c r="F14" s="467">
        <f t="shared" si="2"/>
        <v>11536313.711647272</v>
      </c>
      <c r="G14" s="467">
        <f t="shared" si="2"/>
        <v>5768156.8558236249</v>
      </c>
      <c r="H14" s="467">
        <f t="shared" si="2"/>
        <v>-2.2351741790771484E-8</v>
      </c>
      <c r="I14" s="467">
        <f t="shared" si="2"/>
        <v>-2.2351741790771484E-8</v>
      </c>
      <c r="J14" s="467">
        <f t="shared" si="2"/>
        <v>-2.2351741790771484E-8</v>
      </c>
      <c r="K14" s="467">
        <f t="shared" si="2"/>
        <v>-2.2351741790771484E-8</v>
      </c>
      <c r="L14" s="468">
        <f t="shared" si="2"/>
        <v>-2.2351741790771484E-8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203" t="s">
        <v>748</v>
      </c>
      <c r="B15" s="471" t="s">
        <v>161</v>
      </c>
      <c r="C15" s="467">
        <f>'DF-2 Estructura'!C6</f>
        <v>9335324.2791182324</v>
      </c>
      <c r="D15" s="467"/>
      <c r="E15" s="467"/>
      <c r="F15" s="467"/>
      <c r="G15" s="467"/>
      <c r="H15" s="467"/>
      <c r="I15" s="467"/>
      <c r="J15" s="467"/>
      <c r="K15" s="467"/>
      <c r="L15" s="46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203" t="s">
        <v>749</v>
      </c>
      <c r="B16" s="471" t="s">
        <v>161</v>
      </c>
      <c r="C16" s="467">
        <f>'DE-Inv AF y Am'!D53+'DF-CRes'!B21</f>
        <v>190808824.42101109</v>
      </c>
      <c r="D16" s="467">
        <f>'DE-Inv AF y Am'!D53+'DF-CRes'!B22</f>
        <v>190808824.42101109</v>
      </c>
      <c r="E16" s="467">
        <f>'DE-Inv AF y Am'!D53+'DF-CRes'!B23</f>
        <v>190808824.42101109</v>
      </c>
      <c r="F16" s="467">
        <f>'DE-Inv AF y Am'!E53+'DF-CRes'!B24</f>
        <v>5768156.8558236472</v>
      </c>
      <c r="G16" s="467">
        <f>'DE-Inv AF y Am'!E53+'DF-CRes'!B25</f>
        <v>5768156.8558236472</v>
      </c>
      <c r="H16" s="467">
        <f>'DE-Inv AF y Am'!F53+'DF-CRes'!B26</f>
        <v>0</v>
      </c>
      <c r="I16" s="467">
        <f>'DE-Inv AF y Am'!F53</f>
        <v>0</v>
      </c>
      <c r="J16" s="467">
        <f>'DE-Inv AF y Am'!F53</f>
        <v>0</v>
      </c>
      <c r="K16" s="467">
        <f>'DE-Inv AF y Am'!F53</f>
        <v>0</v>
      </c>
      <c r="L16" s="468">
        <f>'DE-Inv AF y Am'!F53</f>
        <v>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203" t="s">
        <v>750</v>
      </c>
      <c r="B17" s="467">
        <f>B14</f>
        <v>574627462.69556236</v>
      </c>
      <c r="C17" s="467">
        <f t="shared" ref="C17:L17" si="3">C14+C15-C16</f>
        <v>393153962.55366945</v>
      </c>
      <c r="D17" s="467">
        <f t="shared" si="3"/>
        <v>202345138.13265836</v>
      </c>
      <c r="E17" s="467">
        <f t="shared" si="3"/>
        <v>11536313.711647272</v>
      </c>
      <c r="F17" s="467">
        <f t="shared" si="3"/>
        <v>5768156.8558236249</v>
      </c>
      <c r="G17" s="467">
        <f t="shared" si="3"/>
        <v>-2.2351741790771484E-8</v>
      </c>
      <c r="H17" s="467">
        <f t="shared" si="3"/>
        <v>-2.2351741790771484E-8</v>
      </c>
      <c r="I17" s="467">
        <f t="shared" si="3"/>
        <v>-2.2351741790771484E-8</v>
      </c>
      <c r="J17" s="467">
        <f t="shared" si="3"/>
        <v>-2.2351741790771484E-8</v>
      </c>
      <c r="K17" s="467">
        <f t="shared" si="3"/>
        <v>-2.2351741790771484E-8</v>
      </c>
      <c r="L17" s="468">
        <f t="shared" si="3"/>
        <v>-2.2351741790771484E-8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201" t="s">
        <v>395</v>
      </c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203" t="s">
        <v>747</v>
      </c>
      <c r="B19" s="467">
        <f>'DF-2 Estructura'!B5</f>
        <v>2840006774.8710747</v>
      </c>
      <c r="C19" s="467">
        <f t="shared" ref="C19:L19" si="4">B22</f>
        <v>2840006774.8710747</v>
      </c>
      <c r="D19" s="467">
        <f t="shared" si="4"/>
        <v>2667363529.4009919</v>
      </c>
      <c r="E19" s="467">
        <f t="shared" si="4"/>
        <v>2494720283.9309092</v>
      </c>
      <c r="F19" s="467">
        <f t="shared" si="4"/>
        <v>2322077038.4608264</v>
      </c>
      <c r="G19" s="467">
        <f t="shared" si="4"/>
        <v>2149433792.9907436</v>
      </c>
      <c r="H19" s="467">
        <f t="shared" si="4"/>
        <v>1976790547.5206609</v>
      </c>
      <c r="I19" s="467">
        <f t="shared" si="4"/>
        <v>1968209297.5206609</v>
      </c>
      <c r="J19" s="467">
        <f t="shared" si="4"/>
        <v>1959628047.5206609</v>
      </c>
      <c r="K19" s="467">
        <f t="shared" si="4"/>
        <v>1951046797.5206609</v>
      </c>
      <c r="L19" s="468">
        <f t="shared" si="4"/>
        <v>1942465547.5206609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203" t="s">
        <v>751</v>
      </c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203" t="s">
        <v>752</v>
      </c>
      <c r="B21" s="470" t="s">
        <v>161</v>
      </c>
      <c r="C21" s="467">
        <f>'DE-Inv AF y Am'!$D$51</f>
        <v>172643245.47008264</v>
      </c>
      <c r="D21" s="467">
        <f>'DE-Inv AF y Am'!$D$51</f>
        <v>172643245.47008264</v>
      </c>
      <c r="E21" s="467">
        <f>'DE-Inv AF y Am'!$D$51</f>
        <v>172643245.47008264</v>
      </c>
      <c r="F21" s="467">
        <f>'DE-Inv AF y Am'!$E$51</f>
        <v>172643245.47008264</v>
      </c>
      <c r="G21" s="467">
        <f>'DE-Inv AF y Am'!$E$51</f>
        <v>172643245.47008264</v>
      </c>
      <c r="H21" s="467">
        <f>'DE-Inv AF y Am'!$F$51</f>
        <v>8581250</v>
      </c>
      <c r="I21" s="467">
        <f>'DE-Inv AF y Am'!$F$51</f>
        <v>8581250</v>
      </c>
      <c r="J21" s="467">
        <f>'DE-Inv AF y Am'!$F$51</f>
        <v>8581250</v>
      </c>
      <c r="K21" s="467">
        <f>'DE-Inv AF y Am'!$F$51</f>
        <v>8581250</v>
      </c>
      <c r="L21" s="468">
        <f>'DE-Inv AF y Am'!$F$51</f>
        <v>8581250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203" t="s">
        <v>750</v>
      </c>
      <c r="B22" s="467">
        <f>B19</f>
        <v>2840006774.8710747</v>
      </c>
      <c r="C22" s="467">
        <f t="shared" ref="C22:L22" si="5">C19+C20-C21</f>
        <v>2667363529.4009919</v>
      </c>
      <c r="D22" s="467">
        <f t="shared" si="5"/>
        <v>2494720283.9309092</v>
      </c>
      <c r="E22" s="467">
        <f t="shared" si="5"/>
        <v>2322077038.4608264</v>
      </c>
      <c r="F22" s="467">
        <f t="shared" si="5"/>
        <v>2149433792.9907436</v>
      </c>
      <c r="G22" s="467">
        <f t="shared" si="5"/>
        <v>1976790547.5206609</v>
      </c>
      <c r="H22" s="467">
        <f t="shared" si="5"/>
        <v>1968209297.5206609</v>
      </c>
      <c r="I22" s="467">
        <f t="shared" si="5"/>
        <v>1959628047.5206609</v>
      </c>
      <c r="J22" s="467">
        <f t="shared" si="5"/>
        <v>1951046797.5206609</v>
      </c>
      <c r="K22" s="467">
        <f t="shared" si="5"/>
        <v>1942465547.5206609</v>
      </c>
      <c r="L22" s="468">
        <f t="shared" si="5"/>
        <v>1933884297.5206609</v>
      </c>
      <c r="M22" s="472" t="s">
        <v>753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201" t="s">
        <v>754</v>
      </c>
      <c r="B23" s="467">
        <f>'DF-IVA'!C17-'DF-IVA'!C16</f>
        <v>487409007.83847392</v>
      </c>
      <c r="C23" s="467">
        <f>'DF-IVA'!D17-'DF-IVA'!D16</f>
        <v>230724571.50099519</v>
      </c>
      <c r="D23" s="467"/>
      <c r="E23" s="467"/>
      <c r="F23" s="467"/>
      <c r="G23" s="467"/>
      <c r="H23" s="467"/>
      <c r="I23" s="467"/>
      <c r="J23" s="467"/>
      <c r="K23" s="467"/>
      <c r="L23" s="46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201" t="s">
        <v>755</v>
      </c>
      <c r="B24" s="467">
        <f t="shared" ref="B24:L24" si="6">B5+B12</f>
        <v>4139266269.5115871</v>
      </c>
      <c r="C24" s="467">
        <f t="shared" si="6"/>
        <v>5224525189.9156923</v>
      </c>
      <c r="D24" s="467">
        <f t="shared" si="6"/>
        <v>5875993923.0165997</v>
      </c>
      <c r="E24" s="467">
        <f t="shared" si="6"/>
        <v>6396899586.1647682</v>
      </c>
      <c r="F24" s="467">
        <f t="shared" si="6"/>
        <v>7010418143.5026379</v>
      </c>
      <c r="G24" s="467">
        <f t="shared" si="6"/>
        <v>7896476325.9939976</v>
      </c>
      <c r="H24" s="467">
        <f t="shared" si="6"/>
        <v>8782518998.8824062</v>
      </c>
      <c r="I24" s="467">
        <f t="shared" si="6"/>
        <v>9668577181.373764</v>
      </c>
      <c r="J24" s="467">
        <f t="shared" si="6"/>
        <v>10554635363.865124</v>
      </c>
      <c r="K24" s="467">
        <f t="shared" si="6"/>
        <v>11440693546.356483</v>
      </c>
      <c r="L24" s="468">
        <f t="shared" si="6"/>
        <v>12326751728.847843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201" t="s">
        <v>756</v>
      </c>
      <c r="B25" s="467">
        <f t="shared" ref="B25:L25" si="7">B26+B27</f>
        <v>286884755.91501927</v>
      </c>
      <c r="C25" s="467">
        <f t="shared" si="7"/>
        <v>702082547.97039211</v>
      </c>
      <c r="D25" s="467">
        <f t="shared" si="7"/>
        <v>702082547.97039211</v>
      </c>
      <c r="E25" s="467">
        <f t="shared" si="7"/>
        <v>415197792.05537283</v>
      </c>
      <c r="F25" s="467">
        <f t="shared" si="7"/>
        <v>415197792.05537283</v>
      </c>
      <c r="G25" s="467">
        <f t="shared" si="7"/>
        <v>415197792.05537283</v>
      </c>
      <c r="H25" s="467">
        <f t="shared" si="7"/>
        <v>415197792.05537283</v>
      </c>
      <c r="I25" s="467">
        <f t="shared" si="7"/>
        <v>415197792.05537283</v>
      </c>
      <c r="J25" s="467">
        <f t="shared" si="7"/>
        <v>415197792.05537283</v>
      </c>
      <c r="K25" s="467">
        <f t="shared" si="7"/>
        <v>415197792.05537283</v>
      </c>
      <c r="L25" s="468">
        <f t="shared" si="7"/>
        <v>415197792.05537283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473" t="s">
        <v>757</v>
      </c>
      <c r="B26" s="467"/>
      <c r="C26" s="467">
        <f>'DF-Cred'!D5</f>
        <v>415197792.05537283</v>
      </c>
      <c r="D26" s="467">
        <f t="shared" ref="D26:L26" si="8">C26</f>
        <v>415197792.05537283</v>
      </c>
      <c r="E26" s="467">
        <f t="shared" si="8"/>
        <v>415197792.05537283</v>
      </c>
      <c r="F26" s="467">
        <f t="shared" si="8"/>
        <v>415197792.05537283</v>
      </c>
      <c r="G26" s="467">
        <f t="shared" si="8"/>
        <v>415197792.05537283</v>
      </c>
      <c r="H26" s="467">
        <f t="shared" si="8"/>
        <v>415197792.05537283</v>
      </c>
      <c r="I26" s="467">
        <f t="shared" si="8"/>
        <v>415197792.05537283</v>
      </c>
      <c r="J26" s="467">
        <f t="shared" si="8"/>
        <v>415197792.05537283</v>
      </c>
      <c r="K26" s="467">
        <f t="shared" si="8"/>
        <v>415197792.05537283</v>
      </c>
      <c r="L26" s="468">
        <f t="shared" si="8"/>
        <v>415197792.05537283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473" t="s">
        <v>758</v>
      </c>
      <c r="B27" s="467">
        <f>'DF-Cred'!$E$19</f>
        <v>286884755.91501927</v>
      </c>
      <c r="C27" s="467">
        <f>'DF-Cred'!$E$19</f>
        <v>286884755.91501927</v>
      </c>
      <c r="D27" s="467">
        <f>'DF-Cred'!$E$19</f>
        <v>286884755.91501927</v>
      </c>
      <c r="E27" s="467"/>
      <c r="F27" s="467"/>
      <c r="G27" s="467"/>
      <c r="H27" s="467"/>
      <c r="I27" s="467"/>
      <c r="J27" s="467"/>
      <c r="K27" s="467"/>
      <c r="L27" s="46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201" t="s">
        <v>759</v>
      </c>
      <c r="B28" s="467"/>
      <c r="C28" s="467"/>
      <c r="D28" s="467"/>
      <c r="E28" s="467"/>
      <c r="F28" s="467"/>
      <c r="G28" s="467"/>
      <c r="H28" s="467"/>
      <c r="I28" s="467"/>
      <c r="J28" s="467"/>
      <c r="K28" s="467"/>
      <c r="L28" s="46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473" t="s">
        <v>758</v>
      </c>
      <c r="B29" s="467">
        <f>'DF-Cred'!E37-B27</f>
        <v>573769511.83003855</v>
      </c>
      <c r="C29" s="467">
        <f t="shared" ref="C29:L29" si="9">B29-C27</f>
        <v>286884755.91501927</v>
      </c>
      <c r="D29" s="467">
        <f t="shared" si="9"/>
        <v>0</v>
      </c>
      <c r="E29" s="467">
        <f t="shared" si="9"/>
        <v>0</v>
      </c>
      <c r="F29" s="467">
        <f t="shared" si="9"/>
        <v>0</v>
      </c>
      <c r="G29" s="467">
        <f t="shared" si="9"/>
        <v>0</v>
      </c>
      <c r="H29" s="467">
        <f t="shared" si="9"/>
        <v>0</v>
      </c>
      <c r="I29" s="467">
        <f t="shared" si="9"/>
        <v>0</v>
      </c>
      <c r="J29" s="467">
        <f t="shared" si="9"/>
        <v>0</v>
      </c>
      <c r="K29" s="467">
        <f t="shared" si="9"/>
        <v>0</v>
      </c>
      <c r="L29" s="468">
        <f t="shared" si="9"/>
        <v>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201" t="s">
        <v>760</v>
      </c>
      <c r="B30" s="467">
        <f t="shared" ref="B30:L30" si="10">B28+B25</f>
        <v>286884755.91501927</v>
      </c>
      <c r="C30" s="467">
        <f t="shared" si="10"/>
        <v>702082547.97039211</v>
      </c>
      <c r="D30" s="467">
        <f t="shared" si="10"/>
        <v>702082547.97039211</v>
      </c>
      <c r="E30" s="467">
        <f t="shared" si="10"/>
        <v>415197792.05537283</v>
      </c>
      <c r="F30" s="467">
        <f t="shared" si="10"/>
        <v>415197792.05537283</v>
      </c>
      <c r="G30" s="467">
        <f t="shared" si="10"/>
        <v>415197792.05537283</v>
      </c>
      <c r="H30" s="467">
        <f t="shared" si="10"/>
        <v>415197792.05537283</v>
      </c>
      <c r="I30" s="467">
        <f t="shared" si="10"/>
        <v>415197792.05537283</v>
      </c>
      <c r="J30" s="467">
        <f t="shared" si="10"/>
        <v>415197792.05537283</v>
      </c>
      <c r="K30" s="467">
        <f t="shared" si="10"/>
        <v>415197792.05537283</v>
      </c>
      <c r="L30" s="468">
        <f t="shared" si="10"/>
        <v>415197792.05537283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201" t="s">
        <v>761</v>
      </c>
      <c r="B31" s="467">
        <f t="shared" ref="B31:L31" si="11">B24-B30</f>
        <v>3852381513.5965681</v>
      </c>
      <c r="C31" s="467">
        <f t="shared" si="11"/>
        <v>4522442641.9453001</v>
      </c>
      <c r="D31" s="467">
        <f t="shared" si="11"/>
        <v>5173911375.0462074</v>
      </c>
      <c r="E31" s="467">
        <f t="shared" si="11"/>
        <v>5981701794.109395</v>
      </c>
      <c r="F31" s="467">
        <f t="shared" si="11"/>
        <v>6595220351.4472647</v>
      </c>
      <c r="G31" s="467">
        <f t="shared" si="11"/>
        <v>7481278533.9386244</v>
      </c>
      <c r="H31" s="467">
        <f t="shared" si="11"/>
        <v>8367321206.827033</v>
      </c>
      <c r="I31" s="467">
        <f t="shared" si="11"/>
        <v>9253379389.3183918</v>
      </c>
      <c r="J31" s="467">
        <f t="shared" si="11"/>
        <v>10139437571.809752</v>
      </c>
      <c r="K31" s="467">
        <f t="shared" si="11"/>
        <v>11025495754.301111</v>
      </c>
      <c r="L31" s="468">
        <f t="shared" si="11"/>
        <v>11911553936.792471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201" t="s">
        <v>762</v>
      </c>
      <c r="B32" s="467">
        <f>'DF-2 Estructura'!B30</f>
        <v>3558093018.8794088</v>
      </c>
      <c r="C32" s="467">
        <f>'DF-2 Estructura'!$D$30</f>
        <v>4158969625.9757714</v>
      </c>
      <c r="D32" s="467">
        <f>'DF-2 Estructura'!$D$30</f>
        <v>4158969625.9757714</v>
      </c>
      <c r="E32" s="467">
        <f>'DF-2 Estructura'!$D$30</f>
        <v>4158969625.9757714</v>
      </c>
      <c r="F32" s="467">
        <f>'DF-2 Estructura'!$D$30</f>
        <v>4158969625.9757714</v>
      </c>
      <c r="G32" s="467">
        <f>'DF-2 Estructura'!$D$30</f>
        <v>4158969625.9757714</v>
      </c>
      <c r="H32" s="467">
        <f>'DF-2 Estructura'!$D$30</f>
        <v>4158969625.9757714</v>
      </c>
      <c r="I32" s="467">
        <f>'DF-2 Estructura'!$D$30</f>
        <v>4158969625.9757714</v>
      </c>
      <c r="J32" s="467">
        <f>'DF-2 Estructura'!$D$30</f>
        <v>4158969625.9757714</v>
      </c>
      <c r="K32" s="467">
        <f>'DF-2 Estructura'!$D$30</f>
        <v>4158969625.9757714</v>
      </c>
      <c r="L32" s="468">
        <f>'DF-2 Estructura'!$D$30</f>
        <v>4158969625.9757714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201" t="s">
        <v>763</v>
      </c>
      <c r="B33" s="467"/>
      <c r="C33" s="467">
        <f>'DF-CRes'!B13</f>
        <v>143393844.98994303</v>
      </c>
      <c r="D33" s="467">
        <f>'DF-CRes'!C13</f>
        <v>600726152.39421368</v>
      </c>
      <c r="E33" s="467">
        <f>'DF-CRes'!D13</f>
        <v>695558343.26809525</v>
      </c>
      <c r="F33" s="467">
        <f>'DF-CRes'!E13</f>
        <v>886058182.49135947</v>
      </c>
      <c r="G33" s="467">
        <f>'DF-CRes'!F13</f>
        <v>886058182.49135947</v>
      </c>
      <c r="H33" s="467">
        <f>'DF-CRes'!G13</f>
        <v>886058182.49135947</v>
      </c>
      <c r="I33" s="467">
        <f>'DF-CRes'!H13</f>
        <v>886058182.49135947</v>
      </c>
      <c r="J33" s="467">
        <f>'DF-CRes'!I13</f>
        <v>886058182.49135947</v>
      </c>
      <c r="K33" s="467">
        <f>'DF-CRes'!J13</f>
        <v>886058182.49135947</v>
      </c>
      <c r="L33" s="468">
        <f>'DF-CRes'!K13</f>
        <v>886058182.49135947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201" t="s">
        <v>764</v>
      </c>
      <c r="B34" s="467"/>
      <c r="C34" s="467"/>
      <c r="D34" s="467">
        <f t="shared" ref="D34:L34" si="12">C33+C34</f>
        <v>143393844.98994303</v>
      </c>
      <c r="E34" s="467">
        <f t="shared" si="12"/>
        <v>744119997.3841567</v>
      </c>
      <c r="F34" s="467">
        <f t="shared" si="12"/>
        <v>1439678340.652252</v>
      </c>
      <c r="G34" s="467">
        <f t="shared" si="12"/>
        <v>2325736523.1436114</v>
      </c>
      <c r="H34" s="467">
        <f t="shared" si="12"/>
        <v>3211794705.6349707</v>
      </c>
      <c r="I34" s="467">
        <f t="shared" si="12"/>
        <v>4097852888.1263304</v>
      </c>
      <c r="J34" s="467">
        <f t="shared" si="12"/>
        <v>4983911070.6176901</v>
      </c>
      <c r="K34" s="467">
        <f t="shared" si="12"/>
        <v>5869969253.1090498</v>
      </c>
      <c r="L34" s="468">
        <f t="shared" si="12"/>
        <v>6756027435.6004095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>
      <c r="A35" s="266" t="s">
        <v>765</v>
      </c>
      <c r="B35" s="475">
        <f t="shared" ref="B35:L35" si="13">B31+B30</f>
        <v>4139266269.5115871</v>
      </c>
      <c r="C35" s="475">
        <f t="shared" si="13"/>
        <v>5224525189.9156923</v>
      </c>
      <c r="D35" s="475">
        <f t="shared" si="13"/>
        <v>5875993923.0165997</v>
      </c>
      <c r="E35" s="475">
        <f t="shared" si="13"/>
        <v>6396899586.1647682</v>
      </c>
      <c r="F35" s="475">
        <f t="shared" si="13"/>
        <v>7010418143.5026379</v>
      </c>
      <c r="G35" s="475">
        <f t="shared" si="13"/>
        <v>7896476325.9939976</v>
      </c>
      <c r="H35" s="475">
        <f t="shared" si="13"/>
        <v>8782518998.8824062</v>
      </c>
      <c r="I35" s="475">
        <f t="shared" si="13"/>
        <v>9668577181.373764</v>
      </c>
      <c r="J35" s="475">
        <f t="shared" si="13"/>
        <v>10554635363.865124</v>
      </c>
      <c r="K35" s="475">
        <f t="shared" si="13"/>
        <v>11440693546.356483</v>
      </c>
      <c r="L35" s="476">
        <f t="shared" si="13"/>
        <v>12326751728.847843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C38" s="474" t="s">
        <v>792</v>
      </c>
      <c r="D38" s="460">
        <f>L34+L33</f>
        <v>7642085618.0917692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54"/>
      <c r="C39" s="8"/>
      <c r="D39" s="8"/>
      <c r="E39" s="8"/>
      <c r="F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5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5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5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5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5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5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5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5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5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5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5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5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5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5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5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5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5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5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5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5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5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topLeftCell="A9" workbookViewId="0">
      <selection activeCell="J28" sqref="J28"/>
    </sheetView>
  </sheetViews>
  <sheetFormatPr baseColWidth="10" defaultColWidth="12.5703125" defaultRowHeight="15" customHeight="1"/>
  <cols>
    <col min="1" max="1" width="16.42578125" customWidth="1"/>
    <col min="2" max="2" width="21.42578125" customWidth="1"/>
    <col min="3" max="3" width="19.140625" customWidth="1"/>
    <col min="4" max="4" width="19.5703125" customWidth="1"/>
    <col min="5" max="5" width="21" customWidth="1"/>
    <col min="6" max="6" width="19.42578125" customWidth="1"/>
    <col min="7" max="7" width="19.28515625" customWidth="1"/>
    <col min="8" max="8" width="18.7109375" customWidth="1"/>
    <col min="9" max="9" width="17.28515625" customWidth="1"/>
    <col min="10" max="10" width="19.42578125" customWidth="1"/>
    <col min="11" max="11" width="25" customWidth="1"/>
    <col min="12" max="12" width="18.42578125" customWidth="1"/>
    <col min="13" max="13" width="19" customWidth="1"/>
    <col min="14" max="14" width="21.42578125" customWidth="1"/>
    <col min="15" max="15" width="18.28515625" customWidth="1"/>
    <col min="16" max="26" width="10" customWidth="1"/>
  </cols>
  <sheetData>
    <row r="1" spans="1:26" ht="16.5" customHeight="1">
      <c r="A1" s="367" t="s">
        <v>766</v>
      </c>
      <c r="B1" s="368"/>
      <c r="C1" s="368"/>
      <c r="D1" s="368"/>
      <c r="E1" s="477"/>
      <c r="F1" s="368"/>
      <c r="G1" s="368"/>
      <c r="H1" s="368"/>
      <c r="I1" s="478"/>
      <c r="J1" s="368"/>
      <c r="K1" s="478"/>
      <c r="L1" s="368"/>
      <c r="M1" s="368"/>
      <c r="N1" s="36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6.25" customHeight="1">
      <c r="A2" s="441" t="s">
        <v>248</v>
      </c>
      <c r="B2" s="479" t="s">
        <v>228</v>
      </c>
      <c r="C2" s="479" t="s">
        <v>685</v>
      </c>
      <c r="D2" s="479" t="s">
        <v>611</v>
      </c>
      <c r="E2" s="479" t="s">
        <v>191</v>
      </c>
      <c r="F2" s="479" t="s">
        <v>612</v>
      </c>
      <c r="G2" s="479" t="s">
        <v>613</v>
      </c>
      <c r="H2" s="442" t="s">
        <v>767</v>
      </c>
      <c r="I2" s="442" t="s">
        <v>768</v>
      </c>
      <c r="J2" s="442" t="s">
        <v>615</v>
      </c>
      <c r="K2" s="442" t="s">
        <v>616</v>
      </c>
      <c r="L2" s="442" t="s">
        <v>617</v>
      </c>
      <c r="M2" s="480" t="s">
        <v>618</v>
      </c>
      <c r="N2" s="481" t="s">
        <v>619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354">
        <v>0</v>
      </c>
      <c r="B3" s="482">
        <f>'DF-2 Estructura'!B7</f>
        <v>3414634237.566637</v>
      </c>
      <c r="C3" s="483">
        <f>'DF- CFyU'!B16</f>
        <v>237223024.10647607</v>
      </c>
      <c r="D3" s="483">
        <f>'DF- CFyU'!B22</f>
        <v>766890024.95135367</v>
      </c>
      <c r="E3" s="483">
        <v>0</v>
      </c>
      <c r="F3" s="483">
        <f>'DF- CFyU'!B18</f>
        <v>0</v>
      </c>
      <c r="G3" s="483">
        <f t="shared" ref="G3:G13" si="0">SUM(B3:F3)</f>
        <v>4418747286.6244669</v>
      </c>
      <c r="H3" s="483"/>
      <c r="I3" s="483">
        <f>'DF-Cred'!G13</f>
        <v>394466539.38315153</v>
      </c>
      <c r="J3" s="483">
        <f>'DF- CFyU'!B26</f>
        <v>0</v>
      </c>
      <c r="K3" s="483"/>
      <c r="L3" s="483">
        <f t="shared" ref="L3:L13" si="1">SUM(H3:K3)</f>
        <v>394466539.38315153</v>
      </c>
      <c r="M3" s="484">
        <f t="shared" ref="M3:M14" si="2">L3-G3</f>
        <v>-4024280747.2413154</v>
      </c>
      <c r="N3" s="485">
        <f>M3</f>
        <v>-4024280747.2413154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355">
        <v>1</v>
      </c>
      <c r="B4" s="486">
        <f>'DF-2 Estructura'!C7</f>
        <v>9335324.2791182324</v>
      </c>
      <c r="C4" s="487">
        <f>'DF- CFyU'!C16</f>
        <v>593172560.0042696</v>
      </c>
      <c r="D4" s="487">
        <f>'DF- CFyU'!C22</f>
        <v>176343490.76187143</v>
      </c>
      <c r="E4" s="483">
        <v>0</v>
      </c>
      <c r="F4" s="487">
        <f>'DF- CFyU'!C18</f>
        <v>77212070.379200086</v>
      </c>
      <c r="G4" s="483">
        <f t="shared" si="0"/>
        <v>856063445.42445934</v>
      </c>
      <c r="H4" s="487">
        <f>'DF-CRes'!B10</f>
        <v>220605915.36914313</v>
      </c>
      <c r="I4" s="487">
        <f>'DF-Cred'!G17</f>
        <v>311796623.43834162</v>
      </c>
      <c r="J4" s="487">
        <f>'DF- CFyU'!C26</f>
        <v>363452069.89109373</v>
      </c>
      <c r="K4" s="487">
        <f>'DF-IVA'!C18</f>
        <v>279481017.11287975</v>
      </c>
      <c r="L4" s="483">
        <f t="shared" si="1"/>
        <v>1175335625.8114581</v>
      </c>
      <c r="M4" s="484">
        <f t="shared" si="2"/>
        <v>319272180.38699877</v>
      </c>
      <c r="N4" s="488">
        <f t="shared" ref="N4:N13" si="3">M4+N3</f>
        <v>-3705008566.8543167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355">
        <v>2</v>
      </c>
      <c r="B5" s="486"/>
      <c r="C5" s="487">
        <f>'DF- CFyU'!D16</f>
        <v>199237602.77038753</v>
      </c>
      <c r="D5" s="487">
        <f>'DF- CFyU'!D22</f>
        <v>41839896.581781365</v>
      </c>
      <c r="E5" s="483">
        <v>0</v>
      </c>
      <c r="F5" s="487">
        <f>'DF- CFyU'!D18</f>
        <v>323467928.21226883</v>
      </c>
      <c r="G5" s="483">
        <f t="shared" si="0"/>
        <v>564545427.56443775</v>
      </c>
      <c r="H5" s="487">
        <f>'DF-CRes'!C10</f>
        <v>924194080.60648251</v>
      </c>
      <c r="I5" s="487">
        <f>'DF-Cred'!G19</f>
        <v>157405518.51477697</v>
      </c>
      <c r="J5" s="487">
        <f>'DF- CFyU'!D26</f>
        <v>363452069.89109373</v>
      </c>
      <c r="K5" s="487">
        <f>'DF-IVA'!D18</f>
        <v>433027927.09935021</v>
      </c>
      <c r="L5" s="483">
        <f t="shared" si="1"/>
        <v>1878079596.1117034</v>
      </c>
      <c r="M5" s="484">
        <f t="shared" si="2"/>
        <v>1313534168.5472655</v>
      </c>
      <c r="N5" s="488">
        <f t="shared" si="3"/>
        <v>-2391474398.3070512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355">
        <v>3</v>
      </c>
      <c r="B6" s="486"/>
      <c r="C6" s="487">
        <f>'DF- CFyU'!E16</f>
        <v>-585291.42366933823</v>
      </c>
      <c r="D6" s="487"/>
      <c r="E6" s="483">
        <v>0</v>
      </c>
      <c r="F6" s="487">
        <f>'DF- CFyU'!E18</f>
        <v>374531415.60589749</v>
      </c>
      <c r="G6" s="483">
        <f t="shared" si="0"/>
        <v>373946124.18222815</v>
      </c>
      <c r="H6" s="487">
        <f>'DF-CRes'!D10</f>
        <v>1070089758.8739928</v>
      </c>
      <c r="I6" s="487">
        <f>'DF-Cred'!G21</f>
        <v>49823735.04664474</v>
      </c>
      <c r="J6" s="487">
        <f>'DF- CFyU'!E26</f>
        <v>363452069.89109373</v>
      </c>
      <c r="K6" s="487">
        <f>'DF-IVA'!E18</f>
        <v>272564468.08277655</v>
      </c>
      <c r="L6" s="483">
        <f t="shared" si="1"/>
        <v>1755930031.8945079</v>
      </c>
      <c r="M6" s="484">
        <f t="shared" si="2"/>
        <v>1381983907.7122798</v>
      </c>
      <c r="N6" s="488">
        <f t="shared" si="3"/>
        <v>-1009490490.5947714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355">
        <v>4</v>
      </c>
      <c r="B7" s="486"/>
      <c r="C7" s="487">
        <f>'DF- CFyU'!F16</f>
        <v>-24842.929286003113</v>
      </c>
      <c r="D7" s="487"/>
      <c r="E7" s="483">
        <v>0</v>
      </c>
      <c r="F7" s="487">
        <f>'DF- CFyU'!F18</f>
        <v>477108252.1107319</v>
      </c>
      <c r="G7" s="483">
        <f t="shared" si="0"/>
        <v>477083409.1814459</v>
      </c>
      <c r="H7" s="487">
        <f>'DF-CRes'!E10</f>
        <v>1363166434.6020913</v>
      </c>
      <c r="I7" s="487">
        <f>'DF-Cred'!G23</f>
        <v>49823735.04664474</v>
      </c>
      <c r="J7" s="487">
        <f>'DF- CFyU'!F26</f>
        <v>178411402.32590628</v>
      </c>
      <c r="K7" s="487">
        <f>'DF-IVA'!F18</f>
        <v>0</v>
      </c>
      <c r="L7" s="483">
        <f t="shared" si="1"/>
        <v>1591401571.9746423</v>
      </c>
      <c r="M7" s="484">
        <f t="shared" si="2"/>
        <v>1114318162.7931964</v>
      </c>
      <c r="N7" s="488">
        <f t="shared" si="3"/>
        <v>104827672.19842505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355">
        <v>5</v>
      </c>
      <c r="B8" s="486"/>
      <c r="C8" s="487">
        <f>'DF- CFyU'!G16</f>
        <v>0</v>
      </c>
      <c r="D8" s="487"/>
      <c r="E8" s="483">
        <v>0</v>
      </c>
      <c r="F8" s="487">
        <f>'DF- CFyU'!G18</f>
        <v>477108252.1107319</v>
      </c>
      <c r="G8" s="483">
        <f t="shared" si="0"/>
        <v>477108252.1107319</v>
      </c>
      <c r="H8" s="487">
        <f>'DF-CRes'!F10</f>
        <v>1363166434.6020913</v>
      </c>
      <c r="I8" s="487">
        <f>'DF-Cred'!G25</f>
        <v>49823735.04664474</v>
      </c>
      <c r="J8" s="487">
        <f>'DF- CFyU'!G26</f>
        <v>178411402.32590628</v>
      </c>
      <c r="K8" s="487"/>
      <c r="L8" s="483">
        <f t="shared" si="1"/>
        <v>1591401571.9746423</v>
      </c>
      <c r="M8" s="484">
        <f t="shared" si="2"/>
        <v>1114293319.8639104</v>
      </c>
      <c r="N8" s="488">
        <f t="shared" si="3"/>
        <v>1219120992.0623355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355">
        <v>6</v>
      </c>
      <c r="B9" s="486"/>
      <c r="C9" s="487">
        <f>'DF- CFyU'!H16</f>
        <v>15509.602952122688</v>
      </c>
      <c r="D9" s="487"/>
      <c r="E9" s="483">
        <v>0</v>
      </c>
      <c r="F9" s="487">
        <f>'DF- CFyU'!H18</f>
        <v>477108252.1107319</v>
      </c>
      <c r="G9" s="483">
        <f t="shared" si="0"/>
        <v>477123761.71368402</v>
      </c>
      <c r="H9" s="487">
        <f>'DF-CRes'!G10</f>
        <v>1363166434.6020913</v>
      </c>
      <c r="I9" s="487">
        <f>'DF-Cred'!G27</f>
        <v>49823735.04664474</v>
      </c>
      <c r="J9" s="487">
        <f>'DF- CFyU'!H26</f>
        <v>8581250</v>
      </c>
      <c r="K9" s="487"/>
      <c r="L9" s="483">
        <f t="shared" si="1"/>
        <v>1421571419.648736</v>
      </c>
      <c r="M9" s="484">
        <f t="shared" si="2"/>
        <v>944447657.93505192</v>
      </c>
      <c r="N9" s="488">
        <f t="shared" si="3"/>
        <v>2163568649.9973874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355">
        <v>7</v>
      </c>
      <c r="B10" s="486"/>
      <c r="C10" s="487">
        <f>'DF- CFyU'!I16</f>
        <v>0</v>
      </c>
      <c r="D10" s="487"/>
      <c r="E10" s="483">
        <v>0</v>
      </c>
      <c r="F10" s="487">
        <f>'DF- CFyU'!I18</f>
        <v>477108252.1107319</v>
      </c>
      <c r="G10" s="483">
        <f t="shared" si="0"/>
        <v>477108252.1107319</v>
      </c>
      <c r="H10" s="487">
        <f>'DF-CRes'!H10</f>
        <v>1363166434.6020913</v>
      </c>
      <c r="I10" s="487">
        <f>'DF-Cred'!G29</f>
        <v>49823735.04664474</v>
      </c>
      <c r="J10" s="487">
        <f>'DF- CFyU'!I26</f>
        <v>8581250</v>
      </c>
      <c r="K10" s="487"/>
      <c r="L10" s="483">
        <f t="shared" si="1"/>
        <v>1421571419.648736</v>
      </c>
      <c r="M10" s="484">
        <f t="shared" si="2"/>
        <v>944463167.53800416</v>
      </c>
      <c r="N10" s="488">
        <f t="shared" si="3"/>
        <v>3108031817.5353918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355">
        <v>8</v>
      </c>
      <c r="B11" s="486"/>
      <c r="C11" s="487">
        <f>'DF- CFyU'!J16</f>
        <v>0</v>
      </c>
      <c r="D11" s="487"/>
      <c r="E11" s="483">
        <v>0</v>
      </c>
      <c r="F11" s="487">
        <f>'DF- CFyU'!J18</f>
        <v>477108252.1107319</v>
      </c>
      <c r="G11" s="483">
        <f t="shared" si="0"/>
        <v>477108252.1107319</v>
      </c>
      <c r="H11" s="487">
        <f>'DF-CRes'!I10</f>
        <v>1363166434.6020913</v>
      </c>
      <c r="I11" s="487">
        <f>'DF-Cred'!G31</f>
        <v>49823735.04664474</v>
      </c>
      <c r="J11" s="487">
        <f>'DF- CFyU'!J26</f>
        <v>8581250</v>
      </c>
      <c r="K11" s="487"/>
      <c r="L11" s="483">
        <f t="shared" si="1"/>
        <v>1421571419.648736</v>
      </c>
      <c r="M11" s="484">
        <f t="shared" si="2"/>
        <v>944463167.53800416</v>
      </c>
      <c r="N11" s="488">
        <f t="shared" si="3"/>
        <v>4052494985.0733957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355">
        <v>9</v>
      </c>
      <c r="B12" s="486"/>
      <c r="C12" s="487">
        <f>'DF- CFyU'!K16</f>
        <v>0</v>
      </c>
      <c r="D12" s="487"/>
      <c r="E12" s="483">
        <v>0</v>
      </c>
      <c r="F12" s="487">
        <f>'DF- CFyU'!K18</f>
        <v>477108252.1107319</v>
      </c>
      <c r="G12" s="483">
        <f t="shared" si="0"/>
        <v>477108252.1107319</v>
      </c>
      <c r="H12" s="487">
        <f>'DF-CRes'!J10</f>
        <v>1363166434.6020913</v>
      </c>
      <c r="I12" s="487">
        <f>'DF-Cred'!G33</f>
        <v>49823735.04664474</v>
      </c>
      <c r="J12" s="487">
        <f>'DF- CFyU'!K26</f>
        <v>8581250</v>
      </c>
      <c r="K12" s="487"/>
      <c r="L12" s="483">
        <f t="shared" si="1"/>
        <v>1421571419.648736</v>
      </c>
      <c r="M12" s="484">
        <f t="shared" si="2"/>
        <v>944463167.53800416</v>
      </c>
      <c r="N12" s="488">
        <f t="shared" si="3"/>
        <v>4996958152.6113997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355">
        <v>10</v>
      </c>
      <c r="B13" s="486">
        <f>-'DF- CFyU'!C34</f>
        <v>-1933884297.5206614</v>
      </c>
      <c r="C13" s="487">
        <f>'DF- CFyU'!L16-'DF- CFyU'!M16</f>
        <v>-1029038562.13113</v>
      </c>
      <c r="D13" s="487"/>
      <c r="E13" s="483">
        <v>0</v>
      </c>
      <c r="F13" s="487">
        <f>'DF- CFyU'!L18</f>
        <v>477108252.1107319</v>
      </c>
      <c r="G13" s="483">
        <f t="shared" si="0"/>
        <v>-2485814607.5410595</v>
      </c>
      <c r="H13" s="487">
        <f>'DF-CRes'!K10</f>
        <v>1363166434.6020913</v>
      </c>
      <c r="I13" s="487">
        <f>'DF-Cred'!G35</f>
        <v>49823735.04664474</v>
      </c>
      <c r="J13" s="487">
        <f>'DF- CFyU'!L26</f>
        <v>8581250</v>
      </c>
      <c r="K13" s="487"/>
      <c r="L13" s="483">
        <f t="shared" si="1"/>
        <v>1421571419.648736</v>
      </c>
      <c r="M13" s="484">
        <f t="shared" si="2"/>
        <v>3907386027.1897955</v>
      </c>
      <c r="N13" s="488">
        <f t="shared" si="3"/>
        <v>8904344179.8011951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355"/>
      <c r="B14" s="486"/>
      <c r="C14" s="487"/>
      <c r="D14" s="487"/>
      <c r="E14" s="483"/>
      <c r="F14" s="487"/>
      <c r="G14" s="487"/>
      <c r="H14" s="487"/>
      <c r="I14" s="487"/>
      <c r="J14" s="487"/>
      <c r="K14" s="487"/>
      <c r="L14" s="487"/>
      <c r="M14" s="484">
        <f t="shared" si="2"/>
        <v>0</v>
      </c>
      <c r="N14" s="48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>
      <c r="A15" s="356" t="s">
        <v>620</v>
      </c>
      <c r="B15" s="489">
        <f t="shared" ref="B15:M15" si="4">SUM(B3:B13)</f>
        <v>1490085264.3250937</v>
      </c>
      <c r="C15" s="490">
        <f t="shared" si="4"/>
        <v>0</v>
      </c>
      <c r="D15" s="529">
        <f t="shared" si="4"/>
        <v>985073412.29500651</v>
      </c>
      <c r="E15" s="490">
        <f t="shared" si="4"/>
        <v>0</v>
      </c>
      <c r="F15" s="490">
        <f t="shared" si="4"/>
        <v>4114969178.9724903</v>
      </c>
      <c r="G15" s="490">
        <f t="shared" si="4"/>
        <v>6590127855.5925903</v>
      </c>
      <c r="H15" s="490">
        <f t="shared" si="4"/>
        <v>11757054797.064255</v>
      </c>
      <c r="I15" s="490">
        <f t="shared" si="4"/>
        <v>1262258561.7094276</v>
      </c>
      <c r="J15" s="489">
        <f t="shared" si="4"/>
        <v>1490085264.3250937</v>
      </c>
      <c r="K15" s="529">
        <f t="shared" si="4"/>
        <v>985073412.29500651</v>
      </c>
      <c r="L15" s="490">
        <f t="shared" si="4"/>
        <v>15494472035.39378</v>
      </c>
      <c r="M15" s="490">
        <f>SUM(M3:M13)</f>
        <v>8904344179.8011951</v>
      </c>
      <c r="N15" s="491"/>
      <c r="O15" s="37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8"/>
      <c r="C17" s="37" t="s">
        <v>621</v>
      </c>
      <c r="D17" s="316">
        <f>N13</f>
        <v>8904344179.8011951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54"/>
      <c r="B18" s="8"/>
      <c r="C18" s="37" t="s">
        <v>622</v>
      </c>
      <c r="D18" s="492">
        <v>4</v>
      </c>
      <c r="E18" s="361" t="s">
        <v>769</v>
      </c>
      <c r="F18" s="493">
        <f>ROUNDUP((-N6/M7)*365,0)</f>
        <v>331</v>
      </c>
      <c r="G18" s="8"/>
      <c r="H18" s="8" t="s">
        <v>770</v>
      </c>
      <c r="I18" s="8"/>
      <c r="J18" s="386">
        <f>'DF-CRes'!L10+'DF-Cred'!D37-'DF-CRes'!L12</f>
        <v>8893395452.8351383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8"/>
      <c r="C19" s="37" t="s">
        <v>771</v>
      </c>
      <c r="D19" s="494">
        <f>IRR(M3:M13)</f>
        <v>0.23281088251198079</v>
      </c>
      <c r="F19" s="8"/>
      <c r="G19" s="8"/>
      <c r="H19" s="519" t="s">
        <v>793</v>
      </c>
      <c r="I19" s="495">
        <f>J18-'DF-Cred'!D37</f>
        <v>7642085618.0917664</v>
      </c>
      <c r="J19" s="520" t="s">
        <v>794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92"/>
      <c r="B20" s="284"/>
      <c r="C20" s="284"/>
      <c r="D20" s="284"/>
      <c r="E20" s="284"/>
      <c r="F20" s="363"/>
      <c r="G20" s="363"/>
      <c r="H20" s="363"/>
      <c r="I20" s="363"/>
      <c r="J20" s="284"/>
      <c r="K20" s="363"/>
      <c r="L20" s="363"/>
      <c r="M20" s="363"/>
      <c r="N20" s="363"/>
      <c r="O20" s="284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364"/>
      <c r="B21" s="363"/>
      <c r="C21" s="317"/>
      <c r="D21" s="8"/>
      <c r="E21" s="8"/>
      <c r="F21" s="363"/>
      <c r="G21" s="363"/>
      <c r="H21" s="363"/>
      <c r="I21" s="363"/>
      <c r="J21" s="363"/>
      <c r="K21" s="363"/>
      <c r="L21" s="363"/>
      <c r="M21" s="363"/>
      <c r="N21" s="36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8"/>
      <c r="C22" s="8"/>
      <c r="D22" s="8"/>
      <c r="E22" s="8"/>
      <c r="F22" s="363"/>
      <c r="G22" s="8"/>
      <c r="H22" s="8"/>
      <c r="I22" s="8"/>
      <c r="J22" s="52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>
      <c r="A23" s="351"/>
      <c r="B23" s="8"/>
      <c r="C23" s="8"/>
      <c r="D23" s="8"/>
      <c r="E23" s="446"/>
      <c r="F23" s="8"/>
      <c r="G23" s="8"/>
      <c r="H23" s="8"/>
      <c r="I23" s="8"/>
      <c r="J23" s="52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.5" customHeight="1">
      <c r="A24" s="367" t="s">
        <v>772</v>
      </c>
      <c r="B24" s="368"/>
      <c r="C24" s="368"/>
      <c r="D24" s="368"/>
      <c r="E24" s="368"/>
      <c r="F24" s="368"/>
      <c r="G24" s="368"/>
      <c r="H24" s="36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9" customHeight="1">
      <c r="A25" s="441" t="s">
        <v>248</v>
      </c>
      <c r="B25" s="442" t="s">
        <v>773</v>
      </c>
      <c r="C25" s="442" t="s">
        <v>613</v>
      </c>
      <c r="D25" s="442" t="s">
        <v>728</v>
      </c>
      <c r="E25" s="442" t="s">
        <v>774</v>
      </c>
      <c r="F25" s="442" t="s">
        <v>617</v>
      </c>
      <c r="G25" s="496" t="s">
        <v>618</v>
      </c>
      <c r="H25" s="497" t="s">
        <v>619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>
      <c r="A26" s="354">
        <v>0</v>
      </c>
      <c r="B26" s="342">
        <f>'DF-2 Estructura'!B30</f>
        <v>3558093018.8794088</v>
      </c>
      <c r="C26" s="274">
        <f t="shared" ref="C26:C36" si="5">B26</f>
        <v>3558093018.8794088</v>
      </c>
      <c r="D26" s="274">
        <v>0</v>
      </c>
      <c r="E26" s="274">
        <f>'DF- CFyU'!B29</f>
        <v>0</v>
      </c>
      <c r="F26" s="274">
        <f t="shared" ref="F26" si="6">D26+E26</f>
        <v>0</v>
      </c>
      <c r="G26" s="329">
        <f t="shared" ref="G26:G36" si="7">F26-C26</f>
        <v>-3558093018.8794088</v>
      </c>
      <c r="H26" s="275">
        <f>G26</f>
        <v>-3558093018.8794088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355">
        <v>1</v>
      </c>
      <c r="B27" s="344">
        <f>'DF-2 Estructura'!C30</f>
        <v>600876607.09636259</v>
      </c>
      <c r="C27" s="274">
        <f t="shared" si="5"/>
        <v>600876607.09636259</v>
      </c>
      <c r="D27" s="274">
        <v>0</v>
      </c>
      <c r="E27" s="228">
        <f>'DF- CFyU'!C29</f>
        <v>736665200.18537378</v>
      </c>
      <c r="F27" s="274">
        <f>D27+E27</f>
        <v>736665200.18537378</v>
      </c>
      <c r="G27" s="329">
        <f t="shared" si="7"/>
        <v>135788593.08901119</v>
      </c>
      <c r="H27" s="247">
        <f t="shared" ref="H27:H36" si="8">G27+H26</f>
        <v>-3422304425.7903976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355">
        <v>2</v>
      </c>
      <c r="B28" s="344"/>
      <c r="C28" s="274">
        <f t="shared" si="5"/>
        <v>0</v>
      </c>
      <c r="D28" s="274">
        <v>0</v>
      </c>
      <c r="E28" s="228">
        <f>'DF- CFyU'!D29</f>
        <v>869243894.11746979</v>
      </c>
      <c r="F28" s="274">
        <f>D28+E28</f>
        <v>869243894.11746979</v>
      </c>
      <c r="G28" s="329">
        <f t="shared" si="7"/>
        <v>869243894.11746979</v>
      </c>
      <c r="H28" s="247">
        <f t="shared" si="8"/>
        <v>-2553060531.6729279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355">
        <v>3</v>
      </c>
      <c r="B29" s="344"/>
      <c r="C29" s="274">
        <f t="shared" si="5"/>
        <v>0</v>
      </c>
      <c r="D29" s="274">
        <v>0</v>
      </c>
      <c r="E29" s="228">
        <f>'DF- CFyU'!E29</f>
        <v>1045275416.7506151</v>
      </c>
      <c r="F29" s="274">
        <f>D29+E29</f>
        <v>1045275416.7506151</v>
      </c>
      <c r="G29" s="329">
        <f t="shared" si="7"/>
        <v>1045275416.7506151</v>
      </c>
      <c r="H29" s="247">
        <f t="shared" si="8"/>
        <v>-1507785114.9223127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355">
        <v>4</v>
      </c>
      <c r="B30" s="344"/>
      <c r="C30" s="274">
        <f t="shared" si="5"/>
        <v>0</v>
      </c>
      <c r="D30" s="274">
        <v>0</v>
      </c>
      <c r="E30" s="228">
        <f>'DF- CFyU'!F29</f>
        <v>1064494427.7465525</v>
      </c>
      <c r="F30" s="274">
        <f t="shared" ref="F30:F36" si="9">D30+E30</f>
        <v>1064494427.7465525</v>
      </c>
      <c r="G30" s="329">
        <f t="shared" si="7"/>
        <v>1064494427.7465525</v>
      </c>
      <c r="H30" s="247">
        <f t="shared" si="8"/>
        <v>-443290687.17576027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355">
        <v>5</v>
      </c>
      <c r="B31" s="344"/>
      <c r="C31" s="274">
        <f t="shared" si="5"/>
        <v>0</v>
      </c>
      <c r="D31" s="274">
        <v>0</v>
      </c>
      <c r="E31" s="228">
        <f>'DF- CFyU'!G29</f>
        <v>1064469584.817266</v>
      </c>
      <c r="F31" s="274">
        <f t="shared" si="9"/>
        <v>1064469584.817266</v>
      </c>
      <c r="G31" s="329">
        <f t="shared" si="7"/>
        <v>1064469584.817266</v>
      </c>
      <c r="H31" s="247">
        <f>G31+H30</f>
        <v>621178897.64150572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355">
        <v>6</v>
      </c>
      <c r="B32" s="344"/>
      <c r="C32" s="274">
        <f t="shared" si="5"/>
        <v>0</v>
      </c>
      <c r="D32" s="274">
        <v>0</v>
      </c>
      <c r="E32" s="228">
        <f>'DF- CFyU'!H29</f>
        <v>894623922.88840771</v>
      </c>
      <c r="F32" s="274">
        <f t="shared" si="9"/>
        <v>894623922.88840771</v>
      </c>
      <c r="G32" s="329">
        <f t="shared" si="7"/>
        <v>894623922.88840771</v>
      </c>
      <c r="H32" s="247">
        <f t="shared" si="8"/>
        <v>1515802820.5299134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355">
        <v>7</v>
      </c>
      <c r="B33" s="344"/>
      <c r="C33" s="274">
        <f t="shared" si="5"/>
        <v>0</v>
      </c>
      <c r="D33" s="274">
        <v>0</v>
      </c>
      <c r="E33" s="228">
        <f>'DF- CFyU'!I29</f>
        <v>894639432.49135876</v>
      </c>
      <c r="F33" s="274">
        <f t="shared" si="9"/>
        <v>894639432.49135876</v>
      </c>
      <c r="G33" s="329">
        <f t="shared" si="7"/>
        <v>894639432.49135876</v>
      </c>
      <c r="H33" s="247">
        <f t="shared" si="8"/>
        <v>2410442253.0212722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355">
        <v>8</v>
      </c>
      <c r="B34" s="344"/>
      <c r="C34" s="274">
        <f t="shared" si="5"/>
        <v>0</v>
      </c>
      <c r="D34" s="274">
        <v>0</v>
      </c>
      <c r="E34" s="228">
        <f>'DF- CFyU'!J29</f>
        <v>894639432.49135971</v>
      </c>
      <c r="F34" s="274">
        <f t="shared" si="9"/>
        <v>894639432.49135971</v>
      </c>
      <c r="G34" s="329">
        <f t="shared" si="7"/>
        <v>894639432.49135971</v>
      </c>
      <c r="H34" s="247">
        <f t="shared" si="8"/>
        <v>3305081685.5126319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355">
        <v>9</v>
      </c>
      <c r="B35" s="344"/>
      <c r="C35" s="274">
        <f t="shared" si="5"/>
        <v>0</v>
      </c>
      <c r="D35" s="274">
        <v>0</v>
      </c>
      <c r="E35" s="228">
        <f>'DF- CFyU'!K29</f>
        <v>894639432.49135971</v>
      </c>
      <c r="F35" s="274">
        <f t="shared" si="9"/>
        <v>894639432.49135971</v>
      </c>
      <c r="G35" s="329">
        <f t="shared" si="7"/>
        <v>894639432.49135971</v>
      </c>
      <c r="H35" s="247">
        <f t="shared" si="8"/>
        <v>4199721118.0039916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355">
        <v>10</v>
      </c>
      <c r="B36" s="524">
        <f>-(-B13-C13-'DF- CFyU'!M8)</f>
        <v>-2547725067.5964189</v>
      </c>
      <c r="C36" s="274">
        <f t="shared" si="5"/>
        <v>-2547725067.5964189</v>
      </c>
      <c r="D36" s="274">
        <v>0</v>
      </c>
      <c r="E36" s="228">
        <f>'DF- CFyU'!L29</f>
        <v>894639432.49135971</v>
      </c>
      <c r="F36" s="274">
        <f t="shared" si="9"/>
        <v>894639432.49135971</v>
      </c>
      <c r="G36" s="329">
        <f t="shared" si="7"/>
        <v>3442364500.0877786</v>
      </c>
      <c r="H36" s="525">
        <f t="shared" si="8"/>
        <v>7642085618.0917702</v>
      </c>
      <c r="I36" s="527" t="s">
        <v>796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355"/>
      <c r="B37" s="344"/>
      <c r="C37" s="228"/>
      <c r="D37" s="274">
        <v>0</v>
      </c>
      <c r="E37" s="228"/>
      <c r="F37" s="228"/>
      <c r="G37" s="331"/>
      <c r="H37" s="24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>
      <c r="A38" s="356" t="s">
        <v>620</v>
      </c>
      <c r="B38" s="348">
        <f t="shared" ref="B38:G38" si="10">SUM(B26:B36)</f>
        <v>1611244558.3793526</v>
      </c>
      <c r="C38" s="348">
        <f t="shared" si="10"/>
        <v>1611244558.3793526</v>
      </c>
      <c r="D38" s="348">
        <f t="shared" si="10"/>
        <v>0</v>
      </c>
      <c r="E38" s="348">
        <f t="shared" si="10"/>
        <v>9253330176.4711227</v>
      </c>
      <c r="F38" s="348">
        <f t="shared" si="10"/>
        <v>9253330176.4711227</v>
      </c>
      <c r="G38" s="348">
        <f t="shared" si="10"/>
        <v>7642085618.0917702</v>
      </c>
      <c r="H38" s="34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37" t="s">
        <v>621</v>
      </c>
      <c r="D41" s="498">
        <f>H36</f>
        <v>7642085618.0917702</v>
      </c>
      <c r="E41" s="8" t="s">
        <v>775</v>
      </c>
      <c r="F41" s="499"/>
      <c r="G41" s="8"/>
      <c r="H41" s="8"/>
      <c r="I41" s="8"/>
      <c r="J41" s="8"/>
      <c r="K41" s="8"/>
      <c r="L41" s="655"/>
      <c r="M41" s="655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37" t="s">
        <v>622</v>
      </c>
      <c r="D42" s="25">
        <v>5</v>
      </c>
      <c r="E42" s="361" t="s">
        <v>769</v>
      </c>
      <c r="F42" s="493">
        <f>ROUNDUP((-H30/G31)*365,0)</f>
        <v>153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37" t="s">
        <v>776</v>
      </c>
      <c r="D43" s="494">
        <f>IRR(G26:G36)</f>
        <v>0.21214908989024206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37"/>
      <c r="D44" s="29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37" t="s">
        <v>797</v>
      </c>
      <c r="B45" s="296">
        <f>'DF- CFyU'!C34</f>
        <v>1933884297.5206614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37" t="s">
        <v>798</v>
      </c>
      <c r="B46" s="296">
        <f>-C13</f>
        <v>1029038562.13113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522" t="s">
        <v>799</v>
      </c>
      <c r="B47" s="296">
        <f>'DF- CFyU'!M8</f>
        <v>415197792.05537283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 t="s">
        <v>777</v>
      </c>
      <c r="B48" s="472" t="s">
        <v>778</v>
      </c>
      <c r="D48" s="37" t="s">
        <v>795</v>
      </c>
      <c r="E48" s="521">
        <f>D43/D19</f>
        <v>0.91125074395662997</v>
      </c>
      <c r="F48" s="8" t="s">
        <v>806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522" t="s">
        <v>800</v>
      </c>
      <c r="B49" s="523">
        <f>B45+B46-B47</f>
        <v>2547725067.5964189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45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29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29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L41:M41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K992"/>
  <sheetViews>
    <sheetView workbookViewId="0">
      <selection activeCell="K11" sqref="K11"/>
    </sheetView>
  </sheetViews>
  <sheetFormatPr baseColWidth="10" defaultColWidth="12.5703125" defaultRowHeight="15" customHeight="1"/>
  <cols>
    <col min="1" max="5" width="10.5703125" customWidth="1"/>
    <col min="6" max="6" width="28" customWidth="1"/>
    <col min="7" max="7" width="14.28515625" customWidth="1"/>
    <col min="8" max="8" width="19.85546875" customWidth="1"/>
    <col min="9" max="10" width="14.140625" customWidth="1"/>
    <col min="11" max="26" width="10.5703125" customWidth="1"/>
  </cols>
  <sheetData>
    <row r="1" spans="2:11" ht="12.75" customHeight="1"/>
    <row r="2" spans="2:11" ht="12.75" customHeight="1">
      <c r="H2" s="500" t="s">
        <v>779</v>
      </c>
      <c r="I2" s="17"/>
    </row>
    <row r="3" spans="2:11" ht="12.75" customHeight="1">
      <c r="F3" s="501" t="s">
        <v>804</v>
      </c>
      <c r="G3" s="36">
        <f>InfoInicial!B17</f>
        <v>5000</v>
      </c>
      <c r="H3" s="36">
        <v>12003</v>
      </c>
      <c r="I3" s="503">
        <f>(H3*1/G3)-1</f>
        <v>1.4005999999999998</v>
      </c>
      <c r="J3" s="530" t="s">
        <v>780</v>
      </c>
    </row>
    <row r="4" spans="2:11" ht="12.75" customHeight="1">
      <c r="F4" s="501" t="s">
        <v>805</v>
      </c>
      <c r="G4" s="502">
        <f>InfoInicial!B18</f>
        <v>450</v>
      </c>
      <c r="H4" s="502">
        <v>834</v>
      </c>
      <c r="I4" s="503">
        <f>(H4*1/G4)-1</f>
        <v>0.85333333333333328</v>
      </c>
      <c r="J4" s="530" t="s">
        <v>780</v>
      </c>
    </row>
    <row r="5" spans="2:11" ht="12.75" customHeight="1"/>
    <row r="6" spans="2:11" ht="12.75" customHeight="1">
      <c r="F6" s="17"/>
      <c r="H6" s="504"/>
    </row>
    <row r="7" spans="2:11" ht="12.75" customHeight="1">
      <c r="F7" s="511" t="s">
        <v>781</v>
      </c>
      <c r="G7" s="512" t="s">
        <v>782</v>
      </c>
      <c r="H7" s="513" t="s">
        <v>783</v>
      </c>
      <c r="I7" s="512" t="s">
        <v>784</v>
      </c>
      <c r="J7" s="514" t="s">
        <v>785</v>
      </c>
      <c r="K7" s="515" t="s">
        <v>786</v>
      </c>
    </row>
    <row r="8" spans="2:11" ht="12.75" customHeight="1">
      <c r="F8" s="516"/>
      <c r="G8" s="517"/>
      <c r="H8" s="517" t="s">
        <v>787</v>
      </c>
      <c r="I8" s="517"/>
      <c r="J8" s="517"/>
      <c r="K8" s="518" t="s">
        <v>787</v>
      </c>
    </row>
    <row r="9" spans="2:11" ht="12.75" customHeight="1">
      <c r="F9" s="17"/>
    </row>
    <row r="10" spans="2:11" ht="12.75" customHeight="1">
      <c r="J10" s="505"/>
    </row>
    <row r="11" spans="2:11" ht="12.75" customHeight="1">
      <c r="J11" s="504"/>
    </row>
    <row r="12" spans="2:11" ht="12.75" customHeight="1">
      <c r="B12" s="504" t="s">
        <v>788</v>
      </c>
      <c r="C12" s="506">
        <f>'DF-Cred'!H17</f>
        <v>0.55067813078198602</v>
      </c>
      <c r="D12" s="504" t="s">
        <v>789</v>
      </c>
      <c r="G12" s="528" t="s">
        <v>801</v>
      </c>
      <c r="H12" s="507">
        <f>'DF-Balance'!B24+'DF-Balance'!C24</f>
        <v>9363791459.4272804</v>
      </c>
    </row>
    <row r="13" spans="2:11" ht="12.75" customHeight="1">
      <c r="B13" s="504" t="s">
        <v>790</v>
      </c>
      <c r="C13" s="506">
        <v>0.6</v>
      </c>
      <c r="G13" s="528" t="s">
        <v>802</v>
      </c>
      <c r="H13" s="507">
        <f>'DF-Balance'!B30+'DF-Balance'!C30</f>
        <v>988967303.88541138</v>
      </c>
    </row>
    <row r="14" spans="2:11" ht="12.75" customHeight="1">
      <c r="B14" s="504" t="s">
        <v>791</v>
      </c>
      <c r="C14" s="506">
        <f>C12*(H13/H12)+C13*(H14/H12)</f>
        <v>0.5947908156397459</v>
      </c>
      <c r="G14" s="528" t="s">
        <v>803</v>
      </c>
      <c r="H14" s="507">
        <f>'DF-Balance'!B31+'DF-Balance'!C31</f>
        <v>8374824155.5418682</v>
      </c>
    </row>
    <row r="15" spans="2:11" ht="12.75" customHeight="1"/>
    <row r="16" spans="2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B4:G7"/>
  <sheetViews>
    <sheetView topLeftCell="A7" workbookViewId="0"/>
  </sheetViews>
  <sheetFormatPr baseColWidth="10" defaultColWidth="12.5703125" defaultRowHeight="15" customHeight="1"/>
  <sheetData>
    <row r="4" spans="2:7">
      <c r="B4" s="17" t="s">
        <v>781</v>
      </c>
      <c r="C4" s="508" t="s">
        <v>782</v>
      </c>
      <c r="D4" s="509" t="s">
        <v>783</v>
      </c>
      <c r="E4" s="508" t="s">
        <v>784</v>
      </c>
      <c r="F4" s="505" t="s">
        <v>785</v>
      </c>
      <c r="G4" s="509" t="s">
        <v>786</v>
      </c>
    </row>
    <row r="5" spans="2:7">
      <c r="B5" s="17"/>
      <c r="D5" s="504" t="s">
        <v>787</v>
      </c>
      <c r="G5" s="504" t="s">
        <v>787</v>
      </c>
    </row>
    <row r="6" spans="2:7">
      <c r="B6" s="17"/>
      <c r="C6" s="510"/>
      <c r="D6" s="504"/>
      <c r="E6" s="510"/>
      <c r="F6" s="505"/>
      <c r="G6" s="504"/>
    </row>
    <row r="7" spans="2:7">
      <c r="B7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Carátula</vt:lpstr>
      <vt:lpstr>Ejercicio 1</vt:lpstr>
      <vt:lpstr>Ejercicio 2 </vt:lpstr>
      <vt:lpstr>Ejercicio 3</vt:lpstr>
      <vt:lpstr>Ejercicio 4 y 5</vt:lpstr>
      <vt:lpstr>Ejercicio 6</vt:lpstr>
      <vt:lpstr>Ejercicio 7 y 8</vt:lpstr>
      <vt:lpstr>Ejercicio 9</vt:lpstr>
      <vt:lpstr>Ejercicio 10</vt:lpstr>
      <vt:lpstr>Ejercicio 11</vt:lpstr>
      <vt:lpstr>InfoInicial</vt:lpstr>
      <vt:lpstr>Materia Prima</vt:lpstr>
      <vt:lpstr>Materiales área producción</vt:lpstr>
      <vt:lpstr>Gastos Merc en curso y SE</vt:lpstr>
      <vt:lpstr>Seguros</vt:lpstr>
      <vt:lpstr>Tasas e Impuestos</vt:lpstr>
      <vt:lpstr>DE-Inv AF y Am</vt:lpstr>
      <vt:lpstr>DE-Costos</vt:lpstr>
      <vt:lpstr>DE-InvAT</vt:lpstr>
      <vt:lpstr>DE-Cal Inv.</vt:lpstr>
      <vt:lpstr>DE-IVA </vt:lpstr>
      <vt:lpstr>DE-Form</vt:lpstr>
      <vt:lpstr>DF-2 Estructura</vt:lpstr>
      <vt:lpstr>DF-Cred</vt:lpstr>
      <vt:lpstr>DF-CRes</vt:lpstr>
      <vt:lpstr>DF-IVA</vt:lpstr>
      <vt:lpstr>DF- CFyU</vt:lpstr>
      <vt:lpstr>DF-Balance</vt:lpstr>
      <vt:lpstr>DF- Form</vt:lpstr>
      <vt:lpstr>Sensibilidad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Berenguer,Cabeza, Martinez Iraci</dc:creator>
  <cp:lastModifiedBy>Santiiago Greco</cp:lastModifiedBy>
  <dcterms:created xsi:type="dcterms:W3CDTF">2004-09-01T03:31:20Z</dcterms:created>
  <dcterms:modified xsi:type="dcterms:W3CDTF">2024-11-19T04:31:44Z</dcterms:modified>
</cp:coreProperties>
</file>