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anti\Trabajo CABA\Trabajo de predicción turismo receptivo CABA\Subido\"/>
    </mc:Choice>
  </mc:AlternateContent>
  <xr:revisionPtr revIDLastSave="0" documentId="13_ncr:1_{6608EC78-3082-44E0-B1B6-1E7F877FAB02}" xr6:coauthVersionLast="45" xr6:coauthVersionMax="45" xr10:uidLastSave="{00000000-0000-0000-0000-000000000000}"/>
  <bookViews>
    <workbookView xWindow="-108" yWindow="-108" windowWidth="23256" windowHeight="13896" tabRatio="836" xr2:uid="{00000000-000D-0000-FFFF-FFFF00000000}"/>
  </bookViews>
  <sheets>
    <sheet name="Data" sheetId="8" r:id="rId1"/>
    <sheet name="Cuadro comparativo" sheetId="21" r:id="rId2"/>
    <sheet name="Exponential Triple Smoothin FK" sheetId="19" r:id="rId3"/>
    <sheet name="Exponential Triple Smoothing OR" sheetId="16" r:id="rId4"/>
    <sheet name="Single Exponential Smoothing P." sheetId="13" r:id="rId5"/>
    <sheet name="Single Exponential Smoothing" sheetId="3" r:id="rId6"/>
    <sheet name="Simple Linear Regression Predic" sheetId="17" r:id="rId7"/>
    <sheet name="Simple Linear Regression" sheetId="7" r:id="rId8"/>
    <sheet name="Decomposition" sheetId="1" r:id="rId9"/>
    <sheet name="Differencing" sheetId="4" r:id="rId10"/>
    <sheet name="No-Change Models" sheetId="5" r:id="rId11"/>
    <sheet name="Moving average models" sheetId="2" r:id="rId12"/>
    <sheet name="Data_sin_pandemia" sheetId="20" r:id="rId13"/>
  </sheets>
  <calcPr calcId="191029"/>
</workbook>
</file>

<file path=xl/calcChain.xml><?xml version="1.0" encoding="utf-8"?>
<calcChain xmlns="http://schemas.openxmlformats.org/spreadsheetml/2006/main">
  <c r="C106" i="17" l="1"/>
  <c r="F125" i="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23" i="17"/>
  <c r="S98" i="17"/>
  <c r="S99" i="17"/>
  <c r="S100" i="17"/>
  <c r="S101" i="17"/>
  <c r="S102" i="17"/>
  <c r="S103" i="17"/>
  <c r="S104" i="17"/>
  <c r="S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54" i="17"/>
  <c r="S55" i="17"/>
  <c r="S56" i="17"/>
  <c r="S57" i="17"/>
  <c r="S58" i="17"/>
  <c r="S59" i="17"/>
  <c r="S60" i="17"/>
  <c r="S61" i="17"/>
  <c r="S62" i="17"/>
  <c r="S63" i="17"/>
  <c r="S64" i="17"/>
  <c r="S53" i="17"/>
  <c r="BC68" i="17"/>
  <c r="U106" i="17"/>
  <c r="U111" i="17"/>
  <c r="U123" i="17"/>
  <c r="U112" i="17"/>
  <c r="U113" i="17"/>
  <c r="U114" i="17"/>
  <c r="U115" i="17"/>
  <c r="U116" i="17"/>
  <c r="U117" i="17"/>
  <c r="U118" i="17"/>
  <c r="U107" i="17"/>
  <c r="U119" i="17"/>
  <c r="U108" i="17"/>
  <c r="U120" i="17"/>
  <c r="U109" i="17"/>
  <c r="U121" i="17"/>
  <c r="U110" i="17"/>
  <c r="U122" i="17"/>
  <c r="V107" i="17"/>
  <c r="V119" i="17"/>
  <c r="V121" i="17"/>
  <c r="V122" i="17"/>
  <c r="V123" i="17"/>
  <c r="V112" i="17"/>
  <c r="V114" i="17"/>
  <c r="V116" i="17"/>
  <c r="V108" i="17"/>
  <c r="V120" i="17"/>
  <c r="V109" i="17"/>
  <c r="V110" i="17"/>
  <c r="V111" i="17"/>
  <c r="V113" i="17"/>
  <c r="V115" i="17"/>
  <c r="V117" i="17"/>
  <c r="V118" i="17"/>
  <c r="V106" i="17"/>
  <c r="F126" i="7" l="1"/>
  <c r="X16" i="16" l="1"/>
  <c r="BD105" i="13"/>
  <c r="AL105" i="13"/>
  <c r="T105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104" i="13"/>
  <c r="AL4" i="13"/>
  <c r="AL5" i="13"/>
  <c r="AL6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19" i="13"/>
  <c r="AL20" i="13"/>
  <c r="AL21" i="13"/>
  <c r="AL22" i="13"/>
  <c r="AL23" i="13"/>
  <c r="AL24" i="13"/>
  <c r="AL25" i="13"/>
  <c r="AL26" i="13"/>
  <c r="AL27" i="13"/>
  <c r="AL28" i="13"/>
  <c r="AL29" i="13"/>
  <c r="AL30" i="13"/>
  <c r="AL31" i="13"/>
  <c r="AL32" i="13"/>
  <c r="AL33" i="13"/>
  <c r="AL34" i="13"/>
  <c r="AL35" i="13"/>
  <c r="AL36" i="13"/>
  <c r="AL37" i="13"/>
  <c r="AL38" i="13"/>
  <c r="AL39" i="13"/>
  <c r="AL40" i="13"/>
  <c r="AL41" i="13"/>
  <c r="AL42" i="13"/>
  <c r="AL43" i="13"/>
  <c r="AL44" i="13"/>
  <c r="AL45" i="13"/>
  <c r="AL46" i="13"/>
  <c r="AL47" i="13"/>
  <c r="AL48" i="13"/>
  <c r="AL49" i="13"/>
  <c r="AL50" i="13"/>
  <c r="AL51" i="13"/>
  <c r="AL52" i="13"/>
  <c r="AL53" i="13"/>
  <c r="AL54" i="13"/>
  <c r="AL55" i="13"/>
  <c r="AL56" i="13"/>
  <c r="AL57" i="13"/>
  <c r="AL58" i="13"/>
  <c r="AL59" i="13"/>
  <c r="AL60" i="13"/>
  <c r="AL61" i="13"/>
  <c r="AL62" i="13"/>
  <c r="AL63" i="13"/>
  <c r="AL64" i="13"/>
  <c r="AL65" i="13"/>
  <c r="AL66" i="13"/>
  <c r="AL67" i="13"/>
  <c r="AL68" i="13"/>
  <c r="AL69" i="13"/>
  <c r="AL70" i="13"/>
  <c r="AL71" i="13"/>
  <c r="AL72" i="13"/>
  <c r="AL73" i="13"/>
  <c r="AL74" i="13"/>
  <c r="AL75" i="13"/>
  <c r="AL76" i="13"/>
  <c r="AL77" i="13"/>
  <c r="AL78" i="13"/>
  <c r="AL79" i="13"/>
  <c r="AL80" i="13"/>
  <c r="AL81" i="13"/>
  <c r="AL82" i="13"/>
  <c r="AL83" i="13"/>
  <c r="AL84" i="13"/>
  <c r="AL85" i="13"/>
  <c r="AL86" i="13"/>
  <c r="AL87" i="13"/>
  <c r="AL88" i="13"/>
  <c r="AL89" i="13"/>
  <c r="AL90" i="13"/>
  <c r="AL91" i="13"/>
  <c r="AL92" i="13"/>
  <c r="AL93" i="13"/>
  <c r="AL94" i="13"/>
  <c r="AL95" i="13"/>
  <c r="AL96" i="13"/>
  <c r="AL97" i="13"/>
  <c r="AL98" i="13"/>
  <c r="AL99" i="13"/>
  <c r="AL100" i="13"/>
  <c r="AL101" i="13"/>
  <c r="AL102" i="13"/>
  <c r="AL103" i="13"/>
  <c r="AL104" i="13"/>
  <c r="BD4" i="13"/>
  <c r="BD5" i="13"/>
  <c r="BD6" i="13"/>
  <c r="BD7" i="13"/>
  <c r="BD8" i="13"/>
  <c r="BD9" i="13"/>
  <c r="BD10" i="13"/>
  <c r="BD11" i="13"/>
  <c r="BD12" i="13"/>
  <c r="BD13" i="13"/>
  <c r="BD14" i="13"/>
  <c r="BD15" i="13"/>
  <c r="BD16" i="13"/>
  <c r="BD17" i="13"/>
  <c r="BD18" i="13"/>
  <c r="BD19" i="13"/>
  <c r="BD20" i="13"/>
  <c r="BD21" i="13"/>
  <c r="BD22" i="13"/>
  <c r="BD23" i="13"/>
  <c r="BD24" i="13"/>
  <c r="BD25" i="13"/>
  <c r="BD26" i="13"/>
  <c r="BD27" i="13"/>
  <c r="BD28" i="13"/>
  <c r="BD29" i="13"/>
  <c r="BD30" i="13"/>
  <c r="BD31" i="13"/>
  <c r="BD32" i="13"/>
  <c r="BD33" i="13"/>
  <c r="BD34" i="13"/>
  <c r="BD35" i="13"/>
  <c r="BD36" i="13"/>
  <c r="BD37" i="13"/>
  <c r="BD38" i="13"/>
  <c r="BD39" i="13"/>
  <c r="BD40" i="13"/>
  <c r="BD41" i="13"/>
  <c r="BD42" i="13"/>
  <c r="BD43" i="13"/>
  <c r="BD44" i="13"/>
  <c r="BD45" i="13"/>
  <c r="BD46" i="13"/>
  <c r="BD47" i="13"/>
  <c r="BD48" i="13"/>
  <c r="BD49" i="13"/>
  <c r="BD50" i="13"/>
  <c r="BD51" i="13"/>
  <c r="BD52" i="13"/>
  <c r="BD53" i="13"/>
  <c r="BD54" i="13"/>
  <c r="BD55" i="13"/>
  <c r="BD56" i="13"/>
  <c r="BD57" i="13"/>
  <c r="BD58" i="13"/>
  <c r="BD59" i="13"/>
  <c r="BD60" i="13"/>
  <c r="BD61" i="13"/>
  <c r="BD62" i="13"/>
  <c r="BD63" i="13"/>
  <c r="BD64" i="13"/>
  <c r="BD65" i="13"/>
  <c r="BD66" i="13"/>
  <c r="BD67" i="13"/>
  <c r="BD68" i="13"/>
  <c r="BD69" i="13"/>
  <c r="BD70" i="13"/>
  <c r="BD71" i="13"/>
  <c r="BD72" i="13"/>
  <c r="BD73" i="13"/>
  <c r="BD74" i="13"/>
  <c r="BD75" i="13"/>
  <c r="BD76" i="13"/>
  <c r="BD77" i="13"/>
  <c r="BD78" i="13"/>
  <c r="BD79" i="13"/>
  <c r="BD80" i="13"/>
  <c r="BD81" i="13"/>
  <c r="BD82" i="13"/>
  <c r="BD83" i="13"/>
  <c r="BD84" i="13"/>
  <c r="BD85" i="13"/>
  <c r="BD86" i="13"/>
  <c r="BD87" i="13"/>
  <c r="BD88" i="13"/>
  <c r="BD89" i="13"/>
  <c r="BD90" i="13"/>
  <c r="BD91" i="13"/>
  <c r="BD92" i="13"/>
  <c r="BD93" i="13"/>
  <c r="BD94" i="13"/>
  <c r="BD95" i="13"/>
  <c r="BD96" i="13"/>
  <c r="BD97" i="13"/>
  <c r="BD98" i="13"/>
  <c r="BD99" i="13"/>
  <c r="BD100" i="13"/>
  <c r="BD101" i="13"/>
  <c r="BD102" i="13"/>
  <c r="BD103" i="13"/>
  <c r="BD104" i="13"/>
  <c r="BD3" i="13"/>
  <c r="AL3" i="13"/>
  <c r="T3" i="13"/>
  <c r="C105" i="13"/>
  <c r="B105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3" i="13"/>
  <c r="P106" i="19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4" i="16"/>
  <c r="AE106" i="16"/>
  <c r="AE5" i="16"/>
  <c r="AE6" i="16"/>
  <c r="AE7" i="16"/>
  <c r="AE8" i="16"/>
  <c r="AE9" i="16"/>
  <c r="AE10" i="16"/>
  <c r="AE11" i="16"/>
  <c r="AE12" i="16"/>
  <c r="AE13" i="16"/>
  <c r="AE14" i="16"/>
  <c r="AE15" i="16"/>
  <c r="AE17" i="16"/>
  <c r="AE18" i="16"/>
  <c r="AE19" i="16"/>
  <c r="AE20" i="16"/>
  <c r="AE21" i="16"/>
  <c r="AE28" i="16"/>
  <c r="AE29" i="16"/>
  <c r="AE30" i="16"/>
  <c r="AE31" i="16"/>
  <c r="AE32" i="16"/>
  <c r="AE33" i="16"/>
  <c r="AE40" i="16"/>
  <c r="AE41" i="16"/>
  <c r="AE42" i="16"/>
  <c r="AE43" i="16"/>
  <c r="AE44" i="16"/>
  <c r="AE45" i="16"/>
  <c r="AE52" i="16"/>
  <c r="AE53" i="16"/>
  <c r="AE54" i="16"/>
  <c r="AE55" i="16"/>
  <c r="AE56" i="16"/>
  <c r="AE57" i="16"/>
  <c r="AE64" i="16"/>
  <c r="AE65" i="16"/>
  <c r="AE66" i="16"/>
  <c r="AE67" i="16"/>
  <c r="AE68" i="16"/>
  <c r="AE69" i="16"/>
  <c r="AE76" i="16"/>
  <c r="AE77" i="16"/>
  <c r="AE78" i="16"/>
  <c r="AE79" i="16"/>
  <c r="AE80" i="16"/>
  <c r="AE81" i="16"/>
  <c r="AE88" i="16"/>
  <c r="AE89" i="16"/>
  <c r="AE90" i="16"/>
  <c r="AE91" i="16"/>
  <c r="AE92" i="16"/>
  <c r="AE93" i="16"/>
  <c r="AE100" i="16"/>
  <c r="AE101" i="16"/>
  <c r="AE102" i="16"/>
  <c r="AE103" i="16"/>
  <c r="AE104" i="16"/>
  <c r="AE105" i="16"/>
  <c r="AE4" i="16"/>
  <c r="AB16" i="16"/>
  <c r="T5" i="16"/>
  <c r="T6" i="16"/>
  <c r="T7" i="16"/>
  <c r="T8" i="16"/>
  <c r="T9" i="16"/>
  <c r="T10" i="16"/>
  <c r="T11" i="16"/>
  <c r="T12" i="16"/>
  <c r="T13" i="16"/>
  <c r="T14" i="16"/>
  <c r="T15" i="16"/>
  <c r="T16" i="16"/>
  <c r="AE16" i="16" s="1"/>
  <c r="T17" i="16"/>
  <c r="T18" i="16"/>
  <c r="T19" i="16"/>
  <c r="T20" i="16"/>
  <c r="T21" i="16"/>
  <c r="T22" i="16"/>
  <c r="AE22" i="16" s="1"/>
  <c r="T23" i="16"/>
  <c r="AE23" i="16" s="1"/>
  <c r="T24" i="16"/>
  <c r="AE24" i="16" s="1"/>
  <c r="T25" i="16"/>
  <c r="AE25" i="16" s="1"/>
  <c r="T26" i="16"/>
  <c r="AE26" i="16" s="1"/>
  <c r="T27" i="16"/>
  <c r="AE27" i="16" s="1"/>
  <c r="T28" i="16"/>
  <c r="T29" i="16"/>
  <c r="T30" i="16"/>
  <c r="T31" i="16"/>
  <c r="T32" i="16"/>
  <c r="T33" i="16"/>
  <c r="T34" i="16"/>
  <c r="AE34" i="16" s="1"/>
  <c r="T35" i="16"/>
  <c r="AE35" i="16" s="1"/>
  <c r="T36" i="16"/>
  <c r="AE36" i="16" s="1"/>
  <c r="T37" i="16"/>
  <c r="AE37" i="16" s="1"/>
  <c r="T38" i="16"/>
  <c r="AE38" i="16" s="1"/>
  <c r="T39" i="16"/>
  <c r="AE39" i="16" s="1"/>
  <c r="T40" i="16"/>
  <c r="T41" i="16"/>
  <c r="T42" i="16"/>
  <c r="T43" i="16"/>
  <c r="T44" i="16"/>
  <c r="T45" i="16"/>
  <c r="T46" i="16"/>
  <c r="AE46" i="16" s="1"/>
  <c r="T47" i="16"/>
  <c r="AE47" i="16" s="1"/>
  <c r="T48" i="16"/>
  <c r="AE48" i="16" s="1"/>
  <c r="T49" i="16"/>
  <c r="AE49" i="16" s="1"/>
  <c r="T50" i="16"/>
  <c r="AE50" i="16" s="1"/>
  <c r="T51" i="16"/>
  <c r="AE51" i="16" s="1"/>
  <c r="T52" i="16"/>
  <c r="T53" i="16"/>
  <c r="T54" i="16"/>
  <c r="T55" i="16"/>
  <c r="AB55" i="16" s="1"/>
  <c r="T56" i="16"/>
  <c r="AB56" i="16" s="1"/>
  <c r="T57" i="16"/>
  <c r="AB57" i="16" s="1"/>
  <c r="T58" i="16"/>
  <c r="AE58" i="16" s="1"/>
  <c r="T59" i="16"/>
  <c r="AE59" i="16" s="1"/>
  <c r="T60" i="16"/>
  <c r="AE60" i="16" s="1"/>
  <c r="T61" i="16"/>
  <c r="AE61" i="16" s="1"/>
  <c r="T62" i="16"/>
  <c r="AE62" i="16" s="1"/>
  <c r="T63" i="16"/>
  <c r="AE63" i="16" s="1"/>
  <c r="T64" i="16"/>
  <c r="T65" i="16"/>
  <c r="T66" i="16"/>
  <c r="T67" i="16"/>
  <c r="T68" i="16"/>
  <c r="T69" i="16"/>
  <c r="T70" i="16"/>
  <c r="AE70" i="16" s="1"/>
  <c r="T71" i="16"/>
  <c r="AE71" i="16" s="1"/>
  <c r="T72" i="16"/>
  <c r="AE72" i="16" s="1"/>
  <c r="T73" i="16"/>
  <c r="AE73" i="16" s="1"/>
  <c r="T74" i="16"/>
  <c r="AE74" i="16" s="1"/>
  <c r="T75" i="16"/>
  <c r="AE75" i="16" s="1"/>
  <c r="T76" i="16"/>
  <c r="T77" i="16"/>
  <c r="T78" i="16"/>
  <c r="T79" i="16"/>
  <c r="T80" i="16"/>
  <c r="T81" i="16"/>
  <c r="T82" i="16"/>
  <c r="AE82" i="16" s="1"/>
  <c r="T83" i="16"/>
  <c r="AE83" i="16" s="1"/>
  <c r="T84" i="16"/>
  <c r="AE84" i="16" s="1"/>
  <c r="T85" i="16"/>
  <c r="AE85" i="16" s="1"/>
  <c r="T86" i="16"/>
  <c r="AE86" i="16" s="1"/>
  <c r="T87" i="16"/>
  <c r="AE87" i="16" s="1"/>
  <c r="T88" i="16"/>
  <c r="T89" i="16"/>
  <c r="T90" i="16"/>
  <c r="T91" i="16"/>
  <c r="T92" i="16"/>
  <c r="T93" i="16"/>
  <c r="T94" i="16"/>
  <c r="AE94" i="16" s="1"/>
  <c r="T95" i="16"/>
  <c r="AE95" i="16" s="1"/>
  <c r="T96" i="16"/>
  <c r="AE96" i="16" s="1"/>
  <c r="T97" i="16"/>
  <c r="AE97" i="16" s="1"/>
  <c r="T98" i="16"/>
  <c r="AE98" i="16" s="1"/>
  <c r="T99" i="16"/>
  <c r="AE99" i="16" s="1"/>
  <c r="T100" i="16"/>
  <c r="T101" i="16"/>
  <c r="T102" i="16"/>
  <c r="T103" i="16"/>
  <c r="T104" i="16"/>
  <c r="T105" i="16"/>
  <c r="T106" i="16"/>
  <c r="T4" i="16"/>
  <c r="AN4" i="3"/>
  <c r="AM4" i="3"/>
  <c r="AL4" i="3"/>
  <c r="AK4" i="3"/>
  <c r="F117" i="3"/>
  <c r="F116" i="3"/>
  <c r="L118" i="3"/>
  <c r="H117" i="3"/>
  <c r="H116" i="3"/>
  <c r="L116" i="3"/>
  <c r="J116" i="3"/>
  <c r="H115" i="3"/>
  <c r="AK14" i="3"/>
  <c r="AL14" i="3"/>
  <c r="AM14" i="3"/>
  <c r="AN14" i="3"/>
  <c r="AK15" i="3"/>
  <c r="AL15" i="3"/>
  <c r="AM15" i="3"/>
  <c r="AN15" i="3"/>
  <c r="AK16" i="3"/>
  <c r="AL16" i="3"/>
  <c r="AM16" i="3"/>
  <c r="AN16" i="3"/>
  <c r="AK17" i="3"/>
  <c r="AL17" i="3"/>
  <c r="AM17" i="3"/>
  <c r="AN17" i="3"/>
  <c r="AK18" i="3"/>
  <c r="AL18" i="3"/>
  <c r="AM18" i="3"/>
  <c r="AN18" i="3"/>
  <c r="AK19" i="3"/>
  <c r="AL19" i="3"/>
  <c r="AM19" i="3"/>
  <c r="AN19" i="3"/>
  <c r="AK20" i="3"/>
  <c r="AL20" i="3"/>
  <c r="AM20" i="3"/>
  <c r="AN20" i="3"/>
  <c r="AK21" i="3"/>
  <c r="AL21" i="3"/>
  <c r="AM21" i="3"/>
  <c r="AN21" i="3"/>
  <c r="AK22" i="3"/>
  <c r="AL22" i="3"/>
  <c r="AM22" i="3"/>
  <c r="AN22" i="3"/>
  <c r="AK23" i="3"/>
  <c r="AL23" i="3"/>
  <c r="AM23" i="3"/>
  <c r="AN23" i="3"/>
  <c r="AK24" i="3"/>
  <c r="AL24" i="3"/>
  <c r="AM24" i="3"/>
  <c r="AN24" i="3"/>
  <c r="AK25" i="3"/>
  <c r="AL25" i="3"/>
  <c r="AM25" i="3"/>
  <c r="AN25" i="3"/>
  <c r="AK26" i="3"/>
  <c r="AL26" i="3"/>
  <c r="AM26" i="3"/>
  <c r="AN26" i="3"/>
  <c r="AK27" i="3"/>
  <c r="AL27" i="3"/>
  <c r="AM27" i="3"/>
  <c r="AN27" i="3"/>
  <c r="AK28" i="3"/>
  <c r="AL28" i="3"/>
  <c r="AM28" i="3"/>
  <c r="AN28" i="3"/>
  <c r="AK29" i="3"/>
  <c r="AL29" i="3"/>
  <c r="AM29" i="3"/>
  <c r="AN29" i="3"/>
  <c r="AK30" i="3"/>
  <c r="AL30" i="3"/>
  <c r="AM30" i="3"/>
  <c r="AN30" i="3"/>
  <c r="AK31" i="3"/>
  <c r="AL31" i="3"/>
  <c r="AM31" i="3"/>
  <c r="AN31" i="3"/>
  <c r="AK32" i="3"/>
  <c r="AL32" i="3"/>
  <c r="AM32" i="3"/>
  <c r="AN32" i="3"/>
  <c r="AK33" i="3"/>
  <c r="AL33" i="3"/>
  <c r="AM33" i="3"/>
  <c r="AN33" i="3"/>
  <c r="AK34" i="3"/>
  <c r="AL34" i="3"/>
  <c r="AM34" i="3"/>
  <c r="AN34" i="3"/>
  <c r="AK35" i="3"/>
  <c r="AL35" i="3"/>
  <c r="AM35" i="3"/>
  <c r="AN35" i="3"/>
  <c r="AK36" i="3"/>
  <c r="AL36" i="3"/>
  <c r="AM36" i="3"/>
  <c r="AN36" i="3"/>
  <c r="AK37" i="3"/>
  <c r="AL37" i="3"/>
  <c r="AM37" i="3"/>
  <c r="AN37" i="3"/>
  <c r="AK38" i="3"/>
  <c r="AL38" i="3"/>
  <c r="AM38" i="3"/>
  <c r="AN38" i="3"/>
  <c r="AK39" i="3"/>
  <c r="AL39" i="3"/>
  <c r="AM39" i="3"/>
  <c r="AN39" i="3"/>
  <c r="AK40" i="3"/>
  <c r="AL40" i="3"/>
  <c r="AM40" i="3"/>
  <c r="AN40" i="3"/>
  <c r="AK41" i="3"/>
  <c r="AL41" i="3"/>
  <c r="AM41" i="3"/>
  <c r="AN41" i="3"/>
  <c r="AK42" i="3"/>
  <c r="AL42" i="3"/>
  <c r="AM42" i="3"/>
  <c r="AN42" i="3"/>
  <c r="AK43" i="3"/>
  <c r="AL43" i="3"/>
  <c r="AM43" i="3"/>
  <c r="AN43" i="3"/>
  <c r="AK44" i="3"/>
  <c r="AL44" i="3"/>
  <c r="AM44" i="3"/>
  <c r="AN44" i="3"/>
  <c r="AK45" i="3"/>
  <c r="AL45" i="3"/>
  <c r="AM45" i="3"/>
  <c r="AN45" i="3"/>
  <c r="AK46" i="3"/>
  <c r="AL46" i="3"/>
  <c r="AM46" i="3"/>
  <c r="AN46" i="3"/>
  <c r="AK47" i="3"/>
  <c r="AL47" i="3"/>
  <c r="AM47" i="3"/>
  <c r="AN47" i="3"/>
  <c r="AK48" i="3"/>
  <c r="AL48" i="3"/>
  <c r="AM48" i="3"/>
  <c r="AN48" i="3"/>
  <c r="AK49" i="3"/>
  <c r="AL49" i="3"/>
  <c r="AM49" i="3"/>
  <c r="AN49" i="3"/>
  <c r="AK50" i="3"/>
  <c r="AL50" i="3"/>
  <c r="AM50" i="3"/>
  <c r="AN50" i="3"/>
  <c r="AK51" i="3"/>
  <c r="AL51" i="3"/>
  <c r="AM51" i="3"/>
  <c r="AN51" i="3"/>
  <c r="AK52" i="3"/>
  <c r="AL52" i="3"/>
  <c r="AM52" i="3"/>
  <c r="AN52" i="3"/>
  <c r="AK53" i="3"/>
  <c r="AL53" i="3"/>
  <c r="AM53" i="3"/>
  <c r="AN53" i="3"/>
  <c r="AK54" i="3"/>
  <c r="AL54" i="3"/>
  <c r="AM54" i="3"/>
  <c r="AN54" i="3"/>
  <c r="AK55" i="3"/>
  <c r="AL55" i="3"/>
  <c r="AM55" i="3"/>
  <c r="AN55" i="3"/>
  <c r="AK56" i="3"/>
  <c r="AL56" i="3"/>
  <c r="AM56" i="3"/>
  <c r="AN56" i="3"/>
  <c r="AK57" i="3"/>
  <c r="AL57" i="3"/>
  <c r="AM57" i="3"/>
  <c r="AN57" i="3"/>
  <c r="AK58" i="3"/>
  <c r="AL58" i="3"/>
  <c r="AM58" i="3"/>
  <c r="AN58" i="3"/>
  <c r="AK59" i="3"/>
  <c r="AL59" i="3"/>
  <c r="AM59" i="3"/>
  <c r="AN59" i="3"/>
  <c r="AK60" i="3"/>
  <c r="AL60" i="3"/>
  <c r="AM60" i="3"/>
  <c r="AN60" i="3"/>
  <c r="AK61" i="3"/>
  <c r="AL61" i="3"/>
  <c r="AM61" i="3"/>
  <c r="AN61" i="3"/>
  <c r="AK62" i="3"/>
  <c r="AL62" i="3"/>
  <c r="AM62" i="3"/>
  <c r="AN62" i="3"/>
  <c r="AK63" i="3"/>
  <c r="AM63" i="3"/>
  <c r="AN63" i="3"/>
  <c r="AK64" i="3"/>
  <c r="AL64" i="3"/>
  <c r="AM64" i="3"/>
  <c r="AN64" i="3"/>
  <c r="AK65" i="3"/>
  <c r="AL65" i="3"/>
  <c r="AM65" i="3"/>
  <c r="AN65" i="3"/>
  <c r="AK66" i="3"/>
  <c r="AL66" i="3"/>
  <c r="AM66" i="3"/>
  <c r="AN66" i="3"/>
  <c r="AK67" i="3"/>
  <c r="AM67" i="3"/>
  <c r="AN67" i="3"/>
  <c r="AK68" i="3"/>
  <c r="AM68" i="3"/>
  <c r="AN68" i="3"/>
  <c r="AK69" i="3"/>
  <c r="AM69" i="3"/>
  <c r="AN69" i="3"/>
  <c r="AK70" i="3"/>
  <c r="AM70" i="3"/>
  <c r="AN70" i="3"/>
  <c r="AK71" i="3"/>
  <c r="AL71" i="3"/>
  <c r="AM71" i="3"/>
  <c r="AN71" i="3"/>
  <c r="AK72" i="3"/>
  <c r="AL72" i="3"/>
  <c r="AM72" i="3"/>
  <c r="AN72" i="3"/>
  <c r="AK73" i="3"/>
  <c r="AL73" i="3"/>
  <c r="AM73" i="3"/>
  <c r="AN73" i="3"/>
  <c r="AK74" i="3"/>
  <c r="AL74" i="3"/>
  <c r="AM74" i="3"/>
  <c r="AN74" i="3"/>
  <c r="AK75" i="3"/>
  <c r="AL75" i="3"/>
  <c r="AM75" i="3"/>
  <c r="AN75" i="3"/>
  <c r="AK76" i="3"/>
  <c r="AL76" i="3"/>
  <c r="AM76" i="3"/>
  <c r="AN76" i="3"/>
  <c r="AK77" i="3"/>
  <c r="AL77" i="3"/>
  <c r="AM77" i="3"/>
  <c r="AN77" i="3"/>
  <c r="AK78" i="3"/>
  <c r="AL78" i="3"/>
  <c r="AM78" i="3"/>
  <c r="AN78" i="3"/>
  <c r="AK79" i="3"/>
  <c r="AL79" i="3"/>
  <c r="AM79" i="3"/>
  <c r="AN79" i="3"/>
  <c r="AK80" i="3"/>
  <c r="AL80" i="3"/>
  <c r="AM80" i="3"/>
  <c r="AN80" i="3"/>
  <c r="AK81" i="3"/>
  <c r="AL81" i="3"/>
  <c r="AM81" i="3"/>
  <c r="AN81" i="3"/>
  <c r="AK82" i="3"/>
  <c r="AL82" i="3"/>
  <c r="AM82" i="3"/>
  <c r="AN82" i="3"/>
  <c r="AK83" i="3"/>
  <c r="AL83" i="3"/>
  <c r="AM83" i="3"/>
  <c r="AN83" i="3"/>
  <c r="AK84" i="3"/>
  <c r="AL84" i="3"/>
  <c r="AM84" i="3"/>
  <c r="AN84" i="3"/>
  <c r="AK85" i="3"/>
  <c r="AL85" i="3"/>
  <c r="AM85" i="3"/>
  <c r="AN85" i="3"/>
  <c r="AK86" i="3"/>
  <c r="AL86" i="3"/>
  <c r="AM86" i="3"/>
  <c r="AN86" i="3"/>
  <c r="AK87" i="3"/>
  <c r="AL87" i="3"/>
  <c r="AM87" i="3"/>
  <c r="AN87" i="3"/>
  <c r="AK88" i="3"/>
  <c r="AL88" i="3"/>
  <c r="AM88" i="3"/>
  <c r="AN88" i="3"/>
  <c r="AK89" i="3"/>
  <c r="AL89" i="3"/>
  <c r="AM89" i="3"/>
  <c r="AN89" i="3"/>
  <c r="AK90" i="3"/>
  <c r="AL90" i="3"/>
  <c r="AM90" i="3"/>
  <c r="AN90" i="3"/>
  <c r="AK91" i="3"/>
  <c r="AL91" i="3"/>
  <c r="AM91" i="3"/>
  <c r="AN91" i="3"/>
  <c r="AK92" i="3"/>
  <c r="AL92" i="3"/>
  <c r="AM92" i="3"/>
  <c r="AN92" i="3"/>
  <c r="AK93" i="3"/>
  <c r="AL93" i="3"/>
  <c r="AM93" i="3"/>
  <c r="AN93" i="3"/>
  <c r="AK94" i="3"/>
  <c r="AL94" i="3"/>
  <c r="AM94" i="3"/>
  <c r="AN94" i="3"/>
  <c r="AK95" i="3"/>
  <c r="AL95" i="3"/>
  <c r="AM95" i="3"/>
  <c r="AN95" i="3"/>
  <c r="AK96" i="3"/>
  <c r="AL96" i="3"/>
  <c r="AM96" i="3"/>
  <c r="AN96" i="3"/>
  <c r="AK97" i="3"/>
  <c r="AL97" i="3"/>
  <c r="AM97" i="3"/>
  <c r="AN97" i="3"/>
  <c r="AK98" i="3"/>
  <c r="AL98" i="3"/>
  <c r="AM98" i="3"/>
  <c r="AN98" i="3"/>
  <c r="AK99" i="3"/>
  <c r="AL99" i="3"/>
  <c r="AM99" i="3"/>
  <c r="AN99" i="3"/>
  <c r="AK100" i="3"/>
  <c r="AL100" i="3"/>
  <c r="AM100" i="3"/>
  <c r="AN100" i="3"/>
  <c r="AK101" i="3"/>
  <c r="AL101" i="3"/>
  <c r="AM101" i="3"/>
  <c r="AN101" i="3"/>
  <c r="AK102" i="3"/>
  <c r="AL102" i="3"/>
  <c r="AM102" i="3"/>
  <c r="AN102" i="3"/>
  <c r="AK103" i="3"/>
  <c r="AL103" i="3"/>
  <c r="AM103" i="3"/>
  <c r="AN103" i="3"/>
  <c r="AK104" i="3"/>
  <c r="AL104" i="3"/>
  <c r="AM104" i="3"/>
  <c r="AN104" i="3"/>
  <c r="AK105" i="3"/>
  <c r="AL105" i="3"/>
  <c r="AM105" i="3"/>
  <c r="AN105" i="3"/>
  <c r="AK106" i="3"/>
  <c r="AL106" i="3"/>
  <c r="AM106" i="3"/>
  <c r="AN106" i="3"/>
  <c r="AK107" i="3"/>
  <c r="AL107" i="3"/>
  <c r="AM107" i="3"/>
  <c r="AN107" i="3"/>
  <c r="AK108" i="3"/>
  <c r="AL108" i="3"/>
  <c r="AM108" i="3"/>
  <c r="AN108" i="3"/>
  <c r="AK109" i="3"/>
  <c r="AL109" i="3"/>
  <c r="AM109" i="3"/>
  <c r="AN109" i="3"/>
  <c r="AK110" i="3"/>
  <c r="AL110" i="3"/>
  <c r="AM110" i="3"/>
  <c r="AN110" i="3"/>
  <c r="AK111" i="3"/>
  <c r="AL111" i="3"/>
  <c r="AM111" i="3"/>
  <c r="AN111" i="3"/>
  <c r="AK112" i="3"/>
  <c r="AL112" i="3"/>
  <c r="AM112" i="3"/>
  <c r="AN112" i="3"/>
  <c r="AK113" i="3"/>
  <c r="AL113" i="3"/>
  <c r="AM113" i="3"/>
  <c r="AN113" i="3"/>
  <c r="AK114" i="3"/>
  <c r="AL114" i="3"/>
  <c r="AM114" i="3"/>
  <c r="AN114" i="3"/>
  <c r="AK115" i="3"/>
  <c r="AM115" i="3"/>
  <c r="AN115" i="3"/>
  <c r="AN13" i="3"/>
  <c r="AM13" i="3"/>
  <c r="AL13" i="3"/>
  <c r="AK13" i="3"/>
  <c r="AC14" i="3"/>
  <c r="AD14" i="3"/>
  <c r="AE14" i="3"/>
  <c r="AF14" i="3"/>
  <c r="AC15" i="3"/>
  <c r="AD15" i="3"/>
  <c r="AE15" i="3"/>
  <c r="AF15" i="3"/>
  <c r="AC16" i="3"/>
  <c r="AD16" i="3"/>
  <c r="AE16" i="3"/>
  <c r="AF16" i="3"/>
  <c r="AC17" i="3"/>
  <c r="AD17" i="3"/>
  <c r="AE17" i="3"/>
  <c r="AF17" i="3"/>
  <c r="AC18" i="3"/>
  <c r="AD18" i="3"/>
  <c r="AE18" i="3"/>
  <c r="AF18" i="3"/>
  <c r="AC19" i="3"/>
  <c r="AD19" i="3"/>
  <c r="AE19" i="3"/>
  <c r="AF19" i="3"/>
  <c r="AC20" i="3"/>
  <c r="AD20" i="3"/>
  <c r="AE20" i="3"/>
  <c r="AF20" i="3"/>
  <c r="AC21" i="3"/>
  <c r="AD21" i="3"/>
  <c r="AE21" i="3"/>
  <c r="AF21" i="3"/>
  <c r="AC22" i="3"/>
  <c r="AD22" i="3"/>
  <c r="AE22" i="3"/>
  <c r="AF22" i="3"/>
  <c r="AC23" i="3"/>
  <c r="AD23" i="3"/>
  <c r="AE23" i="3"/>
  <c r="AF23" i="3"/>
  <c r="AC24" i="3"/>
  <c r="AD24" i="3"/>
  <c r="AE24" i="3"/>
  <c r="AF24" i="3"/>
  <c r="AC25" i="3"/>
  <c r="AD25" i="3"/>
  <c r="AE25" i="3"/>
  <c r="AF25" i="3"/>
  <c r="AC26" i="3"/>
  <c r="AD26" i="3"/>
  <c r="AE26" i="3"/>
  <c r="AF26" i="3"/>
  <c r="AC27" i="3"/>
  <c r="AD27" i="3"/>
  <c r="AE27" i="3"/>
  <c r="AF27" i="3"/>
  <c r="AC28" i="3"/>
  <c r="AD28" i="3"/>
  <c r="AE28" i="3"/>
  <c r="AF28" i="3"/>
  <c r="AC29" i="3"/>
  <c r="AD29" i="3"/>
  <c r="AE29" i="3"/>
  <c r="AF29" i="3"/>
  <c r="AC30" i="3"/>
  <c r="AD30" i="3"/>
  <c r="AE30" i="3"/>
  <c r="AF30" i="3"/>
  <c r="AC31" i="3"/>
  <c r="AD31" i="3"/>
  <c r="AE31" i="3"/>
  <c r="AF31" i="3"/>
  <c r="AC32" i="3"/>
  <c r="AD32" i="3"/>
  <c r="AE32" i="3"/>
  <c r="AF32" i="3"/>
  <c r="AC33" i="3"/>
  <c r="AD33" i="3"/>
  <c r="AE33" i="3"/>
  <c r="AF33" i="3"/>
  <c r="AC34" i="3"/>
  <c r="AD34" i="3"/>
  <c r="AE34" i="3"/>
  <c r="AF34" i="3"/>
  <c r="AC35" i="3"/>
  <c r="AD35" i="3"/>
  <c r="AE35" i="3"/>
  <c r="AF35" i="3"/>
  <c r="AC36" i="3"/>
  <c r="AD36" i="3"/>
  <c r="AE36" i="3"/>
  <c r="AF36" i="3"/>
  <c r="AC37" i="3"/>
  <c r="AD37" i="3"/>
  <c r="AE37" i="3"/>
  <c r="AF37" i="3"/>
  <c r="AC38" i="3"/>
  <c r="AD38" i="3"/>
  <c r="AE38" i="3"/>
  <c r="AF38" i="3"/>
  <c r="AC39" i="3"/>
  <c r="AD39" i="3"/>
  <c r="AE39" i="3"/>
  <c r="AF39" i="3"/>
  <c r="AC40" i="3"/>
  <c r="AD40" i="3"/>
  <c r="AE40" i="3"/>
  <c r="AF40" i="3"/>
  <c r="AC41" i="3"/>
  <c r="AD41" i="3"/>
  <c r="AE41" i="3"/>
  <c r="AF41" i="3"/>
  <c r="AC42" i="3"/>
  <c r="AD42" i="3"/>
  <c r="AE42" i="3"/>
  <c r="AF42" i="3"/>
  <c r="AC43" i="3"/>
  <c r="AD43" i="3"/>
  <c r="AE43" i="3"/>
  <c r="AF43" i="3"/>
  <c r="AC44" i="3"/>
  <c r="AD44" i="3"/>
  <c r="AE44" i="3"/>
  <c r="AF44" i="3"/>
  <c r="AC45" i="3"/>
  <c r="AD45" i="3"/>
  <c r="AE45" i="3"/>
  <c r="AF45" i="3"/>
  <c r="AC46" i="3"/>
  <c r="AD46" i="3"/>
  <c r="AE46" i="3"/>
  <c r="AF46" i="3"/>
  <c r="AC47" i="3"/>
  <c r="AD47" i="3"/>
  <c r="AE47" i="3"/>
  <c r="AF47" i="3"/>
  <c r="AC48" i="3"/>
  <c r="AD48" i="3"/>
  <c r="AE48" i="3"/>
  <c r="AF48" i="3"/>
  <c r="AC49" i="3"/>
  <c r="AD49" i="3"/>
  <c r="AE49" i="3"/>
  <c r="AF49" i="3"/>
  <c r="AC50" i="3"/>
  <c r="AD50" i="3"/>
  <c r="AE50" i="3"/>
  <c r="AF50" i="3"/>
  <c r="AC51" i="3"/>
  <c r="AD51" i="3"/>
  <c r="AE51" i="3"/>
  <c r="AF51" i="3"/>
  <c r="AC52" i="3"/>
  <c r="AD52" i="3"/>
  <c r="AE52" i="3"/>
  <c r="AF52" i="3"/>
  <c r="AC53" i="3"/>
  <c r="AD53" i="3"/>
  <c r="AE53" i="3"/>
  <c r="AF53" i="3"/>
  <c r="AC54" i="3"/>
  <c r="AD54" i="3"/>
  <c r="AE54" i="3"/>
  <c r="AF54" i="3"/>
  <c r="AC55" i="3"/>
  <c r="AD55" i="3"/>
  <c r="AE55" i="3"/>
  <c r="AF55" i="3"/>
  <c r="AC56" i="3"/>
  <c r="AD56" i="3"/>
  <c r="AE56" i="3"/>
  <c r="AF56" i="3"/>
  <c r="AC57" i="3"/>
  <c r="AD57" i="3"/>
  <c r="AE57" i="3"/>
  <c r="AF57" i="3"/>
  <c r="AC58" i="3"/>
  <c r="AD58" i="3"/>
  <c r="AE58" i="3"/>
  <c r="AF58" i="3"/>
  <c r="AC59" i="3"/>
  <c r="AD59" i="3"/>
  <c r="AE59" i="3"/>
  <c r="AF59" i="3"/>
  <c r="AC60" i="3"/>
  <c r="AD60" i="3"/>
  <c r="AE60" i="3"/>
  <c r="AF60" i="3"/>
  <c r="AC61" i="3"/>
  <c r="AD61" i="3"/>
  <c r="AE61" i="3"/>
  <c r="AF61" i="3"/>
  <c r="AC62" i="3"/>
  <c r="AD62" i="3"/>
  <c r="AE62" i="3"/>
  <c r="AF62" i="3"/>
  <c r="AC63" i="3"/>
  <c r="AD63" i="3"/>
  <c r="AE63" i="3"/>
  <c r="AF63" i="3"/>
  <c r="AC64" i="3"/>
  <c r="AD64" i="3"/>
  <c r="AE64" i="3"/>
  <c r="AF64" i="3"/>
  <c r="AC65" i="3"/>
  <c r="AD65" i="3"/>
  <c r="AE65" i="3"/>
  <c r="AF65" i="3"/>
  <c r="AC66" i="3"/>
  <c r="AD66" i="3"/>
  <c r="AE66" i="3"/>
  <c r="AF66" i="3"/>
  <c r="AC67" i="3"/>
  <c r="AD67" i="3"/>
  <c r="AE67" i="3"/>
  <c r="AF67" i="3"/>
  <c r="AC68" i="3"/>
  <c r="AD68" i="3"/>
  <c r="AE68" i="3"/>
  <c r="AF68" i="3"/>
  <c r="AC69" i="3"/>
  <c r="AD69" i="3"/>
  <c r="AE69" i="3"/>
  <c r="AF69" i="3"/>
  <c r="AC70" i="3"/>
  <c r="AD70" i="3"/>
  <c r="AE70" i="3"/>
  <c r="AF70" i="3"/>
  <c r="AC71" i="3"/>
  <c r="AD71" i="3"/>
  <c r="AE71" i="3"/>
  <c r="AF71" i="3"/>
  <c r="AC72" i="3"/>
  <c r="AD72" i="3"/>
  <c r="AE72" i="3"/>
  <c r="AF72" i="3"/>
  <c r="AC73" i="3"/>
  <c r="AD73" i="3"/>
  <c r="AE73" i="3"/>
  <c r="AF73" i="3"/>
  <c r="AC74" i="3"/>
  <c r="AD74" i="3"/>
  <c r="AE74" i="3"/>
  <c r="AF74" i="3"/>
  <c r="AC75" i="3"/>
  <c r="AD75" i="3"/>
  <c r="AE75" i="3"/>
  <c r="AF75" i="3"/>
  <c r="AC76" i="3"/>
  <c r="AD76" i="3"/>
  <c r="AE76" i="3"/>
  <c r="AF76" i="3"/>
  <c r="AC77" i="3"/>
  <c r="AD77" i="3"/>
  <c r="AE77" i="3"/>
  <c r="AF77" i="3"/>
  <c r="AC78" i="3"/>
  <c r="AD78" i="3"/>
  <c r="AE78" i="3"/>
  <c r="AF78" i="3"/>
  <c r="AC79" i="3"/>
  <c r="AD79" i="3"/>
  <c r="AE79" i="3"/>
  <c r="AF79" i="3"/>
  <c r="AC80" i="3"/>
  <c r="AD80" i="3"/>
  <c r="AE80" i="3"/>
  <c r="AF80" i="3"/>
  <c r="AC81" i="3"/>
  <c r="AD81" i="3"/>
  <c r="AE81" i="3"/>
  <c r="AF81" i="3"/>
  <c r="AC82" i="3"/>
  <c r="AD82" i="3"/>
  <c r="AE82" i="3"/>
  <c r="AF82" i="3"/>
  <c r="AC83" i="3"/>
  <c r="AD83" i="3"/>
  <c r="AE83" i="3"/>
  <c r="AF83" i="3"/>
  <c r="AC84" i="3"/>
  <c r="AD84" i="3"/>
  <c r="AE84" i="3"/>
  <c r="AF84" i="3"/>
  <c r="AC85" i="3"/>
  <c r="AD85" i="3"/>
  <c r="AE85" i="3"/>
  <c r="AF85" i="3"/>
  <c r="AC86" i="3"/>
  <c r="AD86" i="3"/>
  <c r="AE86" i="3"/>
  <c r="AF86" i="3"/>
  <c r="AC87" i="3"/>
  <c r="AD87" i="3"/>
  <c r="AE87" i="3"/>
  <c r="AF87" i="3"/>
  <c r="AC88" i="3"/>
  <c r="AD88" i="3"/>
  <c r="AE88" i="3"/>
  <c r="AF88" i="3"/>
  <c r="AC89" i="3"/>
  <c r="AD89" i="3"/>
  <c r="AE89" i="3"/>
  <c r="AF89" i="3"/>
  <c r="AC90" i="3"/>
  <c r="AD90" i="3"/>
  <c r="AE90" i="3"/>
  <c r="AF90" i="3"/>
  <c r="AC91" i="3"/>
  <c r="AD91" i="3"/>
  <c r="AE91" i="3"/>
  <c r="AF91" i="3"/>
  <c r="AC92" i="3"/>
  <c r="AD92" i="3"/>
  <c r="AE92" i="3"/>
  <c r="AF92" i="3"/>
  <c r="AC93" i="3"/>
  <c r="AD93" i="3"/>
  <c r="AE93" i="3"/>
  <c r="AF93" i="3"/>
  <c r="AC94" i="3"/>
  <c r="AD94" i="3"/>
  <c r="AE94" i="3"/>
  <c r="AF94" i="3"/>
  <c r="AC95" i="3"/>
  <c r="AD95" i="3"/>
  <c r="AE95" i="3"/>
  <c r="AF95" i="3"/>
  <c r="AC96" i="3"/>
  <c r="AD96" i="3"/>
  <c r="AE96" i="3"/>
  <c r="AF96" i="3"/>
  <c r="AC97" i="3"/>
  <c r="AD97" i="3"/>
  <c r="AE97" i="3"/>
  <c r="AF97" i="3"/>
  <c r="AC98" i="3"/>
  <c r="AD98" i="3"/>
  <c r="AE98" i="3"/>
  <c r="AF98" i="3"/>
  <c r="AC99" i="3"/>
  <c r="AD99" i="3"/>
  <c r="AE99" i="3"/>
  <c r="AF99" i="3"/>
  <c r="AC100" i="3"/>
  <c r="AD100" i="3"/>
  <c r="AE100" i="3"/>
  <c r="AF100" i="3"/>
  <c r="AC101" i="3"/>
  <c r="AD101" i="3"/>
  <c r="AE101" i="3"/>
  <c r="AF101" i="3"/>
  <c r="AC102" i="3"/>
  <c r="AD102" i="3"/>
  <c r="AE102" i="3"/>
  <c r="AF102" i="3"/>
  <c r="AC103" i="3"/>
  <c r="AD103" i="3"/>
  <c r="AE103" i="3"/>
  <c r="AF103" i="3"/>
  <c r="AC104" i="3"/>
  <c r="AD104" i="3"/>
  <c r="AE104" i="3"/>
  <c r="AF104" i="3"/>
  <c r="AC105" i="3"/>
  <c r="AD105" i="3"/>
  <c r="AE105" i="3"/>
  <c r="AF105" i="3"/>
  <c r="AC106" i="3"/>
  <c r="AD106" i="3"/>
  <c r="AE106" i="3"/>
  <c r="AF106" i="3"/>
  <c r="AC107" i="3"/>
  <c r="AD107" i="3"/>
  <c r="AE107" i="3"/>
  <c r="AF107" i="3"/>
  <c r="AC108" i="3"/>
  <c r="AD108" i="3"/>
  <c r="AE108" i="3"/>
  <c r="AF108" i="3"/>
  <c r="AC109" i="3"/>
  <c r="AD109" i="3"/>
  <c r="AE109" i="3"/>
  <c r="AF109" i="3"/>
  <c r="AC110" i="3"/>
  <c r="AD110" i="3"/>
  <c r="AE110" i="3"/>
  <c r="AF110" i="3"/>
  <c r="AC111" i="3"/>
  <c r="AD111" i="3"/>
  <c r="AE111" i="3"/>
  <c r="AF111" i="3"/>
  <c r="AC112" i="3"/>
  <c r="AD112" i="3"/>
  <c r="AE112" i="3"/>
  <c r="AF112" i="3"/>
  <c r="AC113" i="3"/>
  <c r="AD113" i="3"/>
  <c r="AE113" i="3"/>
  <c r="AF113" i="3"/>
  <c r="AC114" i="3"/>
  <c r="AD114" i="3"/>
  <c r="AE114" i="3"/>
  <c r="AF114" i="3"/>
  <c r="AC115" i="3"/>
  <c r="AG115" i="3" s="1"/>
  <c r="AE115" i="3"/>
  <c r="AI115" i="3" s="1"/>
  <c r="AF115" i="3"/>
  <c r="AJ115" i="3" s="1"/>
  <c r="AF13" i="3"/>
  <c r="AE13" i="3"/>
  <c r="AD13" i="3"/>
  <c r="AC13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3" i="3"/>
  <c r="AR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V115" i="3" s="1"/>
  <c r="AU13" i="3"/>
  <c r="AU14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X115" i="3"/>
  <c r="Z115" i="3"/>
  <c r="AA115" i="3"/>
  <c r="AP115" i="3"/>
  <c r="AX115" i="3" s="1"/>
  <c r="AQ115" i="3"/>
  <c r="AS115" i="3"/>
  <c r="AT115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R115" i="3" s="1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3" i="3"/>
  <c r="AI107" i="17"/>
  <c r="AI108" i="17"/>
  <c r="AI109" i="17"/>
  <c r="AI110" i="17"/>
  <c r="AI111" i="17"/>
  <c r="AI112" i="17"/>
  <c r="AI113" i="17"/>
  <c r="AI114" i="17"/>
  <c r="AI115" i="17"/>
  <c r="AI116" i="17"/>
  <c r="AI117" i="17"/>
  <c r="AI118" i="17"/>
  <c r="AI119" i="17"/>
  <c r="AI120" i="17"/>
  <c r="AI121" i="17"/>
  <c r="AI122" i="17"/>
  <c r="AI106" i="1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28" i="7"/>
  <c r="F30" i="7"/>
  <c r="F33" i="7"/>
  <c r="F40" i="7"/>
  <c r="F42" i="7"/>
  <c r="F45" i="7"/>
  <c r="F52" i="7"/>
  <c r="F54" i="7"/>
  <c r="F57" i="7"/>
  <c r="F64" i="7"/>
  <c r="F66" i="7"/>
  <c r="F69" i="7"/>
  <c r="F76" i="7"/>
  <c r="F78" i="7"/>
  <c r="F81" i="7"/>
  <c r="F88" i="7"/>
  <c r="F90" i="7"/>
  <c r="F93" i="7"/>
  <c r="F100" i="7"/>
  <c r="F102" i="7"/>
  <c r="F105" i="7"/>
  <c r="F112" i="7"/>
  <c r="F114" i="7"/>
  <c r="F116" i="7"/>
  <c r="F117" i="7"/>
  <c r="F124" i="7"/>
  <c r="AH4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H46" i="17"/>
  <c r="AH47" i="17"/>
  <c r="AH48" i="17"/>
  <c r="AH49" i="17"/>
  <c r="AH50" i="17"/>
  <c r="AH51" i="17"/>
  <c r="AH52" i="17"/>
  <c r="AH53" i="17"/>
  <c r="AH54" i="17"/>
  <c r="AH55" i="17"/>
  <c r="AH56" i="17"/>
  <c r="AH57" i="17"/>
  <c r="AH58" i="17"/>
  <c r="AH59" i="17"/>
  <c r="AH60" i="17"/>
  <c r="AH61" i="17"/>
  <c r="AH62" i="17"/>
  <c r="AH63" i="17"/>
  <c r="AH64" i="17"/>
  <c r="AH65" i="17"/>
  <c r="AH66" i="17"/>
  <c r="AH67" i="17"/>
  <c r="AH68" i="17"/>
  <c r="AH69" i="17"/>
  <c r="AH70" i="17"/>
  <c r="AH71" i="17"/>
  <c r="AH72" i="17"/>
  <c r="AH73" i="17"/>
  <c r="AH74" i="17"/>
  <c r="AH75" i="17"/>
  <c r="AH76" i="17"/>
  <c r="AH77" i="17"/>
  <c r="AH78" i="17"/>
  <c r="AH79" i="17"/>
  <c r="AH80" i="17"/>
  <c r="AH81" i="17"/>
  <c r="AH82" i="17"/>
  <c r="AH83" i="17"/>
  <c r="AH84" i="17"/>
  <c r="AH85" i="17"/>
  <c r="AH86" i="17"/>
  <c r="AH87" i="17"/>
  <c r="AH88" i="17"/>
  <c r="AH89" i="17"/>
  <c r="AH90" i="17"/>
  <c r="AH91" i="17"/>
  <c r="AH92" i="17"/>
  <c r="AH93" i="17"/>
  <c r="AH94" i="17"/>
  <c r="AH95" i="17"/>
  <c r="AH96" i="17"/>
  <c r="AH97" i="17"/>
  <c r="AH98" i="17"/>
  <c r="AH99" i="17"/>
  <c r="AH100" i="17"/>
  <c r="AH101" i="17"/>
  <c r="AH102" i="17"/>
  <c r="AH103" i="17"/>
  <c r="AH104" i="17"/>
  <c r="AH105" i="17"/>
  <c r="AK105" i="17" s="1"/>
  <c r="AH3" i="17"/>
  <c r="C107" i="17"/>
  <c r="C108" i="17"/>
  <c r="G108" i="17" s="1"/>
  <c r="C109" i="17"/>
  <c r="C110" i="17"/>
  <c r="C111" i="17"/>
  <c r="C112" i="17"/>
  <c r="G112" i="17" s="1"/>
  <c r="C113" i="17"/>
  <c r="G113" i="17" s="1"/>
  <c r="C114" i="17"/>
  <c r="G114" i="17" s="1"/>
  <c r="C115" i="17"/>
  <c r="C116" i="17"/>
  <c r="C117" i="17"/>
  <c r="C118" i="17"/>
  <c r="C119" i="17"/>
  <c r="C120" i="17"/>
  <c r="C121" i="17"/>
  <c r="C122" i="17"/>
  <c r="C105" i="1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23" i="7"/>
  <c r="D24" i="7"/>
  <c r="D25" i="7"/>
  <c r="D26" i="7"/>
  <c r="D27" i="7"/>
  <c r="D28" i="7"/>
  <c r="D29" i="7"/>
  <c r="F29" i="7" s="1"/>
  <c r="D30" i="7"/>
  <c r="D31" i="7"/>
  <c r="D32" i="7"/>
  <c r="D33" i="7"/>
  <c r="D34" i="7"/>
  <c r="D35" i="7"/>
  <c r="D36" i="7"/>
  <c r="D37" i="7"/>
  <c r="D38" i="7"/>
  <c r="D39" i="7"/>
  <c r="D40" i="7"/>
  <c r="D41" i="7"/>
  <c r="F41" i="7" s="1"/>
  <c r="D42" i="7"/>
  <c r="D43" i="7"/>
  <c r="D44" i="7"/>
  <c r="D45" i="7"/>
  <c r="D46" i="7"/>
  <c r="D47" i="7"/>
  <c r="D48" i="7"/>
  <c r="D49" i="7"/>
  <c r="D50" i="7"/>
  <c r="D51" i="7"/>
  <c r="D52" i="7"/>
  <c r="D53" i="7"/>
  <c r="F53" i="7" s="1"/>
  <c r="D54" i="7"/>
  <c r="D55" i="7"/>
  <c r="D56" i="7"/>
  <c r="D57" i="7"/>
  <c r="D58" i="7"/>
  <c r="D59" i="7"/>
  <c r="D60" i="7"/>
  <c r="D61" i="7"/>
  <c r="D62" i="7"/>
  <c r="D63" i="7"/>
  <c r="D64" i="7"/>
  <c r="D65" i="7"/>
  <c r="F65" i="7" s="1"/>
  <c r="D66" i="7"/>
  <c r="D67" i="7"/>
  <c r="D68" i="7"/>
  <c r="D69" i="7"/>
  <c r="D70" i="7"/>
  <c r="D71" i="7"/>
  <c r="D72" i="7"/>
  <c r="D73" i="7"/>
  <c r="D74" i="7"/>
  <c r="D75" i="7"/>
  <c r="D76" i="7"/>
  <c r="D77" i="7"/>
  <c r="F77" i="7" s="1"/>
  <c r="D78" i="7"/>
  <c r="D79" i="7"/>
  <c r="D80" i="7"/>
  <c r="D81" i="7"/>
  <c r="D82" i="7"/>
  <c r="D83" i="7"/>
  <c r="D84" i="7"/>
  <c r="D85" i="7"/>
  <c r="D86" i="7"/>
  <c r="D87" i="7"/>
  <c r="D88" i="7"/>
  <c r="D89" i="7"/>
  <c r="F89" i="7" s="1"/>
  <c r="D90" i="7"/>
  <c r="D91" i="7"/>
  <c r="D92" i="7"/>
  <c r="D93" i="7"/>
  <c r="D94" i="7"/>
  <c r="D95" i="7"/>
  <c r="D96" i="7"/>
  <c r="D97" i="7"/>
  <c r="D98" i="7"/>
  <c r="D99" i="7"/>
  <c r="D100" i="7"/>
  <c r="D101" i="7"/>
  <c r="F101" i="7" s="1"/>
  <c r="D102" i="7"/>
  <c r="D103" i="7"/>
  <c r="D104" i="7"/>
  <c r="D105" i="7"/>
  <c r="D106" i="7"/>
  <c r="D107" i="7"/>
  <c r="D108" i="7"/>
  <c r="D109" i="7"/>
  <c r="D110" i="7"/>
  <c r="D111" i="7"/>
  <c r="D112" i="7"/>
  <c r="D113" i="7"/>
  <c r="F113" i="7" s="1"/>
  <c r="D114" i="7"/>
  <c r="D115" i="7"/>
  <c r="D116" i="7"/>
  <c r="D117" i="7"/>
  <c r="D118" i="7"/>
  <c r="D119" i="7"/>
  <c r="D120" i="7"/>
  <c r="D121" i="7"/>
  <c r="D122" i="7"/>
  <c r="D123" i="7"/>
  <c r="D124" i="7"/>
  <c r="D22" i="7"/>
  <c r="C23" i="7"/>
  <c r="F23" i="7" s="1"/>
  <c r="C24" i="7"/>
  <c r="F24" i="7" s="1"/>
  <c r="C25" i="7"/>
  <c r="F25" i="7" s="1"/>
  <c r="C26" i="7"/>
  <c r="F26" i="7" s="1"/>
  <c r="C27" i="7"/>
  <c r="F27" i="7" s="1"/>
  <c r="C28" i="7"/>
  <c r="C29" i="7"/>
  <c r="C30" i="7"/>
  <c r="C31" i="7"/>
  <c r="F31" i="7" s="1"/>
  <c r="C32" i="7"/>
  <c r="F32" i="7" s="1"/>
  <c r="C33" i="7"/>
  <c r="C34" i="7"/>
  <c r="F34" i="7" s="1"/>
  <c r="C35" i="7"/>
  <c r="F35" i="7" s="1"/>
  <c r="C36" i="7"/>
  <c r="F36" i="7" s="1"/>
  <c r="C37" i="7"/>
  <c r="F37" i="7" s="1"/>
  <c r="C38" i="7"/>
  <c r="F38" i="7" s="1"/>
  <c r="C39" i="7"/>
  <c r="F39" i="7" s="1"/>
  <c r="C40" i="7"/>
  <c r="C41" i="7"/>
  <c r="C42" i="7"/>
  <c r="C43" i="7"/>
  <c r="F43" i="7" s="1"/>
  <c r="C44" i="7"/>
  <c r="F44" i="7" s="1"/>
  <c r="C45" i="7"/>
  <c r="C46" i="7"/>
  <c r="F46" i="7" s="1"/>
  <c r="C47" i="7"/>
  <c r="F47" i="7" s="1"/>
  <c r="C48" i="7"/>
  <c r="F48" i="7" s="1"/>
  <c r="C49" i="7"/>
  <c r="F49" i="7" s="1"/>
  <c r="C50" i="7"/>
  <c r="F50" i="7" s="1"/>
  <c r="C51" i="7"/>
  <c r="F51" i="7" s="1"/>
  <c r="C52" i="7"/>
  <c r="C53" i="7"/>
  <c r="C54" i="7"/>
  <c r="C55" i="7"/>
  <c r="F55" i="7" s="1"/>
  <c r="C56" i="7"/>
  <c r="F56" i="7" s="1"/>
  <c r="C57" i="7"/>
  <c r="C58" i="7"/>
  <c r="F58" i="7" s="1"/>
  <c r="C59" i="7"/>
  <c r="F59" i="7" s="1"/>
  <c r="C60" i="7"/>
  <c r="F60" i="7" s="1"/>
  <c r="C61" i="7"/>
  <c r="F61" i="7" s="1"/>
  <c r="C62" i="7"/>
  <c r="F62" i="7" s="1"/>
  <c r="C63" i="7"/>
  <c r="F63" i="7" s="1"/>
  <c r="C64" i="7"/>
  <c r="C65" i="7"/>
  <c r="C66" i="7"/>
  <c r="C67" i="7"/>
  <c r="F67" i="7" s="1"/>
  <c r="C68" i="7"/>
  <c r="F68" i="7" s="1"/>
  <c r="C69" i="7"/>
  <c r="C70" i="7"/>
  <c r="F70" i="7" s="1"/>
  <c r="C71" i="7"/>
  <c r="F71" i="7" s="1"/>
  <c r="C72" i="7"/>
  <c r="F72" i="7" s="1"/>
  <c r="C73" i="7"/>
  <c r="F73" i="7" s="1"/>
  <c r="C74" i="7"/>
  <c r="F74" i="7" s="1"/>
  <c r="C75" i="7"/>
  <c r="F75" i="7" s="1"/>
  <c r="C76" i="7"/>
  <c r="C77" i="7"/>
  <c r="C78" i="7"/>
  <c r="C79" i="7"/>
  <c r="F79" i="7" s="1"/>
  <c r="C80" i="7"/>
  <c r="F80" i="7" s="1"/>
  <c r="C81" i="7"/>
  <c r="C82" i="7"/>
  <c r="F82" i="7" s="1"/>
  <c r="C83" i="7"/>
  <c r="F83" i="7" s="1"/>
  <c r="C84" i="7"/>
  <c r="F84" i="7" s="1"/>
  <c r="C85" i="7"/>
  <c r="F85" i="7" s="1"/>
  <c r="C86" i="7"/>
  <c r="F86" i="7" s="1"/>
  <c r="C87" i="7"/>
  <c r="F87" i="7" s="1"/>
  <c r="C88" i="7"/>
  <c r="C89" i="7"/>
  <c r="C90" i="7"/>
  <c r="C91" i="7"/>
  <c r="F91" i="7" s="1"/>
  <c r="C92" i="7"/>
  <c r="F92" i="7" s="1"/>
  <c r="C93" i="7"/>
  <c r="C94" i="7"/>
  <c r="F94" i="7" s="1"/>
  <c r="C95" i="7"/>
  <c r="F95" i="7" s="1"/>
  <c r="C96" i="7"/>
  <c r="F96" i="7" s="1"/>
  <c r="C97" i="7"/>
  <c r="F97" i="7" s="1"/>
  <c r="C98" i="7"/>
  <c r="F98" i="7" s="1"/>
  <c r="C99" i="7"/>
  <c r="F99" i="7" s="1"/>
  <c r="C100" i="7"/>
  <c r="C101" i="7"/>
  <c r="C102" i="7"/>
  <c r="C103" i="7"/>
  <c r="F103" i="7" s="1"/>
  <c r="C104" i="7"/>
  <c r="F104" i="7" s="1"/>
  <c r="C105" i="7"/>
  <c r="C106" i="7"/>
  <c r="F106" i="7" s="1"/>
  <c r="C107" i="7"/>
  <c r="F107" i="7" s="1"/>
  <c r="C108" i="7"/>
  <c r="F108" i="7" s="1"/>
  <c r="C109" i="7"/>
  <c r="F109" i="7" s="1"/>
  <c r="C110" i="7"/>
  <c r="F110" i="7" s="1"/>
  <c r="C111" i="7"/>
  <c r="F111" i="7" s="1"/>
  <c r="C112" i="7"/>
  <c r="C113" i="7"/>
  <c r="C114" i="7"/>
  <c r="C115" i="7"/>
  <c r="F115" i="7" s="1"/>
  <c r="C116" i="7"/>
  <c r="C117" i="7"/>
  <c r="C118" i="7"/>
  <c r="F118" i="7" s="1"/>
  <c r="C119" i="7"/>
  <c r="F119" i="7" s="1"/>
  <c r="C120" i="7"/>
  <c r="F120" i="7" s="1"/>
  <c r="C121" i="7"/>
  <c r="F121" i="7" s="1"/>
  <c r="C122" i="7"/>
  <c r="F122" i="7" s="1"/>
  <c r="C123" i="7"/>
  <c r="F123" i="7" s="1"/>
  <c r="C124" i="7"/>
  <c r="C22" i="7"/>
  <c r="F22" i="7" s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2" i="8"/>
  <c r="E124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22" i="7"/>
  <c r="B105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3" i="17"/>
  <c r="L124" i="7"/>
  <c r="P124" i="7" s="1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22" i="7"/>
  <c r="W15" i="1"/>
  <c r="W16" i="1"/>
  <c r="W17" i="1"/>
  <c r="W18" i="1"/>
  <c r="F113" i="1"/>
  <c r="E117" i="1"/>
  <c r="D124" i="1"/>
  <c r="D104" i="1"/>
  <c r="C113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" i="1"/>
  <c r="D104" i="8"/>
  <c r="E104" i="8" s="1"/>
  <c r="F104" i="8" s="1"/>
  <c r="G104" i="8"/>
  <c r="H104" i="8"/>
  <c r="I104" i="8"/>
  <c r="AJ122" i="17"/>
  <c r="AJ111" i="17"/>
  <c r="AK120" i="17"/>
  <c r="AK118" i="17"/>
  <c r="I133" i="7"/>
  <c r="I135" i="7"/>
  <c r="I138" i="7"/>
  <c r="AJ114" i="17"/>
  <c r="AK109" i="17"/>
  <c r="AK106" i="17"/>
  <c r="I139" i="7"/>
  <c r="I141" i="7"/>
  <c r="AK121" i="17"/>
  <c r="H126" i="7"/>
  <c r="H128" i="7"/>
  <c r="H130" i="7"/>
  <c r="H134" i="7"/>
  <c r="AJ117" i="17"/>
  <c r="I134" i="7"/>
  <c r="AK113" i="17"/>
  <c r="H137" i="7"/>
  <c r="AK114" i="17"/>
  <c r="H127" i="7"/>
  <c r="AK107" i="17"/>
  <c r="H135" i="7"/>
  <c r="AK110" i="17"/>
  <c r="H132" i="7"/>
  <c r="H136" i="7"/>
  <c r="AJ107" i="17"/>
  <c r="AK122" i="17"/>
  <c r="H138" i="7"/>
  <c r="H140" i="7"/>
  <c r="I130" i="7"/>
  <c r="AJ108" i="17"/>
  <c r="I132" i="7"/>
  <c r="H131" i="7"/>
  <c r="AJ120" i="17"/>
  <c r="I131" i="7"/>
  <c r="AK115" i="17"/>
  <c r="AJ119" i="17"/>
  <c r="AK111" i="17"/>
  <c r="I126" i="7"/>
  <c r="I128" i="7"/>
  <c r="I136" i="7"/>
  <c r="AJ118" i="17"/>
  <c r="I140" i="7"/>
  <c r="AJ106" i="17"/>
  <c r="H129" i="7"/>
  <c r="AJ109" i="17"/>
  <c r="H133" i="7"/>
  <c r="I137" i="7"/>
  <c r="AK112" i="17"/>
  <c r="AJ110" i="17"/>
  <c r="AJ121" i="17"/>
  <c r="AK119" i="17"/>
  <c r="AK116" i="17"/>
  <c r="H139" i="7"/>
  <c r="H141" i="7"/>
  <c r="I125" i="7"/>
  <c r="AK108" i="17"/>
  <c r="AK117" i="17"/>
  <c r="I127" i="7"/>
  <c r="I129" i="7"/>
  <c r="H125" i="7"/>
  <c r="AJ113" i="17"/>
  <c r="AJ115" i="17"/>
  <c r="AJ112" i="17"/>
  <c r="AJ116" i="17"/>
  <c r="G105" i="17" l="1"/>
  <c r="G111" i="17"/>
  <c r="F105" i="17"/>
  <c r="G109" i="17"/>
  <c r="G110" i="17"/>
  <c r="G107" i="17"/>
  <c r="F117" i="17"/>
  <c r="H117" i="17" s="1"/>
  <c r="G106" i="17"/>
  <c r="G117" i="17"/>
  <c r="G116" i="17"/>
  <c r="G115" i="17"/>
  <c r="AI105" i="17"/>
  <c r="AJ105" i="17"/>
  <c r="D106" i="17"/>
  <c r="E110" i="17"/>
  <c r="E108" i="17"/>
  <c r="E106" i="17"/>
  <c r="D122" i="17"/>
  <c r="D120" i="17"/>
  <c r="E118" i="17"/>
  <c r="D114" i="17"/>
  <c r="D110" i="17"/>
  <c r="E121" i="17"/>
  <c r="E117" i="17"/>
  <c r="E109" i="17"/>
  <c r="E107" i="17"/>
  <c r="E112" i="17"/>
  <c r="D112" i="17"/>
  <c r="E113" i="17"/>
  <c r="E111" i="17"/>
  <c r="D121" i="17"/>
  <c r="D119" i="17"/>
  <c r="D117" i="17"/>
  <c r="D113" i="17"/>
  <c r="D116" i="17"/>
  <c r="D108" i="17"/>
  <c r="D118" i="17"/>
  <c r="E115" i="17"/>
  <c r="D115" i="17"/>
  <c r="D111" i="17"/>
  <c r="D109" i="17"/>
  <c r="D107" i="17"/>
  <c r="E122" i="17"/>
  <c r="E120" i="17"/>
  <c r="E119" i="17"/>
  <c r="E116" i="17"/>
  <c r="E114" i="17"/>
  <c r="N124" i="7"/>
  <c r="V15" i="16"/>
  <c r="R15" i="19" l="1"/>
  <c r="W15" i="16"/>
  <c r="U15" i="16" s="1"/>
  <c r="Z5" i="19"/>
  <c r="Z6" i="19" s="1"/>
  <c r="Z7" i="19" s="1"/>
  <c r="Z8" i="19" s="1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Z84" i="19" s="1"/>
  <c r="Z85" i="19" s="1"/>
  <c r="Z86" i="19" s="1"/>
  <c r="Z87" i="19" s="1"/>
  <c r="Z88" i="19" s="1"/>
  <c r="Z89" i="19" s="1"/>
  <c r="Z90" i="19" s="1"/>
  <c r="Z91" i="19" s="1"/>
  <c r="Z92" i="19" s="1"/>
  <c r="Z93" i="19" s="1"/>
  <c r="Z94" i="19" s="1"/>
  <c r="Z95" i="19" s="1"/>
  <c r="Z96" i="19" s="1"/>
  <c r="Z97" i="19" s="1"/>
  <c r="Z98" i="19" s="1"/>
  <c r="Z99" i="19" s="1"/>
  <c r="Z100" i="19" s="1"/>
  <c r="Z101" i="19" s="1"/>
  <c r="Z102" i="19" s="1"/>
  <c r="Z103" i="19" s="1"/>
  <c r="Z104" i="19" s="1"/>
  <c r="Z105" i="19" s="1"/>
  <c r="Z106" i="19" s="1"/>
  <c r="Z107" i="19" s="1"/>
  <c r="Z108" i="19" s="1"/>
  <c r="Z109" i="19" s="1"/>
  <c r="Z110" i="19" s="1"/>
  <c r="Z111" i="19" s="1"/>
  <c r="Z112" i="19" s="1"/>
  <c r="Z113" i="19" s="1"/>
  <c r="Z114" i="19" s="1"/>
  <c r="Z115" i="19" s="1"/>
  <c r="Z116" i="19" s="1"/>
  <c r="Z117" i="19" s="1"/>
  <c r="Z118" i="19" s="1"/>
  <c r="Z119" i="19" s="1"/>
  <c r="Z120" i="19" s="1"/>
  <c r="Z121" i="19" s="1"/>
  <c r="Z122" i="19" s="1"/>
  <c r="Z123" i="19" s="1"/>
  <c r="AE5" i="19"/>
  <c r="AE6" i="19" s="1"/>
  <c r="AE7" i="19" s="1"/>
  <c r="AE8" i="19" s="1"/>
  <c r="AE9" i="19" s="1"/>
  <c r="AE10" i="19" s="1"/>
  <c r="AE11" i="19" s="1"/>
  <c r="AE12" i="19" s="1"/>
  <c r="AE13" i="19" s="1"/>
  <c r="AE14" i="19" s="1"/>
  <c r="AE15" i="19" s="1"/>
  <c r="AE16" i="19" s="1"/>
  <c r="AE17" i="19" s="1"/>
  <c r="AE18" i="19" s="1"/>
  <c r="AE19" i="19" s="1"/>
  <c r="AE20" i="19" s="1"/>
  <c r="AE21" i="19" s="1"/>
  <c r="AE22" i="19" s="1"/>
  <c r="AE23" i="19" s="1"/>
  <c r="AE24" i="19" s="1"/>
  <c r="AE25" i="19" s="1"/>
  <c r="AE26" i="19" s="1"/>
  <c r="AE27" i="19" s="1"/>
  <c r="AE28" i="19" s="1"/>
  <c r="AE29" i="19" s="1"/>
  <c r="AE30" i="19" s="1"/>
  <c r="AE31" i="19" s="1"/>
  <c r="AE32" i="19" s="1"/>
  <c r="AE33" i="19" s="1"/>
  <c r="AE34" i="19" s="1"/>
  <c r="AE35" i="19" s="1"/>
  <c r="AE36" i="19" s="1"/>
  <c r="AE37" i="19" s="1"/>
  <c r="AE38" i="19" s="1"/>
  <c r="AE39" i="19" s="1"/>
  <c r="AE40" i="19" s="1"/>
  <c r="AE41" i="19" s="1"/>
  <c r="AE42" i="19" s="1"/>
  <c r="AE43" i="19" s="1"/>
  <c r="AE44" i="19" s="1"/>
  <c r="AE45" i="19" s="1"/>
  <c r="AE46" i="19" s="1"/>
  <c r="AE47" i="19" s="1"/>
  <c r="AE48" i="19" s="1"/>
  <c r="AE49" i="19" s="1"/>
  <c r="AE50" i="19" s="1"/>
  <c r="AE51" i="19" s="1"/>
  <c r="AE52" i="19" s="1"/>
  <c r="AE53" i="19" s="1"/>
  <c r="AE54" i="19" s="1"/>
  <c r="AE55" i="19" s="1"/>
  <c r="AE56" i="19" s="1"/>
  <c r="AE57" i="19" s="1"/>
  <c r="AE58" i="19" s="1"/>
  <c r="AE59" i="19" s="1"/>
  <c r="AE60" i="19" s="1"/>
  <c r="AE61" i="19" s="1"/>
  <c r="AE62" i="19" s="1"/>
  <c r="AE63" i="19" s="1"/>
  <c r="AE64" i="19" s="1"/>
  <c r="AE65" i="19" s="1"/>
  <c r="AE66" i="19" s="1"/>
  <c r="AE67" i="19" s="1"/>
  <c r="AE68" i="19" s="1"/>
  <c r="AE69" i="19" s="1"/>
  <c r="AE70" i="19" s="1"/>
  <c r="AE71" i="19" s="1"/>
  <c r="AE72" i="19" s="1"/>
  <c r="AE73" i="19" s="1"/>
  <c r="AE74" i="19" s="1"/>
  <c r="AE75" i="19" s="1"/>
  <c r="AE76" i="19" s="1"/>
  <c r="AE77" i="19" s="1"/>
  <c r="AE78" i="19" s="1"/>
  <c r="AE79" i="19" s="1"/>
  <c r="AE80" i="19" s="1"/>
  <c r="AE81" i="19" s="1"/>
  <c r="AE82" i="19" s="1"/>
  <c r="AE83" i="19" s="1"/>
  <c r="AE84" i="19" s="1"/>
  <c r="AE85" i="19" s="1"/>
  <c r="AE86" i="19" s="1"/>
  <c r="AE87" i="19" s="1"/>
  <c r="AE88" i="19" s="1"/>
  <c r="AE89" i="19" s="1"/>
  <c r="AE90" i="19" s="1"/>
  <c r="AE91" i="19" s="1"/>
  <c r="AE92" i="19" s="1"/>
  <c r="AE93" i="19" s="1"/>
  <c r="AE94" i="19" s="1"/>
  <c r="AE95" i="19" s="1"/>
  <c r="AE96" i="19" s="1"/>
  <c r="AE97" i="19" s="1"/>
  <c r="AE98" i="19" s="1"/>
  <c r="AE99" i="19" s="1"/>
  <c r="AE100" i="19" s="1"/>
  <c r="AE101" i="19" s="1"/>
  <c r="AE102" i="19" s="1"/>
  <c r="AE103" i="19" s="1"/>
  <c r="AE104" i="19" s="1"/>
  <c r="AE105" i="19" s="1"/>
  <c r="AE106" i="19" s="1"/>
  <c r="AE107" i="19" s="1"/>
  <c r="AE108" i="19" s="1"/>
  <c r="AE109" i="19" s="1"/>
  <c r="AE110" i="19" s="1"/>
  <c r="AE111" i="19" s="1"/>
  <c r="AE112" i="19" s="1"/>
  <c r="AE113" i="19" s="1"/>
  <c r="AE114" i="19" s="1"/>
  <c r="AE115" i="19" s="1"/>
  <c r="AE116" i="19" s="1"/>
  <c r="AE117" i="19" s="1"/>
  <c r="AE118" i="19" s="1"/>
  <c r="AE119" i="19" s="1"/>
  <c r="AE120" i="19" s="1"/>
  <c r="AE121" i="19" s="1"/>
  <c r="AE122" i="19" s="1"/>
  <c r="AE123" i="19" s="1"/>
  <c r="R73" i="7"/>
  <c r="R74" i="7"/>
  <c r="R75" i="7"/>
  <c r="M22" i="7"/>
  <c r="P22" i="7" s="1"/>
  <c r="M23" i="7"/>
  <c r="O23" i="7" s="1"/>
  <c r="M24" i="7"/>
  <c r="O24" i="7" s="1"/>
  <c r="M25" i="7"/>
  <c r="O25" i="7" s="1"/>
  <c r="M26" i="7"/>
  <c r="O26" i="7" s="1"/>
  <c r="M27" i="7"/>
  <c r="O27" i="7" s="1"/>
  <c r="M28" i="7"/>
  <c r="O28" i="7" s="1"/>
  <c r="M29" i="7"/>
  <c r="P29" i="7" s="1"/>
  <c r="Q29" i="7" s="1"/>
  <c r="R29" i="7" s="1"/>
  <c r="M30" i="7"/>
  <c r="O30" i="7" s="1"/>
  <c r="M31" i="7"/>
  <c r="O31" i="7" s="1"/>
  <c r="M32" i="7"/>
  <c r="P32" i="7" s="1"/>
  <c r="Q32" i="7" s="1"/>
  <c r="R32" i="7" s="1"/>
  <c r="M33" i="7"/>
  <c r="O33" i="7" s="1"/>
  <c r="M34" i="7"/>
  <c r="O34" i="7" s="1"/>
  <c r="M35" i="7"/>
  <c r="O35" i="7" s="1"/>
  <c r="M36" i="7"/>
  <c r="O36" i="7" s="1"/>
  <c r="M37" i="7"/>
  <c r="O37" i="7" s="1"/>
  <c r="M38" i="7"/>
  <c r="O38" i="7" s="1"/>
  <c r="M39" i="7"/>
  <c r="P39" i="7" s="1"/>
  <c r="Q39" i="7" s="1"/>
  <c r="R39" i="7" s="1"/>
  <c r="M40" i="7"/>
  <c r="O40" i="7" s="1"/>
  <c r="M41" i="7"/>
  <c r="P41" i="7" s="1"/>
  <c r="Q41" i="7" s="1"/>
  <c r="R41" i="7" s="1"/>
  <c r="M42" i="7"/>
  <c r="O42" i="7" s="1"/>
  <c r="M43" i="7"/>
  <c r="O43" i="7" s="1"/>
  <c r="M44" i="7"/>
  <c r="P44" i="7" s="1"/>
  <c r="Q44" i="7" s="1"/>
  <c r="R44" i="7" s="1"/>
  <c r="M45" i="7"/>
  <c r="O45" i="7" s="1"/>
  <c r="M46" i="7"/>
  <c r="O46" i="7" s="1"/>
  <c r="M47" i="7"/>
  <c r="O47" i="7" s="1"/>
  <c r="M48" i="7"/>
  <c r="O48" i="7" s="1"/>
  <c r="M49" i="7"/>
  <c r="O49" i="7" s="1"/>
  <c r="M50" i="7"/>
  <c r="P50" i="7" s="1"/>
  <c r="Q50" i="7" s="1"/>
  <c r="R50" i="7" s="1"/>
  <c r="M51" i="7"/>
  <c r="P51" i="7" s="1"/>
  <c r="Q51" i="7" s="1"/>
  <c r="R51" i="7" s="1"/>
  <c r="M52" i="7"/>
  <c r="P52" i="7" s="1"/>
  <c r="Q52" i="7" s="1"/>
  <c r="R52" i="7" s="1"/>
  <c r="M53" i="7"/>
  <c r="P53" i="7" s="1"/>
  <c r="Q53" i="7" s="1"/>
  <c r="R53" i="7" s="1"/>
  <c r="M54" i="7"/>
  <c r="O54" i="7" s="1"/>
  <c r="M55" i="7"/>
  <c r="O55" i="7" s="1"/>
  <c r="M56" i="7"/>
  <c r="O56" i="7" s="1"/>
  <c r="M57" i="7"/>
  <c r="O57" i="7" s="1"/>
  <c r="M58" i="7"/>
  <c r="O58" i="7" s="1"/>
  <c r="M59" i="7"/>
  <c r="O59" i="7" s="1"/>
  <c r="M60" i="7"/>
  <c r="O60" i="7" s="1"/>
  <c r="M61" i="7"/>
  <c r="O61" i="7" s="1"/>
  <c r="M62" i="7"/>
  <c r="O62" i="7" s="1"/>
  <c r="M63" i="7"/>
  <c r="O63" i="7" s="1"/>
  <c r="M64" i="7"/>
  <c r="O64" i="7" s="1"/>
  <c r="M65" i="7"/>
  <c r="P65" i="7" s="1"/>
  <c r="Q65" i="7" s="1"/>
  <c r="R65" i="7" s="1"/>
  <c r="M66" i="7"/>
  <c r="O66" i="7" s="1"/>
  <c r="M67" i="7"/>
  <c r="O67" i="7" s="1"/>
  <c r="M68" i="7"/>
  <c r="P68" i="7" s="1"/>
  <c r="Q68" i="7" s="1"/>
  <c r="R68" i="7" s="1"/>
  <c r="M69" i="7"/>
  <c r="O69" i="7" s="1"/>
  <c r="M70" i="7"/>
  <c r="O70" i="7" s="1"/>
  <c r="M71" i="7"/>
  <c r="O71" i="7" s="1"/>
  <c r="M72" i="7"/>
  <c r="O72" i="7" s="1"/>
  <c r="M73" i="7"/>
  <c r="O73" i="7" s="1"/>
  <c r="M74" i="7"/>
  <c r="O74" i="7" s="1"/>
  <c r="M75" i="7"/>
  <c r="O75" i="7" s="1"/>
  <c r="M76" i="7"/>
  <c r="O76" i="7" s="1"/>
  <c r="M77" i="7"/>
  <c r="P77" i="7" s="1"/>
  <c r="Q77" i="7" s="1"/>
  <c r="M78" i="7"/>
  <c r="O78" i="7" s="1"/>
  <c r="M79" i="7"/>
  <c r="O79" i="7" s="1"/>
  <c r="M80" i="7"/>
  <c r="P80" i="7" s="1"/>
  <c r="Q80" i="7" s="1"/>
  <c r="M81" i="7"/>
  <c r="O81" i="7" s="1"/>
  <c r="M82" i="7"/>
  <c r="O82" i="7" s="1"/>
  <c r="M83" i="7"/>
  <c r="O83" i="7" s="1"/>
  <c r="M84" i="7"/>
  <c r="O84" i="7" s="1"/>
  <c r="M85" i="7"/>
  <c r="O85" i="7" s="1"/>
  <c r="M86" i="7"/>
  <c r="O86" i="7" s="1"/>
  <c r="M87" i="7"/>
  <c r="O87" i="7" s="1"/>
  <c r="M88" i="7"/>
  <c r="O88" i="7" s="1"/>
  <c r="M89" i="7"/>
  <c r="P89" i="7" s="1"/>
  <c r="Q89" i="7" s="1"/>
  <c r="M90" i="7"/>
  <c r="O90" i="7" s="1"/>
  <c r="M91" i="7"/>
  <c r="O91" i="7" s="1"/>
  <c r="M92" i="7"/>
  <c r="P92" i="7" s="1"/>
  <c r="Q92" i="7" s="1"/>
  <c r="M93" i="7"/>
  <c r="O93" i="7" s="1"/>
  <c r="M94" i="7"/>
  <c r="O94" i="7" s="1"/>
  <c r="M95" i="7"/>
  <c r="O95" i="7" s="1"/>
  <c r="M96" i="7"/>
  <c r="O96" i="7" s="1"/>
  <c r="M97" i="7"/>
  <c r="O97" i="7" s="1"/>
  <c r="M98" i="7"/>
  <c r="O98" i="7" s="1"/>
  <c r="M99" i="7"/>
  <c r="P99" i="7" s="1"/>
  <c r="Q99" i="7" s="1"/>
  <c r="R99" i="7" s="1"/>
  <c r="M100" i="7"/>
  <c r="P100" i="7" s="1"/>
  <c r="Q100" i="7" s="1"/>
  <c r="R100" i="7" s="1"/>
  <c r="M101" i="7"/>
  <c r="P101" i="7" s="1"/>
  <c r="Q101" i="7" s="1"/>
  <c r="R101" i="7" s="1"/>
  <c r="M102" i="7"/>
  <c r="O102" i="7" s="1"/>
  <c r="M103" i="7"/>
  <c r="O103" i="7" s="1"/>
  <c r="M104" i="7"/>
  <c r="P104" i="7" s="1"/>
  <c r="Q104" i="7" s="1"/>
  <c r="R104" i="7" s="1"/>
  <c r="M105" i="7"/>
  <c r="O105" i="7" s="1"/>
  <c r="M106" i="7"/>
  <c r="O106" i="7" s="1"/>
  <c r="M107" i="7"/>
  <c r="O107" i="7" s="1"/>
  <c r="M108" i="7"/>
  <c r="O108" i="7" s="1"/>
  <c r="M109" i="7"/>
  <c r="O109" i="7" s="1"/>
  <c r="M110" i="7"/>
  <c r="O110" i="7" s="1"/>
  <c r="M111" i="7"/>
  <c r="O111" i="7" s="1"/>
  <c r="M112" i="7"/>
  <c r="O112" i="7" s="1"/>
  <c r="M113" i="7"/>
  <c r="P113" i="7" s="1"/>
  <c r="Q113" i="7" s="1"/>
  <c r="R113" i="7" s="1"/>
  <c r="M114" i="7"/>
  <c r="O114" i="7" s="1"/>
  <c r="M115" i="7"/>
  <c r="O115" i="7" s="1"/>
  <c r="M116" i="7"/>
  <c r="O116" i="7" s="1"/>
  <c r="M117" i="7"/>
  <c r="O117" i="7" s="1"/>
  <c r="M118" i="7"/>
  <c r="O118" i="7" s="1"/>
  <c r="M119" i="7"/>
  <c r="O119" i="7" s="1"/>
  <c r="M120" i="7"/>
  <c r="O120" i="7" s="1"/>
  <c r="M121" i="7"/>
  <c r="O121" i="7" s="1"/>
  <c r="M122" i="7"/>
  <c r="O122" i="7" s="1"/>
  <c r="M123" i="7"/>
  <c r="O123" i="7" s="1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22" i="7"/>
  <c r="O104" i="7" l="1"/>
  <c r="P120" i="7"/>
  <c r="Q120" i="7" s="1"/>
  <c r="R120" i="7" s="1"/>
  <c r="P72" i="7"/>
  <c r="Q72" i="7" s="1"/>
  <c r="R72" i="7" s="1"/>
  <c r="P96" i="7"/>
  <c r="Q96" i="7" s="1"/>
  <c r="R96" i="7" s="1"/>
  <c r="P48" i="7"/>
  <c r="Q48" i="7" s="1"/>
  <c r="R48" i="7" s="1"/>
  <c r="P36" i="7"/>
  <c r="Q36" i="7" s="1"/>
  <c r="R36" i="7" s="1"/>
  <c r="P84" i="7"/>
  <c r="Q84" i="7" s="1"/>
  <c r="P75" i="7"/>
  <c r="O92" i="7"/>
  <c r="O80" i="7"/>
  <c r="P27" i="7"/>
  <c r="Q27" i="7" s="1"/>
  <c r="R27" i="7" s="1"/>
  <c r="O77" i="7"/>
  <c r="P24" i="7"/>
  <c r="Q24" i="7" s="1"/>
  <c r="R24" i="7" s="1"/>
  <c r="O44" i="7"/>
  <c r="O41" i="7"/>
  <c r="O39" i="7"/>
  <c r="P123" i="7"/>
  <c r="O52" i="7"/>
  <c r="O101" i="7"/>
  <c r="O51" i="7"/>
  <c r="P88" i="7"/>
  <c r="Q88" i="7" s="1"/>
  <c r="P40" i="7"/>
  <c r="Q40" i="7" s="1"/>
  <c r="R40" i="7" s="1"/>
  <c r="O100" i="7"/>
  <c r="P87" i="7"/>
  <c r="Q87" i="7" s="1"/>
  <c r="O99" i="7"/>
  <c r="P76" i="7"/>
  <c r="Q76" i="7" s="1"/>
  <c r="P28" i="7"/>
  <c r="Q28" i="7" s="1"/>
  <c r="R28" i="7" s="1"/>
  <c r="P112" i="7"/>
  <c r="Q112" i="7" s="1"/>
  <c r="R112" i="7" s="1"/>
  <c r="P64" i="7"/>
  <c r="Q64" i="7" s="1"/>
  <c r="R64" i="7" s="1"/>
  <c r="P111" i="7"/>
  <c r="Q111" i="7" s="1"/>
  <c r="R111" i="7" s="1"/>
  <c r="P63" i="7"/>
  <c r="Q63" i="7" s="1"/>
  <c r="R63" i="7" s="1"/>
  <c r="O68" i="7"/>
  <c r="P108" i="7"/>
  <c r="Q108" i="7" s="1"/>
  <c r="R108" i="7" s="1"/>
  <c r="P60" i="7"/>
  <c r="Q60" i="7" s="1"/>
  <c r="R60" i="7" s="1"/>
  <c r="O65" i="7"/>
  <c r="Q22" i="7"/>
  <c r="O50" i="7"/>
  <c r="P122" i="7"/>
  <c r="Q122" i="7" s="1"/>
  <c r="R122" i="7" s="1"/>
  <c r="P110" i="7"/>
  <c r="Q110" i="7" s="1"/>
  <c r="R110" i="7" s="1"/>
  <c r="P98" i="7"/>
  <c r="Q98" i="7" s="1"/>
  <c r="R98" i="7" s="1"/>
  <c r="P86" i="7"/>
  <c r="Q86" i="7" s="1"/>
  <c r="P74" i="7"/>
  <c r="P62" i="7"/>
  <c r="Q62" i="7" s="1"/>
  <c r="R62" i="7" s="1"/>
  <c r="P38" i="7"/>
  <c r="Q38" i="7" s="1"/>
  <c r="R38" i="7" s="1"/>
  <c r="P26" i="7"/>
  <c r="Q26" i="7" s="1"/>
  <c r="R26" i="7" s="1"/>
  <c r="P121" i="7"/>
  <c r="Q121" i="7" s="1"/>
  <c r="R121" i="7" s="1"/>
  <c r="P109" i="7"/>
  <c r="Q109" i="7" s="1"/>
  <c r="R109" i="7" s="1"/>
  <c r="P97" i="7"/>
  <c r="Q97" i="7" s="1"/>
  <c r="R97" i="7" s="1"/>
  <c r="P85" i="7"/>
  <c r="Q85" i="7" s="1"/>
  <c r="P73" i="7"/>
  <c r="P61" i="7"/>
  <c r="Q61" i="7" s="1"/>
  <c r="R61" i="7" s="1"/>
  <c r="P49" i="7"/>
  <c r="Q49" i="7" s="1"/>
  <c r="R49" i="7" s="1"/>
  <c r="P37" i="7"/>
  <c r="Q37" i="7" s="1"/>
  <c r="R37" i="7" s="1"/>
  <c r="P25" i="7"/>
  <c r="Q25" i="7" s="1"/>
  <c r="R25" i="7" s="1"/>
  <c r="P119" i="7"/>
  <c r="Q119" i="7" s="1"/>
  <c r="R119" i="7" s="1"/>
  <c r="P107" i="7"/>
  <c r="Q107" i="7" s="1"/>
  <c r="R107" i="7" s="1"/>
  <c r="P95" i="7"/>
  <c r="Q95" i="7" s="1"/>
  <c r="P83" i="7"/>
  <c r="Q83" i="7" s="1"/>
  <c r="P71" i="7"/>
  <c r="Q71" i="7" s="1"/>
  <c r="R71" i="7" s="1"/>
  <c r="P59" i="7"/>
  <c r="Q59" i="7" s="1"/>
  <c r="R59" i="7" s="1"/>
  <c r="P47" i="7"/>
  <c r="Q47" i="7" s="1"/>
  <c r="R47" i="7" s="1"/>
  <c r="P35" i="7"/>
  <c r="Q35" i="7" s="1"/>
  <c r="R35" i="7" s="1"/>
  <c r="P23" i="7"/>
  <c r="Q23" i="7" s="1"/>
  <c r="R23" i="7" s="1"/>
  <c r="U15" i="7"/>
  <c r="P106" i="7"/>
  <c r="Q106" i="7" s="1"/>
  <c r="R106" i="7" s="1"/>
  <c r="P82" i="7"/>
  <c r="Q82" i="7" s="1"/>
  <c r="P70" i="7"/>
  <c r="Q70" i="7" s="1"/>
  <c r="R70" i="7" s="1"/>
  <c r="P58" i="7"/>
  <c r="Q58" i="7" s="1"/>
  <c r="R58" i="7" s="1"/>
  <c r="P46" i="7"/>
  <c r="Q46" i="7" s="1"/>
  <c r="R46" i="7" s="1"/>
  <c r="P34" i="7"/>
  <c r="Q34" i="7" s="1"/>
  <c r="R34" i="7" s="1"/>
  <c r="O89" i="7"/>
  <c r="O32" i="7"/>
  <c r="P116" i="7"/>
  <c r="Q116" i="7" s="1"/>
  <c r="R116" i="7" s="1"/>
  <c r="P56" i="7"/>
  <c r="Q56" i="7" s="1"/>
  <c r="R56" i="7" s="1"/>
  <c r="O22" i="7"/>
  <c r="P94" i="7"/>
  <c r="Q94" i="7" s="1"/>
  <c r="P117" i="7"/>
  <c r="Q117" i="7" s="1"/>
  <c r="R117" i="7" s="1"/>
  <c r="P105" i="7"/>
  <c r="Q105" i="7" s="1"/>
  <c r="R105" i="7" s="1"/>
  <c r="P93" i="7"/>
  <c r="Q93" i="7" s="1"/>
  <c r="P81" i="7"/>
  <c r="Q81" i="7" s="1"/>
  <c r="P57" i="7"/>
  <c r="Q57" i="7" s="1"/>
  <c r="R57" i="7" s="1"/>
  <c r="P45" i="7"/>
  <c r="Q45" i="7" s="1"/>
  <c r="R45" i="7" s="1"/>
  <c r="P33" i="7"/>
  <c r="Q33" i="7" s="1"/>
  <c r="R33" i="7" s="1"/>
  <c r="O29" i="7"/>
  <c r="P115" i="7"/>
  <c r="Q115" i="7" s="1"/>
  <c r="R115" i="7" s="1"/>
  <c r="P103" i="7"/>
  <c r="Q103" i="7" s="1"/>
  <c r="R103" i="7" s="1"/>
  <c r="P91" i="7"/>
  <c r="Q91" i="7" s="1"/>
  <c r="P79" i="7"/>
  <c r="Q79" i="7" s="1"/>
  <c r="P67" i="7"/>
  <c r="Q67" i="7" s="1"/>
  <c r="R67" i="7" s="1"/>
  <c r="P55" i="7"/>
  <c r="Q55" i="7" s="1"/>
  <c r="R55" i="7" s="1"/>
  <c r="P43" i="7"/>
  <c r="Q43" i="7" s="1"/>
  <c r="R43" i="7" s="1"/>
  <c r="P31" i="7"/>
  <c r="Q31" i="7" s="1"/>
  <c r="R31" i="7" s="1"/>
  <c r="P118" i="7"/>
  <c r="Q118" i="7" s="1"/>
  <c r="R118" i="7" s="1"/>
  <c r="P69" i="7"/>
  <c r="Q69" i="7" s="1"/>
  <c r="R69" i="7" s="1"/>
  <c r="O113" i="7"/>
  <c r="P114" i="7"/>
  <c r="Q114" i="7" s="1"/>
  <c r="R114" i="7" s="1"/>
  <c r="P102" i="7"/>
  <c r="Q102" i="7" s="1"/>
  <c r="R102" i="7" s="1"/>
  <c r="P90" i="7"/>
  <c r="Q90" i="7" s="1"/>
  <c r="P78" i="7"/>
  <c r="Q78" i="7" s="1"/>
  <c r="P66" i="7"/>
  <c r="Q66" i="7" s="1"/>
  <c r="R66" i="7" s="1"/>
  <c r="P54" i="7"/>
  <c r="Q54" i="7" s="1"/>
  <c r="R54" i="7" s="1"/>
  <c r="P42" i="7"/>
  <c r="Q42" i="7" s="1"/>
  <c r="R42" i="7" s="1"/>
  <c r="P30" i="7"/>
  <c r="Q30" i="7" s="1"/>
  <c r="R30" i="7" s="1"/>
  <c r="O53" i="7"/>
  <c r="W4" i="16"/>
  <c r="U16" i="16" s="1"/>
  <c r="W16" i="16" s="1"/>
  <c r="AM7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AL104" i="19"/>
  <c r="AL103" i="19"/>
  <c r="S15" i="19"/>
  <c r="Q15" i="19" s="1"/>
  <c r="S14" i="19"/>
  <c r="S13" i="19"/>
  <c r="S12" i="19"/>
  <c r="S11" i="19"/>
  <c r="S10" i="19"/>
  <c r="S9" i="19"/>
  <c r="S8" i="19"/>
  <c r="S7" i="19"/>
  <c r="S6" i="19"/>
  <c r="S5" i="19"/>
  <c r="O5" i="19"/>
  <c r="O6" i="19" s="1"/>
  <c r="O7" i="19" s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O84" i="19" s="1"/>
  <c r="O85" i="19" s="1"/>
  <c r="O86" i="19" s="1"/>
  <c r="O87" i="19" s="1"/>
  <c r="O88" i="19" s="1"/>
  <c r="O89" i="19" s="1"/>
  <c r="O90" i="19" s="1"/>
  <c r="O91" i="19" s="1"/>
  <c r="O92" i="19" s="1"/>
  <c r="O93" i="19" s="1"/>
  <c r="O94" i="19" s="1"/>
  <c r="O95" i="19" s="1"/>
  <c r="O96" i="19" s="1"/>
  <c r="O97" i="19" s="1"/>
  <c r="O98" i="19" s="1"/>
  <c r="O99" i="19" s="1"/>
  <c r="O100" i="19" s="1"/>
  <c r="O101" i="19" s="1"/>
  <c r="O102" i="19" s="1"/>
  <c r="O103" i="19" s="1"/>
  <c r="O104" i="19" s="1"/>
  <c r="O105" i="19" s="1"/>
  <c r="O106" i="19" s="1"/>
  <c r="O107" i="19" s="1"/>
  <c r="O108" i="19" s="1"/>
  <c r="O109" i="19" s="1"/>
  <c r="O110" i="19" s="1"/>
  <c r="O111" i="19" s="1"/>
  <c r="O112" i="19" s="1"/>
  <c r="O113" i="19" s="1"/>
  <c r="O114" i="19" s="1"/>
  <c r="O115" i="19" s="1"/>
  <c r="O116" i="19" s="1"/>
  <c r="O117" i="19" s="1"/>
  <c r="O118" i="19" s="1"/>
  <c r="O119" i="19" s="1"/>
  <c r="O120" i="19" s="1"/>
  <c r="O121" i="19" s="1"/>
  <c r="O122" i="19" s="1"/>
  <c r="O123" i="19" s="1"/>
  <c r="S4" i="19"/>
  <c r="Q16" i="19" s="1"/>
  <c r="AL104" i="16"/>
  <c r="AL103" i="16"/>
  <c r="W5" i="16"/>
  <c r="W6" i="16"/>
  <c r="W7" i="16"/>
  <c r="W8" i="16"/>
  <c r="W9" i="16"/>
  <c r="W10" i="16"/>
  <c r="W11" i="16"/>
  <c r="W12" i="16"/>
  <c r="W13" i="16"/>
  <c r="W14" i="16"/>
  <c r="Q123" i="7" l="1"/>
  <c r="R123" i="7" s="1"/>
  <c r="T16" i="19"/>
  <c r="U16" i="19"/>
  <c r="R16" i="19"/>
  <c r="Q17" i="19" s="1"/>
  <c r="S16" i="19"/>
  <c r="AG16" i="19"/>
  <c r="W16" i="19"/>
  <c r="V16" i="16"/>
  <c r="U17" i="16" s="1"/>
  <c r="P69" i="19"/>
  <c r="P77" i="19"/>
  <c r="P78" i="19"/>
  <c r="P70" i="19"/>
  <c r="P76" i="19"/>
  <c r="P75" i="19"/>
  <c r="P68" i="19"/>
  <c r="P74" i="19"/>
  <c r="P73" i="19"/>
  <c r="P72" i="19"/>
  <c r="P71" i="19"/>
  <c r="AA16" i="16"/>
  <c r="R79" i="7"/>
  <c r="R78" i="7"/>
  <c r="R94" i="7"/>
  <c r="V15" i="7"/>
  <c r="U11" i="7" s="1"/>
  <c r="R90" i="7"/>
  <c r="R91" i="7"/>
  <c r="R85" i="7"/>
  <c r="R88" i="7"/>
  <c r="R22" i="7"/>
  <c r="R83" i="7"/>
  <c r="R76" i="7"/>
  <c r="R95" i="7"/>
  <c r="R77" i="7"/>
  <c r="R81" i="7"/>
  <c r="R92" i="7"/>
  <c r="R93" i="7"/>
  <c r="R80" i="7"/>
  <c r="R82" i="7"/>
  <c r="R89" i="7"/>
  <c r="R86" i="7"/>
  <c r="R84" i="7"/>
  <c r="R87" i="7"/>
  <c r="O18" i="7" l="1"/>
  <c r="W17" i="16"/>
  <c r="V17" i="16"/>
  <c r="V16" i="19"/>
  <c r="R17" i="19"/>
  <c r="T18" i="19" s="1"/>
  <c r="AG18" i="19" s="1"/>
  <c r="T17" i="19"/>
  <c r="Y16" i="16"/>
  <c r="X16" i="19"/>
  <c r="S17" i="19"/>
  <c r="Z16" i="16"/>
  <c r="Q18" i="19" l="1"/>
  <c r="S18" i="19" s="1"/>
  <c r="AG17" i="19"/>
  <c r="U17" i="19"/>
  <c r="W17" i="19"/>
  <c r="V17" i="19"/>
  <c r="W18" i="19"/>
  <c r="U18" i="19"/>
  <c r="V18" i="19"/>
  <c r="S5" i="16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S84" i="16" s="1"/>
  <c r="S85" i="16" s="1"/>
  <c r="S86" i="16" s="1"/>
  <c r="S87" i="16" s="1"/>
  <c r="S88" i="16" s="1"/>
  <c r="S89" i="16" s="1"/>
  <c r="S90" i="16" s="1"/>
  <c r="S91" i="16" s="1"/>
  <c r="S92" i="16" s="1"/>
  <c r="S93" i="16" s="1"/>
  <c r="S94" i="16" s="1"/>
  <c r="S95" i="16" s="1"/>
  <c r="S96" i="16" s="1"/>
  <c r="S97" i="16" s="1"/>
  <c r="S98" i="16" s="1"/>
  <c r="S99" i="16" s="1"/>
  <c r="S100" i="16" s="1"/>
  <c r="S101" i="16" s="1"/>
  <c r="S102" i="16" s="1"/>
  <c r="S103" i="16" s="1"/>
  <c r="S104" i="16" s="1"/>
  <c r="S105" i="16" s="1"/>
  <c r="S106" i="16" s="1"/>
  <c r="S107" i="16" s="1"/>
  <c r="S108" i="16" s="1"/>
  <c r="S109" i="16" s="1"/>
  <c r="S110" i="16" s="1"/>
  <c r="S111" i="16" s="1"/>
  <c r="S112" i="16" s="1"/>
  <c r="S113" i="16" s="1"/>
  <c r="S114" i="16" s="1"/>
  <c r="S115" i="16" s="1"/>
  <c r="S116" i="16" s="1"/>
  <c r="S117" i="16" s="1"/>
  <c r="S118" i="16" s="1"/>
  <c r="S119" i="16" s="1"/>
  <c r="S120" i="16" s="1"/>
  <c r="S121" i="16" s="1"/>
  <c r="S122" i="16" s="1"/>
  <c r="S123" i="16" s="1"/>
  <c r="AD5" i="16"/>
  <c r="AD6" i="16" s="1"/>
  <c r="AD7" i="16" s="1"/>
  <c r="AD8" i="16" s="1"/>
  <c r="AD9" i="16" s="1"/>
  <c r="AD10" i="16" s="1"/>
  <c r="AD11" i="16" s="1"/>
  <c r="AD12" i="16" s="1"/>
  <c r="AD13" i="16" s="1"/>
  <c r="AD14" i="16" s="1"/>
  <c r="AD15" i="16" s="1"/>
  <c r="AD16" i="16" s="1"/>
  <c r="AD17" i="16" s="1"/>
  <c r="AD18" i="16" s="1"/>
  <c r="AD19" i="16" s="1"/>
  <c r="AD20" i="16" s="1"/>
  <c r="AD21" i="16" s="1"/>
  <c r="AD22" i="16" s="1"/>
  <c r="AD23" i="16" s="1"/>
  <c r="AD24" i="16" s="1"/>
  <c r="AD25" i="16" s="1"/>
  <c r="AD26" i="16" s="1"/>
  <c r="AD27" i="16" s="1"/>
  <c r="AD28" i="16" s="1"/>
  <c r="AD29" i="16" s="1"/>
  <c r="AD30" i="16" s="1"/>
  <c r="AD31" i="16" s="1"/>
  <c r="AD32" i="16" s="1"/>
  <c r="AD33" i="16" s="1"/>
  <c r="AD34" i="16" s="1"/>
  <c r="AD35" i="16" s="1"/>
  <c r="AD36" i="16" s="1"/>
  <c r="AD37" i="16" s="1"/>
  <c r="AD38" i="16" s="1"/>
  <c r="AD39" i="16" s="1"/>
  <c r="AD40" i="16" s="1"/>
  <c r="AD41" i="16" s="1"/>
  <c r="AD42" i="16" s="1"/>
  <c r="AD43" i="16" s="1"/>
  <c r="AD44" i="16" s="1"/>
  <c r="AD45" i="16" s="1"/>
  <c r="AD46" i="16" s="1"/>
  <c r="AD47" i="16" s="1"/>
  <c r="AD48" i="16" s="1"/>
  <c r="AD49" i="16" s="1"/>
  <c r="AD50" i="16" s="1"/>
  <c r="AD51" i="16" s="1"/>
  <c r="AD52" i="16" s="1"/>
  <c r="AD53" i="16" s="1"/>
  <c r="AD54" i="16" s="1"/>
  <c r="AD55" i="16" s="1"/>
  <c r="AD56" i="16" s="1"/>
  <c r="AD57" i="16" s="1"/>
  <c r="AD58" i="16" s="1"/>
  <c r="AD59" i="16" s="1"/>
  <c r="AD60" i="16" s="1"/>
  <c r="AD61" i="16" s="1"/>
  <c r="AD62" i="16" s="1"/>
  <c r="AD63" i="16" s="1"/>
  <c r="AD64" i="16" s="1"/>
  <c r="AD65" i="16" s="1"/>
  <c r="AD66" i="16" s="1"/>
  <c r="AD67" i="16" s="1"/>
  <c r="AD68" i="16" s="1"/>
  <c r="AD69" i="16" s="1"/>
  <c r="AD70" i="16" s="1"/>
  <c r="AD71" i="16" s="1"/>
  <c r="AD72" i="16" s="1"/>
  <c r="AD73" i="16" s="1"/>
  <c r="AD74" i="16" s="1"/>
  <c r="AD75" i="16" s="1"/>
  <c r="AD76" i="16" s="1"/>
  <c r="AD77" i="16" s="1"/>
  <c r="AD78" i="16" s="1"/>
  <c r="AD79" i="16" s="1"/>
  <c r="AD80" i="16" s="1"/>
  <c r="AD81" i="16" s="1"/>
  <c r="AD82" i="16" s="1"/>
  <c r="AD83" i="16" s="1"/>
  <c r="AD84" i="16" s="1"/>
  <c r="AD85" i="16" s="1"/>
  <c r="AD86" i="16" s="1"/>
  <c r="AD87" i="16" s="1"/>
  <c r="AD88" i="16" s="1"/>
  <c r="AD89" i="16" s="1"/>
  <c r="AD90" i="16" s="1"/>
  <c r="AD91" i="16" s="1"/>
  <c r="AD92" i="16" s="1"/>
  <c r="AD93" i="16" s="1"/>
  <c r="AD94" i="16" s="1"/>
  <c r="AD95" i="16" s="1"/>
  <c r="AD96" i="16" s="1"/>
  <c r="AD97" i="16" s="1"/>
  <c r="AD98" i="16" s="1"/>
  <c r="AD99" i="16" s="1"/>
  <c r="AD100" i="16" s="1"/>
  <c r="AD101" i="16" s="1"/>
  <c r="AD102" i="16" s="1"/>
  <c r="AD103" i="16" s="1"/>
  <c r="AD104" i="16" s="1"/>
  <c r="AD105" i="16" s="1"/>
  <c r="AD106" i="16" s="1"/>
  <c r="AD107" i="16" s="1"/>
  <c r="AD108" i="16" s="1"/>
  <c r="AD109" i="16" s="1"/>
  <c r="AD110" i="16" s="1"/>
  <c r="AD111" i="16" s="1"/>
  <c r="AD112" i="16" s="1"/>
  <c r="AD113" i="16" s="1"/>
  <c r="AD114" i="16" s="1"/>
  <c r="AD115" i="16" s="1"/>
  <c r="AD116" i="16" s="1"/>
  <c r="AD117" i="16" s="1"/>
  <c r="AD118" i="16" s="1"/>
  <c r="AD119" i="16" s="1"/>
  <c r="AD120" i="16" s="1"/>
  <c r="AD121" i="16" s="1"/>
  <c r="AD122" i="16" s="1"/>
  <c r="AD123" i="16" s="1"/>
  <c r="R18" i="19" l="1"/>
  <c r="T19" i="19" s="1"/>
  <c r="AG19" i="19" s="1"/>
  <c r="BC1" i="13"/>
  <c r="AK1" i="13"/>
  <c r="S1" i="13"/>
  <c r="A1" i="13"/>
  <c r="AL3" i="3"/>
  <c r="AM3" i="3"/>
  <c r="AN3" i="3"/>
  <c r="AK3" i="3"/>
  <c r="L14" i="3"/>
  <c r="Q19" i="19" l="1"/>
  <c r="R19" i="19" s="1"/>
  <c r="T20" i="19" s="1"/>
  <c r="W19" i="19"/>
  <c r="U19" i="19"/>
  <c r="V19" i="19"/>
  <c r="L15" i="3"/>
  <c r="S19" i="19" l="1"/>
  <c r="Q20" i="19"/>
  <c r="W20" i="19"/>
  <c r="L16" i="3"/>
  <c r="R20" i="19" l="1"/>
  <c r="T21" i="19" s="1"/>
  <c r="S20" i="19"/>
  <c r="L17" i="3"/>
  <c r="M124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25" i="7"/>
  <c r="M126" i="7"/>
  <c r="M127" i="7"/>
  <c r="M128" i="7"/>
  <c r="AH64" i="3"/>
  <c r="AI64" i="3"/>
  <c r="AJ64" i="3"/>
  <c r="AH65" i="3"/>
  <c r="AI65" i="3"/>
  <c r="AJ65" i="3"/>
  <c r="AH66" i="3"/>
  <c r="AI66" i="3"/>
  <c r="AJ66" i="3"/>
  <c r="O124" i="7" l="1"/>
  <c r="Q21" i="19"/>
  <c r="R21" i="19" s="1"/>
  <c r="T22" i="19" s="1"/>
  <c r="L18" i="3"/>
  <c r="AG64" i="3"/>
  <c r="AG65" i="3"/>
  <c r="AG66" i="3"/>
  <c r="Q124" i="7" l="1"/>
  <c r="R124" i="7" s="1"/>
  <c r="R14" i="7" s="1"/>
  <c r="R13" i="7"/>
  <c r="R15" i="7"/>
  <c r="S21" i="19"/>
  <c r="L19" i="3"/>
  <c r="AP112" i="3"/>
  <c r="AQ112" i="3" s="1"/>
  <c r="AP113" i="3"/>
  <c r="AQ113" i="3" s="1"/>
  <c r="AP114" i="3"/>
  <c r="AP13" i="3"/>
  <c r="AX13" i="3" s="1"/>
  <c r="AX114" i="3" l="1"/>
  <c r="L20" i="3"/>
  <c r="AQ114" i="3"/>
  <c r="AU8" i="3"/>
  <c r="AX112" i="3"/>
  <c r="AQ13" i="3"/>
  <c r="AX113" i="3"/>
  <c r="R112" i="3"/>
  <c r="R113" i="3"/>
  <c r="R114" i="3"/>
  <c r="AP22" i="3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E113" i="1"/>
  <c r="E114" i="1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101" i="8"/>
  <c r="K52" i="8"/>
  <c r="F101" i="8"/>
  <c r="G101" i="8"/>
  <c r="H101" i="8"/>
  <c r="I101" i="8"/>
  <c r="F102" i="8"/>
  <c r="G102" i="8"/>
  <c r="H102" i="8"/>
  <c r="I102" i="8"/>
  <c r="F103" i="8"/>
  <c r="G103" i="8"/>
  <c r="I103" i="8" s="1"/>
  <c r="H103" i="8"/>
  <c r="D101" i="8"/>
  <c r="E101" i="8" s="1"/>
  <c r="D102" i="8"/>
  <c r="E102" i="8" s="1"/>
  <c r="D103" i="8"/>
  <c r="E103" i="8"/>
  <c r="E115" i="1" l="1"/>
  <c r="E116" i="1"/>
  <c r="L21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J14" i="3"/>
  <c r="L22" i="3" l="1"/>
  <c r="J15" i="3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3" i="4"/>
  <c r="L23" i="3" l="1"/>
  <c r="J16" i="3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8" i="8"/>
  <c r="H9" i="8"/>
  <c r="H10" i="8"/>
  <c r="H11" i="8"/>
  <c r="H12" i="8"/>
  <c r="H7" i="8"/>
  <c r="G3" i="8"/>
  <c r="I3" i="8" s="1"/>
  <c r="G15" i="8"/>
  <c r="I15" i="8" s="1"/>
  <c r="G27" i="8"/>
  <c r="I27" i="8" s="1"/>
  <c r="G39" i="8"/>
  <c r="I39" i="8" s="1"/>
  <c r="G51" i="8"/>
  <c r="I51" i="8" s="1"/>
  <c r="G62" i="8"/>
  <c r="G63" i="8"/>
  <c r="G74" i="8"/>
  <c r="I74" i="8" s="1"/>
  <c r="G75" i="8"/>
  <c r="I75" i="8" s="1"/>
  <c r="G86" i="8"/>
  <c r="I86" i="8" s="1"/>
  <c r="G87" i="8"/>
  <c r="I87" i="8" s="1"/>
  <c r="G98" i="8"/>
  <c r="I98" i="8" s="1"/>
  <c r="G99" i="8"/>
  <c r="I99" i="8" s="1"/>
  <c r="M2" i="8"/>
  <c r="G4" i="8" s="1"/>
  <c r="I4" i="8" s="1"/>
  <c r="F21" i="8"/>
  <c r="F23" i="8"/>
  <c r="F33" i="8"/>
  <c r="F34" i="8"/>
  <c r="F35" i="8"/>
  <c r="F45" i="8"/>
  <c r="F46" i="8"/>
  <c r="F47" i="8"/>
  <c r="F57" i="8"/>
  <c r="F58" i="8"/>
  <c r="F59" i="8"/>
  <c r="F69" i="8"/>
  <c r="F70" i="8"/>
  <c r="F71" i="8"/>
  <c r="F81" i="8"/>
  <c r="F82" i="8"/>
  <c r="F83" i="8"/>
  <c r="F93" i="8"/>
  <c r="F94" i="8"/>
  <c r="F95" i="8"/>
  <c r="E18" i="8"/>
  <c r="F18" i="8" s="1"/>
  <c r="E19" i="8"/>
  <c r="F19" i="8" s="1"/>
  <c r="E20" i="8"/>
  <c r="F20" i="8" s="1"/>
  <c r="E21" i="8"/>
  <c r="E23" i="8"/>
  <c r="E30" i="8"/>
  <c r="F30" i="8" s="1"/>
  <c r="E31" i="8"/>
  <c r="F31" i="8" s="1"/>
  <c r="E32" i="8"/>
  <c r="F32" i="8" s="1"/>
  <c r="E33" i="8"/>
  <c r="E34" i="8"/>
  <c r="E35" i="8"/>
  <c r="E42" i="8"/>
  <c r="F42" i="8" s="1"/>
  <c r="E43" i="8"/>
  <c r="F43" i="8" s="1"/>
  <c r="E44" i="8"/>
  <c r="F44" i="8" s="1"/>
  <c r="E45" i="8"/>
  <c r="E46" i="8"/>
  <c r="E47" i="8"/>
  <c r="E54" i="8"/>
  <c r="F54" i="8" s="1"/>
  <c r="E55" i="8"/>
  <c r="F55" i="8" s="1"/>
  <c r="E56" i="8"/>
  <c r="F56" i="8" s="1"/>
  <c r="E57" i="8"/>
  <c r="E58" i="8"/>
  <c r="E59" i="8"/>
  <c r="E66" i="8"/>
  <c r="F66" i="8" s="1"/>
  <c r="E67" i="8"/>
  <c r="F67" i="8" s="1"/>
  <c r="E68" i="8"/>
  <c r="F68" i="8" s="1"/>
  <c r="E69" i="8"/>
  <c r="E70" i="8"/>
  <c r="E71" i="8"/>
  <c r="E78" i="8"/>
  <c r="F78" i="8" s="1"/>
  <c r="E79" i="8"/>
  <c r="F79" i="8" s="1"/>
  <c r="E80" i="8"/>
  <c r="F80" i="8" s="1"/>
  <c r="E81" i="8"/>
  <c r="E82" i="8"/>
  <c r="E83" i="8"/>
  <c r="E90" i="8"/>
  <c r="F90" i="8" s="1"/>
  <c r="E91" i="8"/>
  <c r="F91" i="8" s="1"/>
  <c r="E92" i="8"/>
  <c r="F92" i="8" s="1"/>
  <c r="E93" i="8"/>
  <c r="E94" i="8"/>
  <c r="E95" i="8"/>
  <c r="D15" i="8"/>
  <c r="E15" i="8" s="1"/>
  <c r="F15" i="8" s="1"/>
  <c r="D16" i="8"/>
  <c r="E16" i="8" s="1"/>
  <c r="F16" i="8" s="1"/>
  <c r="D17" i="8"/>
  <c r="E17" i="8" s="1"/>
  <c r="F17" i="8" s="1"/>
  <c r="D18" i="8"/>
  <c r="D19" i="8"/>
  <c r="D20" i="8"/>
  <c r="D21" i="8"/>
  <c r="D22" i="8"/>
  <c r="E22" i="8" s="1"/>
  <c r="F22" i="8" s="1"/>
  <c r="D23" i="8"/>
  <c r="D24" i="8"/>
  <c r="E24" i="8" s="1"/>
  <c r="F24" i="8" s="1"/>
  <c r="D25" i="8"/>
  <c r="E25" i="8" s="1"/>
  <c r="F25" i="8" s="1"/>
  <c r="D26" i="8"/>
  <c r="E26" i="8" s="1"/>
  <c r="F26" i="8" s="1"/>
  <c r="D27" i="8"/>
  <c r="E27" i="8" s="1"/>
  <c r="F27" i="8" s="1"/>
  <c r="D28" i="8"/>
  <c r="E28" i="8" s="1"/>
  <c r="F28" i="8" s="1"/>
  <c r="D29" i="8"/>
  <c r="E29" i="8" s="1"/>
  <c r="F29" i="8" s="1"/>
  <c r="D30" i="8"/>
  <c r="D31" i="8"/>
  <c r="D32" i="8"/>
  <c r="D33" i="8"/>
  <c r="D34" i="8"/>
  <c r="D35" i="8"/>
  <c r="D36" i="8"/>
  <c r="E36" i="8" s="1"/>
  <c r="F36" i="8" s="1"/>
  <c r="D37" i="8"/>
  <c r="E37" i="8" s="1"/>
  <c r="F37" i="8" s="1"/>
  <c r="D38" i="8"/>
  <c r="E38" i="8" s="1"/>
  <c r="F38" i="8" s="1"/>
  <c r="D39" i="8"/>
  <c r="E39" i="8" s="1"/>
  <c r="F39" i="8" s="1"/>
  <c r="D40" i="8"/>
  <c r="E40" i="8" s="1"/>
  <c r="F40" i="8" s="1"/>
  <c r="D41" i="8"/>
  <c r="E41" i="8" s="1"/>
  <c r="F41" i="8" s="1"/>
  <c r="D42" i="8"/>
  <c r="D43" i="8"/>
  <c r="D44" i="8"/>
  <c r="D45" i="8"/>
  <c r="D46" i="8"/>
  <c r="D47" i="8"/>
  <c r="D48" i="8"/>
  <c r="E48" i="8" s="1"/>
  <c r="F48" i="8" s="1"/>
  <c r="D49" i="8"/>
  <c r="E49" i="8" s="1"/>
  <c r="F49" i="8" s="1"/>
  <c r="D50" i="8"/>
  <c r="E50" i="8" s="1"/>
  <c r="F50" i="8" s="1"/>
  <c r="D51" i="8"/>
  <c r="E51" i="8" s="1"/>
  <c r="F51" i="8" s="1"/>
  <c r="D52" i="8"/>
  <c r="E52" i="8" s="1"/>
  <c r="F52" i="8" s="1"/>
  <c r="D53" i="8"/>
  <c r="E53" i="8" s="1"/>
  <c r="F53" i="8" s="1"/>
  <c r="D54" i="8"/>
  <c r="D55" i="8"/>
  <c r="D56" i="8"/>
  <c r="D57" i="8"/>
  <c r="D58" i="8"/>
  <c r="D59" i="8"/>
  <c r="D60" i="8"/>
  <c r="E60" i="8" s="1"/>
  <c r="F60" i="8" s="1"/>
  <c r="D61" i="8"/>
  <c r="E61" i="8" s="1"/>
  <c r="F61" i="8" s="1"/>
  <c r="D62" i="8"/>
  <c r="E62" i="8" s="1"/>
  <c r="F62" i="8" s="1"/>
  <c r="D63" i="8"/>
  <c r="E63" i="8" s="1"/>
  <c r="F63" i="8" s="1"/>
  <c r="D64" i="8"/>
  <c r="E64" i="8" s="1"/>
  <c r="F64" i="8" s="1"/>
  <c r="E65" i="8"/>
  <c r="F65" i="8" s="1"/>
  <c r="D68" i="8"/>
  <c r="D69" i="8"/>
  <c r="D70" i="8"/>
  <c r="D71" i="8"/>
  <c r="D72" i="8"/>
  <c r="E72" i="8" s="1"/>
  <c r="F72" i="8" s="1"/>
  <c r="D73" i="8"/>
  <c r="E73" i="8" s="1"/>
  <c r="F73" i="8" s="1"/>
  <c r="D74" i="8"/>
  <c r="E74" i="8" s="1"/>
  <c r="F74" i="8" s="1"/>
  <c r="D75" i="8"/>
  <c r="E75" i="8" s="1"/>
  <c r="F75" i="8" s="1"/>
  <c r="D76" i="8"/>
  <c r="E76" i="8" s="1"/>
  <c r="F76" i="8" s="1"/>
  <c r="D77" i="8"/>
  <c r="E77" i="8" s="1"/>
  <c r="F77" i="8" s="1"/>
  <c r="D78" i="8"/>
  <c r="D79" i="8"/>
  <c r="D80" i="8"/>
  <c r="D81" i="8"/>
  <c r="D82" i="8"/>
  <c r="D83" i="8"/>
  <c r="D84" i="8"/>
  <c r="E84" i="8" s="1"/>
  <c r="F84" i="8" s="1"/>
  <c r="D85" i="8"/>
  <c r="E85" i="8" s="1"/>
  <c r="F85" i="8" s="1"/>
  <c r="D86" i="8"/>
  <c r="E86" i="8" s="1"/>
  <c r="F86" i="8" s="1"/>
  <c r="D87" i="8"/>
  <c r="E87" i="8" s="1"/>
  <c r="F87" i="8" s="1"/>
  <c r="D88" i="8"/>
  <c r="E88" i="8" s="1"/>
  <c r="F88" i="8" s="1"/>
  <c r="D89" i="8"/>
  <c r="E89" i="8" s="1"/>
  <c r="F89" i="8" s="1"/>
  <c r="D90" i="8"/>
  <c r="D91" i="8"/>
  <c r="D92" i="8"/>
  <c r="D93" i="8"/>
  <c r="D94" i="8"/>
  <c r="D95" i="8"/>
  <c r="D96" i="8"/>
  <c r="E96" i="8" s="1"/>
  <c r="F96" i="8" s="1"/>
  <c r="D97" i="8"/>
  <c r="E97" i="8" s="1"/>
  <c r="F97" i="8" s="1"/>
  <c r="D98" i="8"/>
  <c r="E98" i="8" s="1"/>
  <c r="F98" i="8" s="1"/>
  <c r="D99" i="8"/>
  <c r="E99" i="8" s="1"/>
  <c r="F99" i="8" s="1"/>
  <c r="D100" i="8"/>
  <c r="E100" i="8" s="1"/>
  <c r="F100" i="8" s="1"/>
  <c r="D14" i="8"/>
  <c r="E14" i="8" s="1"/>
  <c r="F14" i="8" s="1"/>
  <c r="L24" i="3" l="1"/>
  <c r="J17" i="3"/>
  <c r="G50" i="8"/>
  <c r="I50" i="8" s="1"/>
  <c r="G38" i="8"/>
  <c r="I38" i="8" s="1"/>
  <c r="G26" i="8"/>
  <c r="I26" i="8" s="1"/>
  <c r="G14" i="8"/>
  <c r="I14" i="8" s="1"/>
  <c r="I72" i="8"/>
  <c r="G97" i="8"/>
  <c r="I97" i="8" s="1"/>
  <c r="G85" i="8"/>
  <c r="I85" i="8" s="1"/>
  <c r="G73" i="8"/>
  <c r="I73" i="8" s="1"/>
  <c r="G61" i="8"/>
  <c r="I61" i="8" s="1"/>
  <c r="G49" i="8"/>
  <c r="I49" i="8" s="1"/>
  <c r="G37" i="8"/>
  <c r="I37" i="8" s="1"/>
  <c r="G25" i="8"/>
  <c r="I25" i="8" s="1"/>
  <c r="G13" i="8"/>
  <c r="I13" i="8" s="1"/>
  <c r="I70" i="8"/>
  <c r="I58" i="8"/>
  <c r="G72" i="8"/>
  <c r="G24" i="8"/>
  <c r="I24" i="8" s="1"/>
  <c r="G60" i="8"/>
  <c r="I60" i="8" s="1"/>
  <c r="G36" i="8"/>
  <c r="I36" i="8" s="1"/>
  <c r="G83" i="8"/>
  <c r="I83" i="8" s="1"/>
  <c r="G47" i="8"/>
  <c r="I47" i="8" s="1"/>
  <c r="G11" i="8"/>
  <c r="I11" i="8" s="1"/>
  <c r="I68" i="8"/>
  <c r="G82" i="8"/>
  <c r="I82" i="8" s="1"/>
  <c r="G22" i="8"/>
  <c r="I22" i="8" s="1"/>
  <c r="G93" i="8"/>
  <c r="I93" i="8" s="1"/>
  <c r="G81" i="8"/>
  <c r="I81" i="8" s="1"/>
  <c r="G69" i="8"/>
  <c r="I69" i="8" s="1"/>
  <c r="G57" i="8"/>
  <c r="I57" i="8" s="1"/>
  <c r="G45" i="8"/>
  <c r="I45" i="8" s="1"/>
  <c r="G33" i="8"/>
  <c r="I33" i="8" s="1"/>
  <c r="G21" i="8"/>
  <c r="I21" i="8" s="1"/>
  <c r="G9" i="8"/>
  <c r="I9" i="8" s="1"/>
  <c r="G59" i="8"/>
  <c r="I59" i="8" s="1"/>
  <c r="G23" i="8"/>
  <c r="I23" i="8" s="1"/>
  <c r="G70" i="8"/>
  <c r="G58" i="8"/>
  <c r="G34" i="8"/>
  <c r="I34" i="8" s="1"/>
  <c r="G10" i="8"/>
  <c r="I10" i="8" s="1"/>
  <c r="G92" i="8"/>
  <c r="I92" i="8" s="1"/>
  <c r="G80" i="8"/>
  <c r="I80" i="8" s="1"/>
  <c r="G68" i="8"/>
  <c r="G56" i="8"/>
  <c r="I56" i="8" s="1"/>
  <c r="G44" i="8"/>
  <c r="I44" i="8" s="1"/>
  <c r="G32" i="8"/>
  <c r="I32" i="8" s="1"/>
  <c r="G20" i="8"/>
  <c r="I20" i="8" s="1"/>
  <c r="G8" i="8"/>
  <c r="I8" i="8" s="1"/>
  <c r="G84" i="8"/>
  <c r="I84" i="8" s="1"/>
  <c r="G48" i="8"/>
  <c r="I48" i="8" s="1"/>
  <c r="G95" i="8"/>
  <c r="I95" i="8" s="1"/>
  <c r="G71" i="8"/>
  <c r="I71" i="8" s="1"/>
  <c r="G35" i="8"/>
  <c r="I35" i="8" s="1"/>
  <c r="G94" i="8"/>
  <c r="I94" i="8" s="1"/>
  <c r="G46" i="8"/>
  <c r="I46" i="8" s="1"/>
  <c r="G91" i="8"/>
  <c r="I91" i="8" s="1"/>
  <c r="G79" i="8"/>
  <c r="I79" i="8" s="1"/>
  <c r="G67" i="8"/>
  <c r="I67" i="8" s="1"/>
  <c r="G55" i="8"/>
  <c r="I55" i="8" s="1"/>
  <c r="G43" i="8"/>
  <c r="I43" i="8" s="1"/>
  <c r="G31" i="8"/>
  <c r="I31" i="8" s="1"/>
  <c r="G19" i="8"/>
  <c r="I19" i="8" s="1"/>
  <c r="G7" i="8"/>
  <c r="I7" i="8" s="1"/>
  <c r="G90" i="8"/>
  <c r="I90" i="8" s="1"/>
  <c r="G78" i="8"/>
  <c r="I78" i="8" s="1"/>
  <c r="G66" i="8"/>
  <c r="I66" i="8" s="1"/>
  <c r="G54" i="8"/>
  <c r="I54" i="8" s="1"/>
  <c r="G42" i="8"/>
  <c r="I42" i="8" s="1"/>
  <c r="G30" i="8"/>
  <c r="I30" i="8" s="1"/>
  <c r="G18" i="8"/>
  <c r="I18" i="8" s="1"/>
  <c r="G6" i="8"/>
  <c r="I6" i="8" s="1"/>
  <c r="I63" i="8"/>
  <c r="G2" i="8"/>
  <c r="I2" i="8" s="1"/>
  <c r="G89" i="8"/>
  <c r="I89" i="8" s="1"/>
  <c r="G77" i="8"/>
  <c r="I77" i="8" s="1"/>
  <c r="G65" i="8"/>
  <c r="I65" i="8" s="1"/>
  <c r="G53" i="8"/>
  <c r="I53" i="8" s="1"/>
  <c r="G41" i="8"/>
  <c r="I41" i="8" s="1"/>
  <c r="G29" i="8"/>
  <c r="I29" i="8" s="1"/>
  <c r="G17" i="8"/>
  <c r="I17" i="8" s="1"/>
  <c r="G5" i="8"/>
  <c r="I5" i="8" s="1"/>
  <c r="I62" i="8"/>
  <c r="G96" i="8"/>
  <c r="I96" i="8" s="1"/>
  <c r="G12" i="8"/>
  <c r="I12" i="8" s="1"/>
  <c r="G100" i="8"/>
  <c r="I100" i="8" s="1"/>
  <c r="G88" i="8"/>
  <c r="I88" i="8" s="1"/>
  <c r="G76" i="8"/>
  <c r="I76" i="8" s="1"/>
  <c r="G64" i="8"/>
  <c r="I64" i="8" s="1"/>
  <c r="G52" i="8"/>
  <c r="I52" i="8" s="1"/>
  <c r="G40" i="8"/>
  <c r="I40" i="8" s="1"/>
  <c r="G28" i="8"/>
  <c r="I28" i="8" s="1"/>
  <c r="G16" i="8"/>
  <c r="I16" i="8" s="1"/>
  <c r="D109" i="2"/>
  <c r="E109" i="2"/>
  <c r="F109" i="2"/>
  <c r="D110" i="2"/>
  <c r="E110" i="2"/>
  <c r="F110" i="2"/>
  <c r="D111" i="2"/>
  <c r="E111" i="2"/>
  <c r="F111" i="2"/>
  <c r="E112" i="2"/>
  <c r="F112" i="2"/>
  <c r="E113" i="2"/>
  <c r="F113" i="2"/>
  <c r="E114" i="2"/>
  <c r="F114" i="2"/>
  <c r="F115" i="2"/>
  <c r="F116" i="2"/>
  <c r="F117" i="2"/>
  <c r="L25" i="3" l="1"/>
  <c r="J18" i="3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3" i="5"/>
  <c r="H64" i="5"/>
  <c r="H65" i="5"/>
  <c r="H66" i="5"/>
  <c r="H67" i="5"/>
  <c r="H68" i="5"/>
  <c r="H69" i="5"/>
  <c r="H70" i="5"/>
  <c r="H71" i="5"/>
  <c r="H72" i="5"/>
  <c r="H73" i="5"/>
  <c r="H74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2" i="5"/>
  <c r="F12" i="5"/>
  <c r="F104" i="5"/>
  <c r="E103" i="5"/>
  <c r="E101" i="5"/>
  <c r="F99" i="5"/>
  <c r="F98" i="5"/>
  <c r="F94" i="5"/>
  <c r="F92" i="5"/>
  <c r="E91" i="5"/>
  <c r="E89" i="5"/>
  <c r="F87" i="5"/>
  <c r="F86" i="5"/>
  <c r="F82" i="5"/>
  <c r="F80" i="5"/>
  <c r="E79" i="5"/>
  <c r="E77" i="5"/>
  <c r="F75" i="5"/>
  <c r="F74" i="5"/>
  <c r="F70" i="5"/>
  <c r="F68" i="5"/>
  <c r="E67" i="5"/>
  <c r="E65" i="5"/>
  <c r="F63" i="5"/>
  <c r="F62" i="5"/>
  <c r="F58" i="5"/>
  <c r="F56" i="5"/>
  <c r="E55" i="5"/>
  <c r="E53" i="5"/>
  <c r="F51" i="5"/>
  <c r="F50" i="5"/>
  <c r="F46" i="5"/>
  <c r="F44" i="5"/>
  <c r="F43" i="5"/>
  <c r="E41" i="5"/>
  <c r="F39" i="5"/>
  <c r="F38" i="5"/>
  <c r="F34" i="5"/>
  <c r="F32" i="5"/>
  <c r="E31" i="5"/>
  <c r="E29" i="5"/>
  <c r="F27" i="5"/>
  <c r="F26" i="5"/>
  <c r="F22" i="5"/>
  <c r="F20" i="5"/>
  <c r="E19" i="5"/>
  <c r="E17" i="5"/>
  <c r="F15" i="5"/>
  <c r="F14" i="5"/>
  <c r="E97" i="1"/>
  <c r="F97" i="1" s="1"/>
  <c r="V14" i="1" s="1"/>
  <c r="D23" i="1"/>
  <c r="E22" i="1"/>
  <c r="F22" i="1" s="1"/>
  <c r="O23" i="1" s="1"/>
  <c r="D22" i="1"/>
  <c r="F13" i="5"/>
  <c r="F16" i="5"/>
  <c r="F17" i="5"/>
  <c r="F18" i="5"/>
  <c r="F24" i="5"/>
  <c r="F25" i="5"/>
  <c r="F28" i="5"/>
  <c r="F29" i="5"/>
  <c r="F30" i="5"/>
  <c r="F36" i="5"/>
  <c r="F37" i="5"/>
  <c r="F40" i="5"/>
  <c r="F41" i="5"/>
  <c r="F42" i="5"/>
  <c r="F48" i="5"/>
  <c r="F49" i="5"/>
  <c r="F52" i="5"/>
  <c r="F53" i="5"/>
  <c r="F54" i="5"/>
  <c r="F60" i="5"/>
  <c r="F61" i="5"/>
  <c r="F64" i="5"/>
  <c r="F65" i="5"/>
  <c r="F66" i="5"/>
  <c r="F67" i="5"/>
  <c r="F72" i="5"/>
  <c r="F73" i="5"/>
  <c r="F76" i="5"/>
  <c r="F77" i="5"/>
  <c r="F78" i="5"/>
  <c r="F79" i="5"/>
  <c r="F84" i="5"/>
  <c r="F85" i="5"/>
  <c r="F88" i="5"/>
  <c r="F89" i="5"/>
  <c r="F90" i="5"/>
  <c r="F91" i="5"/>
  <c r="F96" i="5"/>
  <c r="F97" i="5"/>
  <c r="F100" i="5"/>
  <c r="F101" i="5"/>
  <c r="F102" i="5"/>
  <c r="F103" i="5"/>
  <c r="F106" i="5"/>
  <c r="F107" i="5"/>
  <c r="F108" i="5"/>
  <c r="F109" i="5"/>
  <c r="E12" i="5"/>
  <c r="E13" i="5"/>
  <c r="E14" i="5"/>
  <c r="E15" i="5"/>
  <c r="E16" i="5"/>
  <c r="E18" i="5"/>
  <c r="E20" i="5"/>
  <c r="E21" i="5"/>
  <c r="E22" i="5"/>
  <c r="E23" i="5"/>
  <c r="E24" i="5"/>
  <c r="E25" i="5"/>
  <c r="E26" i="5"/>
  <c r="E27" i="5"/>
  <c r="E28" i="5"/>
  <c r="E30" i="5"/>
  <c r="E32" i="5"/>
  <c r="E33" i="5"/>
  <c r="E34" i="5"/>
  <c r="E35" i="5"/>
  <c r="E36" i="5"/>
  <c r="E37" i="5"/>
  <c r="E38" i="5"/>
  <c r="E39" i="5"/>
  <c r="E40" i="5"/>
  <c r="E42" i="5"/>
  <c r="E44" i="5"/>
  <c r="E45" i="5"/>
  <c r="E46" i="5"/>
  <c r="E47" i="5"/>
  <c r="E48" i="5"/>
  <c r="E49" i="5"/>
  <c r="E50" i="5"/>
  <c r="E51" i="5"/>
  <c r="E52" i="5"/>
  <c r="E54" i="5"/>
  <c r="E56" i="5"/>
  <c r="E57" i="5"/>
  <c r="E58" i="5"/>
  <c r="E59" i="5"/>
  <c r="E60" i="5"/>
  <c r="E61" i="5"/>
  <c r="E62" i="5"/>
  <c r="E63" i="5"/>
  <c r="E64" i="5"/>
  <c r="E66" i="5"/>
  <c r="E68" i="5"/>
  <c r="E69" i="5"/>
  <c r="E70" i="5"/>
  <c r="E71" i="5"/>
  <c r="E72" i="5"/>
  <c r="E73" i="5"/>
  <c r="E74" i="5"/>
  <c r="E75" i="5"/>
  <c r="E76" i="5"/>
  <c r="E78" i="5"/>
  <c r="E80" i="5"/>
  <c r="E81" i="5"/>
  <c r="E82" i="5"/>
  <c r="E83" i="5"/>
  <c r="E84" i="5"/>
  <c r="E85" i="5"/>
  <c r="E86" i="5"/>
  <c r="E87" i="5"/>
  <c r="E88" i="5"/>
  <c r="E90" i="5"/>
  <c r="E92" i="5"/>
  <c r="E93" i="5"/>
  <c r="E94" i="5"/>
  <c r="E95" i="5"/>
  <c r="E96" i="5"/>
  <c r="E97" i="5"/>
  <c r="E98" i="5"/>
  <c r="E99" i="5"/>
  <c r="E100" i="5"/>
  <c r="E102" i="5"/>
  <c r="E104" i="5"/>
  <c r="E105" i="5"/>
  <c r="E106" i="5"/>
  <c r="E107" i="5"/>
  <c r="E108" i="5"/>
  <c r="E11" i="5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21" i="4"/>
  <c r="D19" i="4"/>
  <c r="D17" i="4"/>
  <c r="D15" i="4"/>
  <c r="D16" i="4"/>
  <c r="D18" i="4"/>
  <c r="D20" i="4"/>
  <c r="D14" i="4"/>
  <c r="D13" i="4"/>
  <c r="D12" i="4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22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6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3" i="2"/>
  <c r="V25" i="3" l="1"/>
  <c r="L26" i="3"/>
  <c r="J19" i="3"/>
  <c r="E18" i="1"/>
  <c r="F18" i="1" s="1"/>
  <c r="O19" i="1" s="1"/>
  <c r="E70" i="1"/>
  <c r="F70" i="1" s="1"/>
  <c r="S23" i="1" s="1"/>
  <c r="E82" i="1"/>
  <c r="F82" i="1" s="1"/>
  <c r="T23" i="1" s="1"/>
  <c r="E25" i="1"/>
  <c r="F25" i="1" s="1"/>
  <c r="P14" i="1" s="1"/>
  <c r="E87" i="1"/>
  <c r="F87" i="1" s="1"/>
  <c r="U16" i="1" s="1"/>
  <c r="E60" i="1"/>
  <c r="F60" i="1" s="1"/>
  <c r="S13" i="1" s="1"/>
  <c r="E35" i="1"/>
  <c r="F35" i="1" s="1"/>
  <c r="Q12" i="1" s="1"/>
  <c r="E47" i="1"/>
  <c r="F47" i="1" s="1"/>
  <c r="R12" i="1" s="1"/>
  <c r="E59" i="1"/>
  <c r="F59" i="1" s="1"/>
  <c r="S12" i="1" s="1"/>
  <c r="E83" i="1"/>
  <c r="F83" i="1" s="1"/>
  <c r="U12" i="1" s="1"/>
  <c r="E95" i="1"/>
  <c r="F95" i="1" s="1"/>
  <c r="V12" i="1" s="1"/>
  <c r="F31" i="5"/>
  <c r="F95" i="5"/>
  <c r="F83" i="5"/>
  <c r="F71" i="5"/>
  <c r="F59" i="5"/>
  <c r="F47" i="5"/>
  <c r="F35" i="5"/>
  <c r="F23" i="5"/>
  <c r="F55" i="5"/>
  <c r="F105" i="5"/>
  <c r="F93" i="5"/>
  <c r="F81" i="5"/>
  <c r="F69" i="5"/>
  <c r="F57" i="5"/>
  <c r="F45" i="5"/>
  <c r="F33" i="5"/>
  <c r="F21" i="5"/>
  <c r="F19" i="5"/>
  <c r="E43" i="5"/>
  <c r="E34" i="1"/>
  <c r="F34" i="1" s="1"/>
  <c r="P23" i="1" s="1"/>
  <c r="E46" i="1"/>
  <c r="F46" i="1" s="1"/>
  <c r="Q23" i="1" s="1"/>
  <c r="E58" i="1"/>
  <c r="F58" i="1" s="1"/>
  <c r="R23" i="1" s="1"/>
  <c r="E81" i="1"/>
  <c r="F81" i="1" s="1"/>
  <c r="T22" i="1" s="1"/>
  <c r="E94" i="1"/>
  <c r="F94" i="1" s="1"/>
  <c r="U23" i="1" s="1"/>
  <c r="E31" i="1"/>
  <c r="F31" i="1" s="1"/>
  <c r="P20" i="1" s="1"/>
  <c r="E109" i="1"/>
  <c r="F109" i="1" s="1"/>
  <c r="W14" i="1" s="1"/>
  <c r="E111" i="1"/>
  <c r="F111" i="1" s="1"/>
  <c r="E107" i="1"/>
  <c r="F107" i="1" s="1"/>
  <c r="W12" i="1" s="1"/>
  <c r="E106" i="1"/>
  <c r="F106" i="1" s="1"/>
  <c r="V23" i="1" s="1"/>
  <c r="E103" i="1"/>
  <c r="F103" i="1" s="1"/>
  <c r="V20" i="1" s="1"/>
  <c r="E67" i="1"/>
  <c r="F67" i="1" s="1"/>
  <c r="S20" i="1" s="1"/>
  <c r="E105" i="1"/>
  <c r="F105" i="1" s="1"/>
  <c r="V22" i="1" s="1"/>
  <c r="E27" i="1"/>
  <c r="F27" i="1" s="1"/>
  <c r="P16" i="1" s="1"/>
  <c r="E39" i="1"/>
  <c r="F39" i="1" s="1"/>
  <c r="Q16" i="1" s="1"/>
  <c r="E54" i="1"/>
  <c r="F54" i="1" s="1"/>
  <c r="R19" i="1" s="1"/>
  <c r="E79" i="1"/>
  <c r="F79" i="1" s="1"/>
  <c r="T20" i="1" s="1"/>
  <c r="E41" i="1"/>
  <c r="F41" i="1" s="1"/>
  <c r="Q18" i="1" s="1"/>
  <c r="E77" i="1"/>
  <c r="F77" i="1" s="1"/>
  <c r="T18" i="1" s="1"/>
  <c r="E45" i="1"/>
  <c r="F45" i="1" s="1"/>
  <c r="Q22" i="1" s="1"/>
  <c r="E64" i="1"/>
  <c r="F64" i="1" s="1"/>
  <c r="S17" i="1" s="1"/>
  <c r="E89" i="1"/>
  <c r="F89" i="1" s="1"/>
  <c r="U18" i="1" s="1"/>
  <c r="E17" i="1"/>
  <c r="F17" i="1" s="1"/>
  <c r="O18" i="1" s="1"/>
  <c r="E23" i="1"/>
  <c r="F23" i="1" s="1"/>
  <c r="P12" i="1" s="1"/>
  <c r="E37" i="1"/>
  <c r="F37" i="1" s="1"/>
  <c r="Q14" i="1" s="1"/>
  <c r="E50" i="1"/>
  <c r="F50" i="1" s="1"/>
  <c r="R15" i="1" s="1"/>
  <c r="E75" i="1"/>
  <c r="F75" i="1" s="1"/>
  <c r="T16" i="1" s="1"/>
  <c r="E101" i="1"/>
  <c r="F101" i="1" s="1"/>
  <c r="V18" i="1" s="1"/>
  <c r="E33" i="1"/>
  <c r="F33" i="1" s="1"/>
  <c r="P22" i="1" s="1"/>
  <c r="E73" i="1"/>
  <c r="F73" i="1" s="1"/>
  <c r="T14" i="1" s="1"/>
  <c r="E16" i="1"/>
  <c r="E96" i="1"/>
  <c r="F96" i="1" s="1"/>
  <c r="V13" i="1" s="1"/>
  <c r="E110" i="1"/>
  <c r="F110" i="1" s="1"/>
  <c r="E68" i="1"/>
  <c r="F68" i="1" s="1"/>
  <c r="S21" i="1" s="1"/>
  <c r="E93" i="1"/>
  <c r="F93" i="1" s="1"/>
  <c r="U22" i="1" s="1"/>
  <c r="E26" i="1"/>
  <c r="F26" i="1" s="1"/>
  <c r="P15" i="1" s="1"/>
  <c r="E40" i="1"/>
  <c r="F40" i="1" s="1"/>
  <c r="Q17" i="1" s="1"/>
  <c r="E53" i="1"/>
  <c r="F53" i="1" s="1"/>
  <c r="R18" i="1" s="1"/>
  <c r="E91" i="1"/>
  <c r="F91" i="1" s="1"/>
  <c r="U20" i="1" s="1"/>
  <c r="E61" i="1"/>
  <c r="F61" i="1" s="1"/>
  <c r="S14" i="1" s="1"/>
  <c r="E74" i="1"/>
  <c r="F74" i="1" s="1"/>
  <c r="T15" i="1" s="1"/>
  <c r="E88" i="1"/>
  <c r="F88" i="1" s="1"/>
  <c r="U17" i="1" s="1"/>
  <c r="E102" i="1"/>
  <c r="F102" i="1" s="1"/>
  <c r="V19" i="1" s="1"/>
  <c r="E100" i="1"/>
  <c r="F100" i="1" s="1"/>
  <c r="V17" i="1" s="1"/>
  <c r="E21" i="1"/>
  <c r="F21" i="1" s="1"/>
  <c r="O22" i="1" s="1"/>
  <c r="E43" i="1"/>
  <c r="F43" i="1" s="1"/>
  <c r="Q20" i="1" s="1"/>
  <c r="E85" i="1"/>
  <c r="F85" i="1" s="1"/>
  <c r="U14" i="1" s="1"/>
  <c r="E20" i="1"/>
  <c r="F20" i="1" s="1"/>
  <c r="O21" i="1" s="1"/>
  <c r="E55" i="1"/>
  <c r="F55" i="1" s="1"/>
  <c r="R20" i="1" s="1"/>
  <c r="E69" i="1"/>
  <c r="F69" i="1" s="1"/>
  <c r="S22" i="1" s="1"/>
  <c r="E84" i="1"/>
  <c r="F84" i="1" s="1"/>
  <c r="U13" i="1" s="1"/>
  <c r="E98" i="1"/>
  <c r="F98" i="1" s="1"/>
  <c r="V15" i="1" s="1"/>
  <c r="E112" i="1"/>
  <c r="F112" i="1" s="1"/>
  <c r="E29" i="1"/>
  <c r="F29" i="1" s="1"/>
  <c r="P18" i="1" s="1"/>
  <c r="E99" i="1"/>
  <c r="F99" i="1" s="1"/>
  <c r="V16" i="1" s="1"/>
  <c r="E44" i="1"/>
  <c r="F44" i="1" s="1"/>
  <c r="Q21" i="1" s="1"/>
  <c r="E72" i="1"/>
  <c r="F72" i="1" s="1"/>
  <c r="T13" i="1" s="1"/>
  <c r="E86" i="1"/>
  <c r="F86" i="1" s="1"/>
  <c r="U15" i="1" s="1"/>
  <c r="E51" i="1"/>
  <c r="F51" i="1" s="1"/>
  <c r="R16" i="1" s="1"/>
  <c r="E65" i="1"/>
  <c r="F65" i="1" s="1"/>
  <c r="S18" i="1" s="1"/>
  <c r="E78" i="1"/>
  <c r="F78" i="1" s="1"/>
  <c r="T19" i="1" s="1"/>
  <c r="E92" i="1"/>
  <c r="F92" i="1" s="1"/>
  <c r="U21" i="1" s="1"/>
  <c r="E108" i="1"/>
  <c r="F108" i="1" s="1"/>
  <c r="W13" i="1" s="1"/>
  <c r="E30" i="1"/>
  <c r="F30" i="1" s="1"/>
  <c r="P19" i="1" s="1"/>
  <c r="E71" i="1"/>
  <c r="F71" i="1" s="1"/>
  <c r="T12" i="1" s="1"/>
  <c r="E57" i="1"/>
  <c r="F57" i="1" s="1"/>
  <c r="R22" i="1" s="1"/>
  <c r="E36" i="1"/>
  <c r="F36" i="1" s="1"/>
  <c r="Q13" i="1" s="1"/>
  <c r="E49" i="1"/>
  <c r="F49" i="1" s="1"/>
  <c r="R14" i="1" s="1"/>
  <c r="E63" i="1"/>
  <c r="F63" i="1" s="1"/>
  <c r="S16" i="1" s="1"/>
  <c r="E90" i="1"/>
  <c r="F90" i="1" s="1"/>
  <c r="U19" i="1" s="1"/>
  <c r="E104" i="1"/>
  <c r="F104" i="1" s="1"/>
  <c r="V21" i="1" s="1"/>
  <c r="E19" i="1"/>
  <c r="F19" i="1" s="1"/>
  <c r="O20" i="1" s="1"/>
  <c r="E32" i="1"/>
  <c r="F32" i="1" s="1"/>
  <c r="P21" i="1" s="1"/>
  <c r="E28" i="1"/>
  <c r="F28" i="1" s="1"/>
  <c r="P17" i="1" s="1"/>
  <c r="E24" i="1"/>
  <c r="F24" i="1" s="1"/>
  <c r="P13" i="1" s="1"/>
  <c r="E42" i="1"/>
  <c r="F42" i="1" s="1"/>
  <c r="Q19" i="1" s="1"/>
  <c r="E38" i="1"/>
  <c r="F38" i="1" s="1"/>
  <c r="Q15" i="1" s="1"/>
  <c r="E56" i="1"/>
  <c r="F56" i="1" s="1"/>
  <c r="R21" i="1" s="1"/>
  <c r="E52" i="1"/>
  <c r="F52" i="1" s="1"/>
  <c r="R17" i="1" s="1"/>
  <c r="E48" i="1"/>
  <c r="F48" i="1" s="1"/>
  <c r="R13" i="1" s="1"/>
  <c r="E66" i="1"/>
  <c r="F66" i="1" s="1"/>
  <c r="S19" i="1" s="1"/>
  <c r="E62" i="1"/>
  <c r="F62" i="1" s="1"/>
  <c r="S15" i="1" s="1"/>
  <c r="E80" i="1"/>
  <c r="F80" i="1" s="1"/>
  <c r="T21" i="1" s="1"/>
  <c r="E76" i="1"/>
  <c r="F76" i="1" s="1"/>
  <c r="T17" i="1" s="1"/>
  <c r="AA25" i="3" l="1"/>
  <c r="F16" i="1"/>
  <c r="O17" i="1" s="1"/>
  <c r="X17" i="1" s="1"/>
  <c r="V26" i="3"/>
  <c r="L27" i="3"/>
  <c r="J20" i="3"/>
  <c r="X23" i="1"/>
  <c r="G142" i="1" s="1"/>
  <c r="K7" i="5"/>
  <c r="X18" i="1"/>
  <c r="G161" i="1" s="1"/>
  <c r="X14" i="1"/>
  <c r="G145" i="1" s="1"/>
  <c r="X12" i="1"/>
  <c r="X16" i="1"/>
  <c r="G15" i="1" s="1"/>
  <c r="X20" i="1"/>
  <c r="X15" i="1"/>
  <c r="G194" i="1" s="1"/>
  <c r="X19" i="1"/>
  <c r="G174" i="1" s="1"/>
  <c r="X13" i="1"/>
  <c r="X22" i="1"/>
  <c r="X21" i="1"/>
  <c r="G104" i="1" s="1"/>
  <c r="G190" i="1"/>
  <c r="G166" i="1"/>
  <c r="G118" i="1"/>
  <c r="G94" i="1"/>
  <c r="G130" i="1"/>
  <c r="G106" i="1"/>
  <c r="G82" i="1"/>
  <c r="G34" i="1"/>
  <c r="AA26" i="3" l="1"/>
  <c r="G184" i="1"/>
  <c r="Y24" i="1"/>
  <c r="V27" i="3"/>
  <c r="L28" i="3"/>
  <c r="J21" i="3"/>
  <c r="G154" i="1"/>
  <c r="G202" i="1"/>
  <c r="G46" i="1"/>
  <c r="G178" i="1"/>
  <c r="G22" i="1"/>
  <c r="G70" i="1"/>
  <c r="G58" i="1"/>
  <c r="G11" i="1"/>
  <c r="G41" i="1"/>
  <c r="G77" i="1"/>
  <c r="G89" i="1"/>
  <c r="G53" i="1"/>
  <c r="G101" i="1"/>
  <c r="G49" i="1"/>
  <c r="G173" i="1"/>
  <c r="G185" i="1"/>
  <c r="G85" i="1"/>
  <c r="G209" i="1"/>
  <c r="G205" i="1"/>
  <c r="G29" i="1"/>
  <c r="G55" i="1"/>
  <c r="G19" i="1"/>
  <c r="G65" i="1"/>
  <c r="G61" i="1"/>
  <c r="G120" i="1"/>
  <c r="G12" i="1"/>
  <c r="G83" i="1"/>
  <c r="G137" i="1"/>
  <c r="G109" i="1"/>
  <c r="G157" i="1"/>
  <c r="G23" i="1"/>
  <c r="G37" i="1"/>
  <c r="G25" i="1"/>
  <c r="G125" i="1"/>
  <c r="G149" i="1"/>
  <c r="G193" i="1"/>
  <c r="G13" i="1"/>
  <c r="G113" i="1"/>
  <c r="G169" i="1"/>
  <c r="G197" i="1"/>
  <c r="G17" i="1"/>
  <c r="G97" i="1"/>
  <c r="G73" i="1"/>
  <c r="G133" i="1"/>
  <c r="G156" i="1"/>
  <c r="G144" i="1"/>
  <c r="G124" i="1"/>
  <c r="G88" i="1"/>
  <c r="G100" i="1"/>
  <c r="G24" i="1"/>
  <c r="G60" i="1"/>
  <c r="G132" i="1"/>
  <c r="G181" i="1"/>
  <c r="G95" i="1"/>
  <c r="G159" i="1"/>
  <c r="G121" i="1"/>
  <c r="G183" i="1"/>
  <c r="G27" i="1"/>
  <c r="G51" i="1"/>
  <c r="G163" i="1"/>
  <c r="G131" i="1"/>
  <c r="G115" i="1"/>
  <c r="G79" i="1"/>
  <c r="G143" i="1"/>
  <c r="G151" i="1"/>
  <c r="G107" i="1"/>
  <c r="G63" i="1"/>
  <c r="G199" i="1"/>
  <c r="G155" i="1"/>
  <c r="G75" i="1"/>
  <c r="G167" i="1"/>
  <c r="G39" i="1"/>
  <c r="G175" i="1"/>
  <c r="G111" i="1"/>
  <c r="G43" i="1"/>
  <c r="G211" i="1"/>
  <c r="G64" i="1"/>
  <c r="G71" i="1"/>
  <c r="G179" i="1"/>
  <c r="G139" i="1"/>
  <c r="G207" i="1"/>
  <c r="G99" i="1"/>
  <c r="G87" i="1"/>
  <c r="G135" i="1"/>
  <c r="G67" i="1"/>
  <c r="G76" i="1"/>
  <c r="G47" i="1"/>
  <c r="G191" i="1"/>
  <c r="G91" i="1"/>
  <c r="G195" i="1"/>
  <c r="G203" i="1"/>
  <c r="G123" i="1"/>
  <c r="G103" i="1"/>
  <c r="G119" i="1"/>
  <c r="G147" i="1"/>
  <c r="G127" i="1"/>
  <c r="G168" i="1"/>
  <c r="Y25" i="1"/>
  <c r="Y17" i="1" s="1"/>
  <c r="V18" i="3" s="1"/>
  <c r="G187" i="1"/>
  <c r="G59" i="1"/>
  <c r="G204" i="1"/>
  <c r="G171" i="1"/>
  <c r="G31" i="1"/>
  <c r="G192" i="1"/>
  <c r="G116" i="1"/>
  <c r="G35" i="1"/>
  <c r="G52" i="1"/>
  <c r="G138" i="1"/>
  <c r="G162" i="1"/>
  <c r="G146" i="1"/>
  <c r="G14" i="1"/>
  <c r="G54" i="1"/>
  <c r="G38" i="1"/>
  <c r="G62" i="1"/>
  <c r="G210" i="1"/>
  <c r="G90" i="1"/>
  <c r="G114" i="1"/>
  <c r="G170" i="1"/>
  <c r="G30" i="1"/>
  <c r="G126" i="1"/>
  <c r="G110" i="1"/>
  <c r="G198" i="1"/>
  <c r="G18" i="1"/>
  <c r="G186" i="1"/>
  <c r="G153" i="1"/>
  <c r="G201" i="1"/>
  <c r="G141" i="1"/>
  <c r="G105" i="1"/>
  <c r="G177" i="1"/>
  <c r="G33" i="1"/>
  <c r="G165" i="1"/>
  <c r="G129" i="1"/>
  <c r="G81" i="1"/>
  <c r="G189" i="1"/>
  <c r="G117" i="1"/>
  <c r="G45" i="1"/>
  <c r="G93" i="1"/>
  <c r="G69" i="1"/>
  <c r="G57" i="1"/>
  <c r="G21" i="1"/>
  <c r="G200" i="1"/>
  <c r="G152" i="1"/>
  <c r="G212" i="1"/>
  <c r="G36" i="1"/>
  <c r="G180" i="1"/>
  <c r="G20" i="1"/>
  <c r="G164" i="1"/>
  <c r="G86" i="1"/>
  <c r="G48" i="1"/>
  <c r="G32" i="1"/>
  <c r="G176" i="1"/>
  <c r="G112" i="1"/>
  <c r="G26" i="1"/>
  <c r="G134" i="1"/>
  <c r="G72" i="1"/>
  <c r="G78" i="1"/>
  <c r="G56" i="1"/>
  <c r="G196" i="1"/>
  <c r="G136" i="1"/>
  <c r="G140" i="1"/>
  <c r="G188" i="1"/>
  <c r="G50" i="1"/>
  <c r="G158" i="1"/>
  <c r="G84" i="1"/>
  <c r="G102" i="1"/>
  <c r="G68" i="1"/>
  <c r="G208" i="1"/>
  <c r="G148" i="1"/>
  <c r="G128" i="1"/>
  <c r="G44" i="1"/>
  <c r="G74" i="1"/>
  <c r="G80" i="1"/>
  <c r="G16" i="1"/>
  <c r="G160" i="1"/>
  <c r="G98" i="1"/>
  <c r="G206" i="1"/>
  <c r="G108" i="1"/>
  <c r="G42" i="1"/>
  <c r="G150" i="1"/>
  <c r="G92" i="1"/>
  <c r="G28" i="1"/>
  <c r="G172" i="1"/>
  <c r="G182" i="1"/>
  <c r="G96" i="1"/>
  <c r="G122" i="1"/>
  <c r="G66" i="1"/>
  <c r="G40" i="1"/>
  <c r="AA27" i="3" l="1"/>
  <c r="AA18" i="3"/>
  <c r="V28" i="3"/>
  <c r="L29" i="3"/>
  <c r="J22" i="3"/>
  <c r="H172" i="1"/>
  <c r="Y21" i="1"/>
  <c r="V22" i="3" s="1"/>
  <c r="Y16" i="1"/>
  <c r="V17" i="3" s="1"/>
  <c r="Y23" i="1"/>
  <c r="V24" i="3" s="1"/>
  <c r="H76" i="1"/>
  <c r="I76" i="1" s="1"/>
  <c r="H88" i="1"/>
  <c r="I88" i="1" s="1"/>
  <c r="H100" i="1"/>
  <c r="I100" i="1" s="1"/>
  <c r="Y15" i="1"/>
  <c r="V16" i="3" s="1"/>
  <c r="H112" i="1"/>
  <c r="I112" i="1" s="1"/>
  <c r="H124" i="1"/>
  <c r="H136" i="1"/>
  <c r="Y13" i="1"/>
  <c r="V14" i="3" s="1"/>
  <c r="Y12" i="1"/>
  <c r="V13" i="3" s="1"/>
  <c r="H148" i="1"/>
  <c r="Y14" i="1"/>
  <c r="V15" i="3" s="1"/>
  <c r="H16" i="1"/>
  <c r="I16" i="1" s="1"/>
  <c r="Y22" i="1"/>
  <c r="V23" i="3" s="1"/>
  <c r="H196" i="1"/>
  <c r="Y19" i="1"/>
  <c r="V20" i="3" s="1"/>
  <c r="H40" i="1"/>
  <c r="I40" i="1" s="1"/>
  <c r="H184" i="1"/>
  <c r="Y20" i="1"/>
  <c r="V21" i="3" s="1"/>
  <c r="H52" i="1"/>
  <c r="I52" i="1" s="1"/>
  <c r="H208" i="1"/>
  <c r="H160" i="1"/>
  <c r="H28" i="1"/>
  <c r="I28" i="1" s="1"/>
  <c r="Y18" i="1"/>
  <c r="V19" i="3" s="1"/>
  <c r="H64" i="1"/>
  <c r="I64" i="1" s="1"/>
  <c r="H166" i="1"/>
  <c r="AA28" i="3" l="1"/>
  <c r="AA24" i="3"/>
  <c r="AA17" i="3"/>
  <c r="AA20" i="3"/>
  <c r="AA19" i="3"/>
  <c r="AA14" i="3"/>
  <c r="AA21" i="3"/>
  <c r="AA22" i="3"/>
  <c r="AA23" i="3"/>
  <c r="AA15" i="3"/>
  <c r="AA13" i="3"/>
  <c r="AJ13" i="3"/>
  <c r="AA16" i="3"/>
  <c r="V29" i="3"/>
  <c r="L30" i="3"/>
  <c r="S13" i="3"/>
  <c r="J23" i="3"/>
  <c r="H146" i="1"/>
  <c r="H130" i="1"/>
  <c r="H97" i="1"/>
  <c r="I97" i="1" s="1"/>
  <c r="H147" i="1"/>
  <c r="R18" i="3"/>
  <c r="U18" i="3"/>
  <c r="H103" i="1"/>
  <c r="I103" i="1" s="1"/>
  <c r="H114" i="1"/>
  <c r="H81" i="1"/>
  <c r="I81" i="1" s="1"/>
  <c r="H161" i="1"/>
  <c r="H140" i="1"/>
  <c r="H167" i="1"/>
  <c r="Z24" i="1"/>
  <c r="H120" i="1"/>
  <c r="H177" i="1"/>
  <c r="H44" i="1"/>
  <c r="I44" i="1" s="1"/>
  <c r="H154" i="1"/>
  <c r="H202" i="1"/>
  <c r="H190" i="1"/>
  <c r="H110" i="1"/>
  <c r="I110" i="1" s="1"/>
  <c r="H22" i="1"/>
  <c r="I22" i="1" s="1"/>
  <c r="H142" i="1"/>
  <c r="H98" i="1"/>
  <c r="I98" i="1" s="1"/>
  <c r="H60" i="1"/>
  <c r="I60" i="1" s="1"/>
  <c r="H132" i="1"/>
  <c r="H19" i="1"/>
  <c r="I19" i="1" s="1"/>
  <c r="H131" i="1"/>
  <c r="H203" i="1"/>
  <c r="H144" i="1"/>
  <c r="H156" i="1"/>
  <c r="H163" i="1"/>
  <c r="H122" i="1"/>
  <c r="H187" i="1"/>
  <c r="H134" i="1"/>
  <c r="H78" i="1"/>
  <c r="I78" i="1" s="1"/>
  <c r="H174" i="1"/>
  <c r="H32" i="1"/>
  <c r="I32" i="1" s="1"/>
  <c r="H39" i="1"/>
  <c r="I39" i="1" s="1"/>
  <c r="H51" i="1"/>
  <c r="I51" i="1" s="1"/>
  <c r="H159" i="1"/>
  <c r="H176" i="1"/>
  <c r="H207" i="1"/>
  <c r="H212" i="1"/>
  <c r="H95" i="1"/>
  <c r="I95" i="1" s="1"/>
  <c r="H113" i="1"/>
  <c r="I113" i="1" s="1"/>
  <c r="H12" i="1"/>
  <c r="I12" i="1" s="1"/>
  <c r="H210" i="1"/>
  <c r="H191" i="1"/>
  <c r="H92" i="1"/>
  <c r="I92" i="1" s="1"/>
  <c r="H47" i="1"/>
  <c r="I47" i="1" s="1"/>
  <c r="H180" i="1"/>
  <c r="H59" i="1"/>
  <c r="I59" i="1" s="1"/>
  <c r="H188" i="1"/>
  <c r="H195" i="1"/>
  <c r="H107" i="1"/>
  <c r="I107" i="1" s="1"/>
  <c r="H24" i="1"/>
  <c r="I24" i="1" s="1"/>
  <c r="H198" i="1"/>
  <c r="H56" i="1"/>
  <c r="I56" i="1" s="1"/>
  <c r="H15" i="1"/>
  <c r="I15" i="1" s="1"/>
  <c r="H68" i="1"/>
  <c r="I68" i="1" s="1"/>
  <c r="H27" i="1"/>
  <c r="I27" i="1" s="1"/>
  <c r="H35" i="1"/>
  <c r="I35" i="1" s="1"/>
  <c r="H204" i="1"/>
  <c r="H152" i="1"/>
  <c r="H164" i="1"/>
  <c r="H168" i="1"/>
  <c r="H71" i="1"/>
  <c r="I71" i="1" s="1"/>
  <c r="H83" i="1"/>
  <c r="I83" i="1" s="1"/>
  <c r="H200" i="1"/>
  <c r="H20" i="1"/>
  <c r="I20" i="1" s="1"/>
  <c r="H175" i="1"/>
  <c r="H119" i="1"/>
  <c r="H36" i="1"/>
  <c r="I36" i="1" s="1"/>
  <c r="H34" i="1"/>
  <c r="I34" i="1" s="1"/>
  <c r="H46" i="1"/>
  <c r="I46" i="1" s="1"/>
  <c r="H80" i="1"/>
  <c r="I80" i="1" s="1"/>
  <c r="H75" i="1"/>
  <c r="I75" i="1" s="1"/>
  <c r="H137" i="1"/>
  <c r="H58" i="1"/>
  <c r="I58" i="1" s="1"/>
  <c r="H48" i="1"/>
  <c r="I48" i="1" s="1"/>
  <c r="H192" i="1"/>
  <c r="H25" i="1"/>
  <c r="I25" i="1" s="1"/>
  <c r="H104" i="1"/>
  <c r="I104" i="1" s="1"/>
  <c r="H99" i="1"/>
  <c r="I99" i="1" s="1"/>
  <c r="H82" i="1"/>
  <c r="I82" i="1" s="1"/>
  <c r="H72" i="1"/>
  <c r="I72" i="1" s="1"/>
  <c r="H54" i="1"/>
  <c r="I54" i="1" s="1"/>
  <c r="H63" i="1"/>
  <c r="I63" i="1" s="1"/>
  <c r="H87" i="1"/>
  <c r="I87" i="1" s="1"/>
  <c r="H70" i="1"/>
  <c r="I70" i="1" s="1"/>
  <c r="H37" i="1"/>
  <c r="I37" i="1" s="1"/>
  <c r="H116" i="1"/>
  <c r="H143" i="1"/>
  <c r="H111" i="1"/>
  <c r="I111" i="1" s="1"/>
  <c r="H49" i="1"/>
  <c r="I49" i="1" s="1"/>
  <c r="H94" i="1"/>
  <c r="I94" i="1" s="1"/>
  <c r="H57" i="1"/>
  <c r="I57" i="1" s="1"/>
  <c r="H84" i="1"/>
  <c r="I84" i="1" s="1"/>
  <c r="H66" i="1"/>
  <c r="I66" i="1" s="1"/>
  <c r="H125" i="1"/>
  <c r="H128" i="1"/>
  <c r="H123" i="1"/>
  <c r="H61" i="1"/>
  <c r="I61" i="1" s="1"/>
  <c r="H106" i="1"/>
  <c r="I106" i="1" s="1"/>
  <c r="H153" i="1"/>
  <c r="H96" i="1"/>
  <c r="I96" i="1" s="1"/>
  <c r="H179" i="1"/>
  <c r="H183" i="1"/>
  <c r="H135" i="1"/>
  <c r="H73" i="1"/>
  <c r="I73" i="1" s="1"/>
  <c r="H118" i="1"/>
  <c r="H165" i="1"/>
  <c r="H108" i="1"/>
  <c r="I108" i="1" s="1"/>
  <c r="H90" i="1"/>
  <c r="I90" i="1" s="1"/>
  <c r="H189" i="1"/>
  <c r="H178" i="1"/>
  <c r="H171" i="1"/>
  <c r="H193" i="1"/>
  <c r="H201" i="1"/>
  <c r="H158" i="1"/>
  <c r="H182" i="1"/>
  <c r="H91" i="1"/>
  <c r="I91" i="1" s="1"/>
  <c r="H206" i="1"/>
  <c r="H115" i="1"/>
  <c r="H50" i="1"/>
  <c r="I50" i="1" s="1"/>
  <c r="H62" i="1"/>
  <c r="I62" i="1" s="1"/>
  <c r="H31" i="1"/>
  <c r="I31" i="1" s="1"/>
  <c r="H211" i="1"/>
  <c r="H67" i="1"/>
  <c r="I67" i="1" s="1"/>
  <c r="H38" i="1"/>
  <c r="I38" i="1" s="1"/>
  <c r="H194" i="1"/>
  <c r="H127" i="1"/>
  <c r="H181" i="1"/>
  <c r="H74" i="1"/>
  <c r="I74" i="1" s="1"/>
  <c r="H33" i="1"/>
  <c r="I33" i="1" s="1"/>
  <c r="H43" i="1"/>
  <c r="I43" i="1" s="1"/>
  <c r="H14" i="1"/>
  <c r="I14" i="1" s="1"/>
  <c r="H79" i="1"/>
  <c r="I79" i="1" s="1"/>
  <c r="H26" i="1"/>
  <c r="I26" i="1" s="1"/>
  <c r="H169" i="1"/>
  <c r="H21" i="1"/>
  <c r="I21" i="1" s="1"/>
  <c r="H139" i="1"/>
  <c r="H89" i="1"/>
  <c r="I89" i="1" s="1"/>
  <c r="H151" i="1"/>
  <c r="H101" i="1"/>
  <c r="I101" i="1" s="1"/>
  <c r="H205" i="1"/>
  <c r="H86" i="1"/>
  <c r="I86" i="1" s="1"/>
  <c r="H45" i="1"/>
  <c r="I45" i="1" s="1"/>
  <c r="H42" i="1"/>
  <c r="I42" i="1" s="1"/>
  <c r="H199" i="1"/>
  <c r="H55" i="1"/>
  <c r="I55" i="1" s="1"/>
  <c r="H170" i="1"/>
  <c r="H149" i="1"/>
  <c r="H121" i="1"/>
  <c r="H69" i="1"/>
  <c r="I69" i="1" s="1"/>
  <c r="H197" i="1"/>
  <c r="H109" i="1"/>
  <c r="I109" i="1" s="1"/>
  <c r="H126" i="1"/>
  <c r="H173" i="1"/>
  <c r="H105" i="1"/>
  <c r="I105" i="1" s="1"/>
  <c r="H138" i="1"/>
  <c r="H53" i="1"/>
  <c r="I53" i="1" s="1"/>
  <c r="H133" i="1"/>
  <c r="H117" i="1"/>
  <c r="H150" i="1"/>
  <c r="H11" i="1"/>
  <c r="I11" i="1" s="1"/>
  <c r="H155" i="1"/>
  <c r="H65" i="1"/>
  <c r="I65" i="1" s="1"/>
  <c r="H209" i="1"/>
  <c r="H145" i="1"/>
  <c r="H129" i="1"/>
  <c r="H18" i="1"/>
  <c r="I18" i="1" s="1"/>
  <c r="H162" i="1"/>
  <c r="H85" i="1"/>
  <c r="I85" i="1" s="1"/>
  <c r="H102" i="1"/>
  <c r="I102" i="1" s="1"/>
  <c r="H29" i="1"/>
  <c r="I29" i="1" s="1"/>
  <c r="H93" i="1"/>
  <c r="I93" i="1" s="1"/>
  <c r="H41" i="1"/>
  <c r="I41" i="1" s="1"/>
  <c r="H185" i="1"/>
  <c r="H23" i="1"/>
  <c r="I23" i="1" s="1"/>
  <c r="H77" i="1"/>
  <c r="I77" i="1" s="1"/>
  <c r="H13" i="1"/>
  <c r="I13" i="1" s="1"/>
  <c r="H157" i="1"/>
  <c r="H141" i="1"/>
  <c r="H30" i="1"/>
  <c r="I30" i="1" s="1"/>
  <c r="H186" i="1"/>
  <c r="H17" i="1"/>
  <c r="I17" i="1" s="1"/>
  <c r="AP109" i="3"/>
  <c r="AP98" i="3"/>
  <c r="AP111" i="3"/>
  <c r="AP63" i="3"/>
  <c r="AP69" i="3"/>
  <c r="AP15" i="3"/>
  <c r="AP29" i="3"/>
  <c r="AP21" i="3"/>
  <c r="AP90" i="3"/>
  <c r="AP78" i="3"/>
  <c r="AP37" i="3"/>
  <c r="AP48" i="3"/>
  <c r="AP59" i="3"/>
  <c r="AP76" i="3"/>
  <c r="AP96" i="3"/>
  <c r="AP107" i="3"/>
  <c r="AP91" i="3"/>
  <c r="AP93" i="3"/>
  <c r="AP104" i="3"/>
  <c r="AP73" i="3"/>
  <c r="AP32" i="3"/>
  <c r="AP18" i="3"/>
  <c r="AP94" i="3"/>
  <c r="AP23" i="3"/>
  <c r="AP33" i="3"/>
  <c r="AP17" i="3"/>
  <c r="AP19" i="3"/>
  <c r="AP30" i="3"/>
  <c r="AP103" i="3"/>
  <c r="AP36" i="3"/>
  <c r="AP20" i="3"/>
  <c r="AP66" i="3"/>
  <c r="AP87" i="3"/>
  <c r="AP58" i="3"/>
  <c r="AP89" i="3"/>
  <c r="AP43" i="3"/>
  <c r="AP81" i="3"/>
  <c r="AP92" i="3"/>
  <c r="AP14" i="3"/>
  <c r="AP61" i="3"/>
  <c r="AP72" i="3"/>
  <c r="AP56" i="3"/>
  <c r="AP26" i="3"/>
  <c r="AP106" i="3"/>
  <c r="AP101" i="3"/>
  <c r="AP62" i="3"/>
  <c r="AP80" i="3"/>
  <c r="AP79" i="3"/>
  <c r="AP97" i="3"/>
  <c r="AP110" i="3"/>
  <c r="AP102" i="3"/>
  <c r="AP55" i="3"/>
  <c r="AP67" i="3"/>
  <c r="AP47" i="3"/>
  <c r="AP51" i="3"/>
  <c r="AP77" i="3"/>
  <c r="AP95" i="3"/>
  <c r="AP34" i="3"/>
  <c r="AP85" i="3"/>
  <c r="AP64" i="3"/>
  <c r="AP86" i="3"/>
  <c r="AP65" i="3"/>
  <c r="AP42" i="3"/>
  <c r="AP53" i="3"/>
  <c r="AP28" i="3"/>
  <c r="AP39" i="3"/>
  <c r="AP50" i="3"/>
  <c r="AP44" i="3"/>
  <c r="AP45" i="3"/>
  <c r="AP40" i="3"/>
  <c r="AP60" i="3"/>
  <c r="AP71" i="3"/>
  <c r="AP46" i="3"/>
  <c r="AP57" i="3"/>
  <c r="AP68" i="3"/>
  <c r="AP25" i="3"/>
  <c r="AP100" i="3"/>
  <c r="AP82" i="3"/>
  <c r="AP16" i="3"/>
  <c r="AP52" i="3"/>
  <c r="AP24" i="3"/>
  <c r="AP75" i="3"/>
  <c r="AP70" i="3"/>
  <c r="AP108" i="3"/>
  <c r="AP27" i="3"/>
  <c r="AP41" i="3"/>
  <c r="AP88" i="3"/>
  <c r="AP99" i="3"/>
  <c r="AP83" i="3"/>
  <c r="AP35" i="3"/>
  <c r="AP38" i="3"/>
  <c r="AP31" i="3"/>
  <c r="AP49" i="3"/>
  <c r="AP84" i="3"/>
  <c r="AP54" i="3"/>
  <c r="AP74" i="3"/>
  <c r="AP105" i="3"/>
  <c r="AA29" i="3" l="1"/>
  <c r="M18" i="3"/>
  <c r="AS13" i="3"/>
  <c r="AT13" i="3"/>
  <c r="AV13" i="3" s="1"/>
  <c r="V30" i="3"/>
  <c r="L31" i="3"/>
  <c r="AI18" i="3"/>
  <c r="Z18" i="3"/>
  <c r="AG13" i="3"/>
  <c r="X13" i="3"/>
  <c r="J24" i="3"/>
  <c r="U24" i="3" s="1"/>
  <c r="AX14" i="3"/>
  <c r="AQ63" i="3"/>
  <c r="AX64" i="3"/>
  <c r="AQ64" i="3"/>
  <c r="R22" i="3"/>
  <c r="U22" i="3"/>
  <c r="R17" i="3"/>
  <c r="U17" i="3"/>
  <c r="R13" i="3"/>
  <c r="T13" i="3"/>
  <c r="U13" i="3"/>
  <c r="R21" i="3"/>
  <c r="U21" i="3"/>
  <c r="R23" i="3"/>
  <c r="U23" i="3"/>
  <c r="R24" i="3"/>
  <c r="R19" i="3"/>
  <c r="U19" i="3"/>
  <c r="R15" i="3"/>
  <c r="U15" i="3"/>
  <c r="R20" i="3"/>
  <c r="U20" i="3"/>
  <c r="R16" i="3"/>
  <c r="U16" i="3"/>
  <c r="R14" i="3"/>
  <c r="U14" i="3"/>
  <c r="AQ47" i="3"/>
  <c r="AX47" i="3"/>
  <c r="AQ99" i="3"/>
  <c r="AX99" i="3"/>
  <c r="AQ30" i="3"/>
  <c r="AX30" i="3"/>
  <c r="AQ19" i="3"/>
  <c r="AX19" i="3"/>
  <c r="AQ111" i="3"/>
  <c r="AX111" i="3"/>
  <c r="AQ93" i="3"/>
  <c r="AX93" i="3"/>
  <c r="AQ72" i="3"/>
  <c r="AX72" i="3"/>
  <c r="AQ107" i="3"/>
  <c r="AX107" i="3"/>
  <c r="AQ46" i="3"/>
  <c r="AX46" i="3"/>
  <c r="AQ110" i="3"/>
  <c r="AX110" i="3"/>
  <c r="AQ92" i="3"/>
  <c r="AX92" i="3"/>
  <c r="AQ17" i="3"/>
  <c r="AX17" i="3"/>
  <c r="AQ76" i="3"/>
  <c r="AX76" i="3"/>
  <c r="AQ98" i="3"/>
  <c r="AX98" i="3"/>
  <c r="AQ15" i="3"/>
  <c r="AX15" i="3"/>
  <c r="AQ103" i="3"/>
  <c r="AX103" i="3"/>
  <c r="AQ55" i="3"/>
  <c r="AX55" i="3"/>
  <c r="AQ57" i="3"/>
  <c r="AX57" i="3"/>
  <c r="AQ108" i="3"/>
  <c r="AX108" i="3"/>
  <c r="AQ81" i="3"/>
  <c r="AX81" i="3"/>
  <c r="AQ33" i="3"/>
  <c r="AX33" i="3"/>
  <c r="AQ59" i="3"/>
  <c r="AX59" i="3"/>
  <c r="AQ109" i="3"/>
  <c r="AX109" i="3"/>
  <c r="AQ28" i="3"/>
  <c r="AX28" i="3"/>
  <c r="AQ91" i="3"/>
  <c r="AX91" i="3"/>
  <c r="AQ68" i="3"/>
  <c r="AX68" i="3"/>
  <c r="AQ41" i="3"/>
  <c r="AX41" i="3"/>
  <c r="AQ23" i="3"/>
  <c r="AX23" i="3"/>
  <c r="AQ48" i="3"/>
  <c r="AX48" i="3"/>
  <c r="AQ100" i="3"/>
  <c r="AX100" i="3"/>
  <c r="AQ25" i="3"/>
  <c r="AX25" i="3"/>
  <c r="AQ61" i="3"/>
  <c r="AX61" i="3"/>
  <c r="AQ71" i="3"/>
  <c r="AX71" i="3"/>
  <c r="AQ79" i="3"/>
  <c r="AX79" i="3"/>
  <c r="AQ43" i="3"/>
  <c r="AX43" i="3"/>
  <c r="AQ84" i="3"/>
  <c r="AX84" i="3"/>
  <c r="AQ75" i="3"/>
  <c r="AX75" i="3"/>
  <c r="AQ40" i="3"/>
  <c r="AX40" i="3"/>
  <c r="AQ85" i="3"/>
  <c r="AX85" i="3"/>
  <c r="AQ80" i="3"/>
  <c r="AX80" i="3"/>
  <c r="AQ89" i="3"/>
  <c r="AX89" i="3"/>
  <c r="AQ94" i="3"/>
  <c r="AX94" i="3"/>
  <c r="AQ37" i="3"/>
  <c r="AX37" i="3"/>
  <c r="AQ36" i="3"/>
  <c r="AX36" i="3"/>
  <c r="AQ53" i="3"/>
  <c r="AX53" i="3"/>
  <c r="AQ102" i="3"/>
  <c r="AX102" i="3"/>
  <c r="AQ58" i="3"/>
  <c r="AX58" i="3"/>
  <c r="AQ78" i="3"/>
  <c r="AX78" i="3"/>
  <c r="AQ83" i="3"/>
  <c r="AX83" i="3"/>
  <c r="AQ42" i="3"/>
  <c r="AX42" i="3"/>
  <c r="AQ105" i="3"/>
  <c r="AX105" i="3"/>
  <c r="AQ97" i="3"/>
  <c r="AX97" i="3"/>
  <c r="AQ70" i="3"/>
  <c r="AX70" i="3"/>
  <c r="AQ49" i="3"/>
  <c r="AX49" i="3"/>
  <c r="AQ34" i="3"/>
  <c r="AX34" i="3"/>
  <c r="AQ52" i="3"/>
  <c r="AX52" i="3"/>
  <c r="AQ44" i="3"/>
  <c r="AX44" i="3"/>
  <c r="AQ95" i="3"/>
  <c r="AX95" i="3"/>
  <c r="AQ101" i="3"/>
  <c r="AX101" i="3"/>
  <c r="AQ87" i="3"/>
  <c r="AX87" i="3"/>
  <c r="AQ32" i="3"/>
  <c r="AX32" i="3"/>
  <c r="AQ90" i="3"/>
  <c r="AX90" i="3"/>
  <c r="AQ56" i="3"/>
  <c r="AX56" i="3"/>
  <c r="AQ67" i="3"/>
  <c r="AX67" i="3"/>
  <c r="AX63" i="3"/>
  <c r="AQ22" i="3"/>
  <c r="AX22" i="3"/>
  <c r="AQ27" i="3"/>
  <c r="AX27" i="3"/>
  <c r="AQ74" i="3"/>
  <c r="AX74" i="3"/>
  <c r="AQ60" i="3"/>
  <c r="AX60" i="3"/>
  <c r="AQ24" i="3"/>
  <c r="AX24" i="3"/>
  <c r="AQ62" i="3"/>
  <c r="AX62" i="3"/>
  <c r="AQ31" i="3"/>
  <c r="AX31" i="3"/>
  <c r="AQ38" i="3"/>
  <c r="AX38" i="3"/>
  <c r="AQ16" i="3"/>
  <c r="AX16" i="3"/>
  <c r="AQ50" i="3"/>
  <c r="AX50" i="3"/>
  <c r="AQ77" i="3"/>
  <c r="AX77" i="3"/>
  <c r="AQ106" i="3"/>
  <c r="AX106" i="3"/>
  <c r="AQ73" i="3"/>
  <c r="AX73" i="3"/>
  <c r="AQ21" i="3"/>
  <c r="AX21" i="3"/>
  <c r="AQ69" i="3"/>
  <c r="AX69" i="3"/>
  <c r="AQ88" i="3"/>
  <c r="AX88" i="3"/>
  <c r="AQ96" i="3"/>
  <c r="AX96" i="3"/>
  <c r="AQ86" i="3"/>
  <c r="AX86" i="3"/>
  <c r="AQ54" i="3"/>
  <c r="AX54" i="3"/>
  <c r="AQ45" i="3"/>
  <c r="AX45" i="3"/>
  <c r="AQ18" i="3"/>
  <c r="AX18" i="3"/>
  <c r="AQ35" i="3"/>
  <c r="AX35" i="3"/>
  <c r="AQ82" i="3"/>
  <c r="AX82" i="3"/>
  <c r="AQ39" i="3"/>
  <c r="AX39" i="3"/>
  <c r="AQ51" i="3"/>
  <c r="AX51" i="3"/>
  <c r="AQ26" i="3"/>
  <c r="AX26" i="3"/>
  <c r="AQ20" i="3"/>
  <c r="AX20" i="3"/>
  <c r="AQ104" i="3"/>
  <c r="AX104" i="3"/>
  <c r="AQ29" i="3"/>
  <c r="AX29" i="3"/>
  <c r="AQ14" i="3"/>
  <c r="AA30" i="3" l="1"/>
  <c r="M15" i="3"/>
  <c r="M19" i="3"/>
  <c r="AI19" i="3"/>
  <c r="M17" i="3"/>
  <c r="AI17" i="3"/>
  <c r="M22" i="3"/>
  <c r="AI22" i="3"/>
  <c r="M21" i="3"/>
  <c r="AI21" i="3"/>
  <c r="M16" i="3"/>
  <c r="AI16" i="3"/>
  <c r="M20" i="3"/>
  <c r="M24" i="3"/>
  <c r="AI24" i="3"/>
  <c r="M23" i="3"/>
  <c r="AI23" i="3"/>
  <c r="M14" i="3"/>
  <c r="AI14" i="3"/>
  <c r="V31" i="3"/>
  <c r="L32" i="3"/>
  <c r="Z13" i="3"/>
  <c r="K13" i="3"/>
  <c r="M13" i="3"/>
  <c r="Y13" i="3"/>
  <c r="I13" i="3"/>
  <c r="Z16" i="3"/>
  <c r="Z21" i="3"/>
  <c r="Z14" i="3"/>
  <c r="AI20" i="3"/>
  <c r="Z20" i="3"/>
  <c r="Z23" i="3"/>
  <c r="AI15" i="3"/>
  <c r="Z15" i="3"/>
  <c r="Z19" i="3"/>
  <c r="Z17" i="3"/>
  <c r="Z24" i="3"/>
  <c r="Z22" i="3"/>
  <c r="J25" i="3"/>
  <c r="AU6" i="3"/>
  <c r="AU5" i="3"/>
  <c r="AT5" i="3"/>
  <c r="AT6" i="3"/>
  <c r="AA31" i="3" l="1"/>
  <c r="AB13" i="3"/>
  <c r="G13" i="3"/>
  <c r="V32" i="3"/>
  <c r="L33" i="3"/>
  <c r="AH13" i="3"/>
  <c r="J26" i="3"/>
  <c r="U25" i="3"/>
  <c r="AI13" i="3"/>
  <c r="H14" i="3"/>
  <c r="F14" i="3"/>
  <c r="AA32" i="3" l="1"/>
  <c r="M25" i="3"/>
  <c r="V33" i="3"/>
  <c r="L34" i="3"/>
  <c r="T14" i="3"/>
  <c r="I14" i="3" s="1"/>
  <c r="K14" i="3"/>
  <c r="F15" i="3"/>
  <c r="AI25" i="3"/>
  <c r="Z25" i="3"/>
  <c r="J27" i="3"/>
  <c r="U26" i="3"/>
  <c r="H15" i="3"/>
  <c r="S14" i="3"/>
  <c r="AA33" i="3" l="1"/>
  <c r="M26" i="3"/>
  <c r="AI26" i="3"/>
  <c r="X14" i="3"/>
  <c r="AG14" i="3"/>
  <c r="Y14" i="3"/>
  <c r="AH14" i="3"/>
  <c r="H16" i="3"/>
  <c r="H17" i="3" s="1"/>
  <c r="K15" i="3"/>
  <c r="V34" i="3"/>
  <c r="L35" i="3"/>
  <c r="G14" i="3"/>
  <c r="Z26" i="3"/>
  <c r="J28" i="3"/>
  <c r="U27" i="3"/>
  <c r="AS14" i="3"/>
  <c r="AT14" i="3"/>
  <c r="T15" i="3"/>
  <c r="F16" i="3"/>
  <c r="S15" i="3"/>
  <c r="M27" i="3" l="1"/>
  <c r="AA34" i="3"/>
  <c r="X15" i="3"/>
  <c r="Y15" i="3"/>
  <c r="AB14" i="3"/>
  <c r="AB15" i="3"/>
  <c r="V35" i="3"/>
  <c r="L36" i="3"/>
  <c r="T17" i="3"/>
  <c r="K17" i="3"/>
  <c r="T16" i="3"/>
  <c r="K16" i="3"/>
  <c r="I15" i="3"/>
  <c r="AI27" i="3"/>
  <c r="Z27" i="3"/>
  <c r="J29" i="3"/>
  <c r="U28" i="3"/>
  <c r="AG15" i="3"/>
  <c r="H18" i="3"/>
  <c r="AV14" i="3"/>
  <c r="AS15" i="3"/>
  <c r="AT15" i="3"/>
  <c r="AV15" i="3" s="1"/>
  <c r="F17" i="3"/>
  <c r="S16" i="3"/>
  <c r="AA35" i="3" l="1"/>
  <c r="M28" i="3"/>
  <c r="AH17" i="3"/>
  <c r="X16" i="3"/>
  <c r="AG16" i="3"/>
  <c r="Y17" i="3"/>
  <c r="I17" i="3"/>
  <c r="G15" i="3"/>
  <c r="AH16" i="3"/>
  <c r="Y16" i="3"/>
  <c r="V36" i="3"/>
  <c r="L37" i="3"/>
  <c r="H19" i="3"/>
  <c r="K19" i="3" s="1"/>
  <c r="K18" i="3"/>
  <c r="I16" i="3"/>
  <c r="AI28" i="3"/>
  <c r="Z28" i="3"/>
  <c r="AH15" i="3"/>
  <c r="J30" i="3"/>
  <c r="U29" i="3"/>
  <c r="T18" i="3"/>
  <c r="AS16" i="3"/>
  <c r="AT16" i="3"/>
  <c r="F18" i="3"/>
  <c r="S17" i="3"/>
  <c r="AA36" i="3" l="1"/>
  <c r="M29" i="3"/>
  <c r="AI29" i="3"/>
  <c r="AB16" i="3"/>
  <c r="X17" i="3"/>
  <c r="AB17" i="3" s="1"/>
  <c r="AG17" i="3"/>
  <c r="I18" i="3"/>
  <c r="T19" i="3"/>
  <c r="AH19" i="3" s="1"/>
  <c r="G17" i="3"/>
  <c r="AV16" i="3"/>
  <c r="H20" i="3"/>
  <c r="K20" i="3" s="1"/>
  <c r="V37" i="3"/>
  <c r="L38" i="3"/>
  <c r="G16" i="3"/>
  <c r="Z29" i="3"/>
  <c r="AH18" i="3"/>
  <c r="Y18" i="3"/>
  <c r="J31" i="3"/>
  <c r="U30" i="3"/>
  <c r="AS17" i="3"/>
  <c r="AT17" i="3"/>
  <c r="AV17" i="3" s="1"/>
  <c r="F19" i="3"/>
  <c r="S18" i="3"/>
  <c r="AA37" i="3" l="1"/>
  <c r="Y19" i="3"/>
  <c r="M30" i="3"/>
  <c r="AI30" i="3"/>
  <c r="X18" i="3"/>
  <c r="AG18" i="3"/>
  <c r="I19" i="3"/>
  <c r="T20" i="3"/>
  <c r="AH20" i="3" s="1"/>
  <c r="H21" i="3"/>
  <c r="K21" i="3" s="1"/>
  <c r="AB18" i="3"/>
  <c r="G18" i="3"/>
  <c r="V38" i="3"/>
  <c r="L39" i="3"/>
  <c r="Z30" i="3"/>
  <c r="J32" i="3"/>
  <c r="U31" i="3"/>
  <c r="AS18" i="3"/>
  <c r="AT18" i="3"/>
  <c r="AV18" i="3" s="1"/>
  <c r="F20" i="3"/>
  <c r="I20" i="3" s="1"/>
  <c r="S19" i="3"/>
  <c r="M31" i="3" l="1"/>
  <c r="AI31" i="3"/>
  <c r="AA38" i="3"/>
  <c r="X19" i="3"/>
  <c r="AB19" i="3" s="1"/>
  <c r="AG19" i="3"/>
  <c r="Y20" i="3"/>
  <c r="T21" i="3"/>
  <c r="AH21" i="3" s="1"/>
  <c r="H22" i="3"/>
  <c r="K22" i="3" s="1"/>
  <c r="V39" i="3"/>
  <c r="L40" i="3"/>
  <c r="G19" i="3"/>
  <c r="Z31" i="3"/>
  <c r="J33" i="3"/>
  <c r="U32" i="3"/>
  <c r="AS19" i="3"/>
  <c r="AT19" i="3"/>
  <c r="AV19" i="3" s="1"/>
  <c r="F21" i="3"/>
  <c r="S20" i="3"/>
  <c r="H23" i="3" l="1"/>
  <c r="K23" i="3" s="1"/>
  <c r="T22" i="3"/>
  <c r="AH22" i="3" s="1"/>
  <c r="AA39" i="3"/>
  <c r="M32" i="3"/>
  <c r="AI32" i="3"/>
  <c r="I21" i="3"/>
  <c r="Y21" i="3"/>
  <c r="X20" i="3"/>
  <c r="AB20" i="3" s="1"/>
  <c r="AG20" i="3"/>
  <c r="G20" i="3"/>
  <c r="V40" i="3"/>
  <c r="L41" i="3"/>
  <c r="Z32" i="3"/>
  <c r="Y22" i="3"/>
  <c r="J34" i="3"/>
  <c r="U33" i="3"/>
  <c r="AS20" i="3"/>
  <c r="AT20" i="3"/>
  <c r="AV20" i="3" s="1"/>
  <c r="H24" i="3"/>
  <c r="K24" i="3" s="1"/>
  <c r="T23" i="3"/>
  <c r="F22" i="3"/>
  <c r="I22" i="3" s="1"/>
  <c r="S21" i="3"/>
  <c r="M33" i="3" l="1"/>
  <c r="AA40" i="3"/>
  <c r="X21" i="3"/>
  <c r="AB21" i="3" s="1"/>
  <c r="AG21" i="3"/>
  <c r="G21" i="3"/>
  <c r="V41" i="3"/>
  <c r="L42" i="3"/>
  <c r="AI33" i="3"/>
  <c r="Z33" i="3"/>
  <c r="AH23" i="3"/>
  <c r="Y23" i="3"/>
  <c r="J35" i="3"/>
  <c r="U34" i="3"/>
  <c r="AS21" i="3"/>
  <c r="AT21" i="3"/>
  <c r="AV21" i="3" s="1"/>
  <c r="F23" i="3"/>
  <c r="I23" i="3" s="1"/>
  <c r="S22" i="3"/>
  <c r="H25" i="3"/>
  <c r="K25" i="3" s="1"/>
  <c r="T24" i="3"/>
  <c r="AA41" i="3" l="1"/>
  <c r="M34" i="3"/>
  <c r="X22" i="3"/>
  <c r="AB22" i="3" s="1"/>
  <c r="AG22" i="3"/>
  <c r="G22" i="3"/>
  <c r="V42" i="3"/>
  <c r="L43" i="3"/>
  <c r="AI34" i="3"/>
  <c r="Z34" i="3"/>
  <c r="AH24" i="3"/>
  <c r="Y24" i="3"/>
  <c r="J36" i="3"/>
  <c r="U35" i="3"/>
  <c r="AS22" i="3"/>
  <c r="AT22" i="3"/>
  <c r="AV22" i="3" s="1"/>
  <c r="H26" i="3"/>
  <c r="K26" i="3" s="1"/>
  <c r="T25" i="3"/>
  <c r="F24" i="3"/>
  <c r="I24" i="3" s="1"/>
  <c r="S23" i="3"/>
  <c r="AA42" i="3" l="1"/>
  <c r="M35" i="3"/>
  <c r="X23" i="3"/>
  <c r="AB23" i="3" s="1"/>
  <c r="AG23" i="3"/>
  <c r="G23" i="3"/>
  <c r="V43" i="3"/>
  <c r="L44" i="3"/>
  <c r="AI35" i="3"/>
  <c r="Z35" i="3"/>
  <c r="AH25" i="3"/>
  <c r="Y25" i="3"/>
  <c r="J37" i="3"/>
  <c r="U36" i="3"/>
  <c r="AS23" i="3"/>
  <c r="AT23" i="3"/>
  <c r="AV23" i="3" s="1"/>
  <c r="F25" i="3"/>
  <c r="I25" i="3" s="1"/>
  <c r="S24" i="3"/>
  <c r="H27" i="3"/>
  <c r="K27" i="3" s="1"/>
  <c r="T26" i="3"/>
  <c r="AA43" i="3" l="1"/>
  <c r="M36" i="3"/>
  <c r="X24" i="3"/>
  <c r="AG24" i="3"/>
  <c r="G24" i="3"/>
  <c r="V44" i="3"/>
  <c r="L45" i="3"/>
  <c r="AI36" i="3"/>
  <c r="Z36" i="3"/>
  <c r="AH26" i="3"/>
  <c r="Y26" i="3"/>
  <c r="J38" i="3"/>
  <c r="U37" i="3"/>
  <c r="AS24" i="3"/>
  <c r="AT24" i="3"/>
  <c r="AV24" i="3" s="1"/>
  <c r="H28" i="3"/>
  <c r="K28" i="3" s="1"/>
  <c r="T27" i="3"/>
  <c r="F26" i="3"/>
  <c r="I26" i="3" s="1"/>
  <c r="S25" i="3"/>
  <c r="AA44" i="3" l="1"/>
  <c r="M37" i="3"/>
  <c r="AI37" i="3"/>
  <c r="X25" i="3"/>
  <c r="AB25" i="3" s="1"/>
  <c r="AG25" i="3"/>
  <c r="AB24" i="3"/>
  <c r="V45" i="3"/>
  <c r="L46" i="3"/>
  <c r="G25" i="3"/>
  <c r="Y27" i="3"/>
  <c r="Z37" i="3"/>
  <c r="AH27" i="3"/>
  <c r="J39" i="3"/>
  <c r="U38" i="3"/>
  <c r="AT25" i="3"/>
  <c r="AV25" i="3" s="1"/>
  <c r="AS25" i="3"/>
  <c r="F27" i="3"/>
  <c r="I27" i="3" s="1"/>
  <c r="S26" i="3"/>
  <c r="H29" i="3"/>
  <c r="K29" i="3" s="1"/>
  <c r="T28" i="3"/>
  <c r="AA45" i="3" l="1"/>
  <c r="M38" i="3"/>
  <c r="AI38" i="3"/>
  <c r="X26" i="3"/>
  <c r="AG26" i="3"/>
  <c r="V46" i="3"/>
  <c r="L47" i="3"/>
  <c r="G26" i="3"/>
  <c r="Z38" i="3"/>
  <c r="AH28" i="3"/>
  <c r="Y28" i="3"/>
  <c r="J40" i="3"/>
  <c r="U39" i="3"/>
  <c r="AT26" i="3"/>
  <c r="AV26" i="3" s="1"/>
  <c r="AS26" i="3"/>
  <c r="H30" i="3"/>
  <c r="K30" i="3" s="1"/>
  <c r="T29" i="3"/>
  <c r="F28" i="3"/>
  <c r="I28" i="3" s="1"/>
  <c r="S27" i="3"/>
  <c r="AA46" i="3" l="1"/>
  <c r="AB26" i="3"/>
  <c r="M39" i="3"/>
  <c r="AI39" i="3"/>
  <c r="X27" i="3"/>
  <c r="AB27" i="3" s="1"/>
  <c r="AG27" i="3"/>
  <c r="V47" i="3"/>
  <c r="L48" i="3"/>
  <c r="G27" i="3"/>
  <c r="Z39" i="3"/>
  <c r="AH29" i="3"/>
  <c r="Y29" i="3"/>
  <c r="J41" i="3"/>
  <c r="U40" i="3"/>
  <c r="AT27" i="3"/>
  <c r="AV27" i="3" s="1"/>
  <c r="AS27" i="3"/>
  <c r="F29" i="3"/>
  <c r="I29" i="3" s="1"/>
  <c r="S28" i="3"/>
  <c r="H31" i="3"/>
  <c r="K31" i="3" s="1"/>
  <c r="T30" i="3"/>
  <c r="M40" i="3" l="1"/>
  <c r="AI40" i="3"/>
  <c r="AA47" i="3"/>
  <c r="X28" i="3"/>
  <c r="AB28" i="3" s="1"/>
  <c r="AG28" i="3"/>
  <c r="V48" i="3"/>
  <c r="L49" i="3"/>
  <c r="G28" i="3"/>
  <c r="AH30" i="3"/>
  <c r="Y30" i="3"/>
  <c r="Z40" i="3"/>
  <c r="J42" i="3"/>
  <c r="U41" i="3"/>
  <c r="AT28" i="3"/>
  <c r="AV28" i="3" s="1"/>
  <c r="AS28" i="3"/>
  <c r="H32" i="3"/>
  <c r="K32" i="3" s="1"/>
  <c r="T31" i="3"/>
  <c r="F30" i="3"/>
  <c r="I30" i="3" s="1"/>
  <c r="S29" i="3"/>
  <c r="AA48" i="3" l="1"/>
  <c r="M41" i="3"/>
  <c r="AI41" i="3"/>
  <c r="X29" i="3"/>
  <c r="AG29" i="3"/>
  <c r="G29" i="3"/>
  <c r="V49" i="3"/>
  <c r="L50" i="3"/>
  <c r="AH31" i="3"/>
  <c r="Y31" i="3"/>
  <c r="Z41" i="3"/>
  <c r="J43" i="3"/>
  <c r="U42" i="3"/>
  <c r="AS29" i="3"/>
  <c r="AT29" i="3"/>
  <c r="AV29" i="3" s="1"/>
  <c r="F31" i="3"/>
  <c r="I31" i="3" s="1"/>
  <c r="S30" i="3"/>
  <c r="H33" i="3"/>
  <c r="K33" i="3" s="1"/>
  <c r="T32" i="3"/>
  <c r="X30" i="3" l="1"/>
  <c r="AB30" i="3" s="1"/>
  <c r="AG30" i="3"/>
  <c r="AA49" i="3"/>
  <c r="AB29" i="3"/>
  <c r="M42" i="3"/>
  <c r="AI42" i="3"/>
  <c r="V50" i="3"/>
  <c r="L51" i="3"/>
  <c r="G30" i="3"/>
  <c r="AH32" i="3"/>
  <c r="Y32" i="3"/>
  <c r="Z42" i="3"/>
  <c r="J44" i="3"/>
  <c r="U43" i="3"/>
  <c r="AT30" i="3"/>
  <c r="AV30" i="3" s="1"/>
  <c r="AS30" i="3"/>
  <c r="H34" i="3"/>
  <c r="K34" i="3" s="1"/>
  <c r="T33" i="3"/>
  <c r="F32" i="3"/>
  <c r="I32" i="3" s="1"/>
  <c r="S31" i="3"/>
  <c r="AA50" i="3" l="1"/>
  <c r="M43" i="3"/>
  <c r="AI43" i="3"/>
  <c r="X31" i="3"/>
  <c r="AG31" i="3"/>
  <c r="V51" i="3"/>
  <c r="L52" i="3"/>
  <c r="G31" i="3"/>
  <c r="AH33" i="3"/>
  <c r="Y33" i="3"/>
  <c r="Z43" i="3"/>
  <c r="J45" i="3"/>
  <c r="U44" i="3"/>
  <c r="AT31" i="3"/>
  <c r="AV31" i="3" s="1"/>
  <c r="AS31" i="3"/>
  <c r="F33" i="3"/>
  <c r="I33" i="3" s="1"/>
  <c r="S32" i="3"/>
  <c r="H35" i="3"/>
  <c r="K35" i="3" s="1"/>
  <c r="T34" i="3"/>
  <c r="X32" i="3" l="1"/>
  <c r="AB32" i="3" s="1"/>
  <c r="AA51" i="3"/>
  <c r="AB31" i="3"/>
  <c r="M44" i="3"/>
  <c r="AI44" i="3"/>
  <c r="V52" i="3"/>
  <c r="L53" i="3"/>
  <c r="G32" i="3"/>
  <c r="AH34" i="3"/>
  <c r="Y34" i="3"/>
  <c r="Z44" i="3"/>
  <c r="J46" i="3"/>
  <c r="U45" i="3"/>
  <c r="AG32" i="3"/>
  <c r="AS32" i="3"/>
  <c r="AT32" i="3"/>
  <c r="AV32" i="3" s="1"/>
  <c r="H36" i="3"/>
  <c r="K36" i="3" s="1"/>
  <c r="T35" i="3"/>
  <c r="F34" i="3"/>
  <c r="I34" i="3" s="1"/>
  <c r="S33" i="3"/>
  <c r="AA52" i="3" l="1"/>
  <c r="M45" i="3"/>
  <c r="X33" i="3"/>
  <c r="AG33" i="3"/>
  <c r="V53" i="3"/>
  <c r="L54" i="3"/>
  <c r="G33" i="3"/>
  <c r="AI45" i="3"/>
  <c r="Z45" i="3"/>
  <c r="AH35" i="3"/>
  <c r="Y35" i="3"/>
  <c r="J47" i="3"/>
  <c r="U46" i="3"/>
  <c r="AT33" i="3"/>
  <c r="AV33" i="3" s="1"/>
  <c r="AS33" i="3"/>
  <c r="F35" i="3"/>
  <c r="I35" i="3" s="1"/>
  <c r="S34" i="3"/>
  <c r="H37" i="3"/>
  <c r="K37" i="3" s="1"/>
  <c r="T36" i="3"/>
  <c r="X34" i="3" l="1"/>
  <c r="AB34" i="3" s="1"/>
  <c r="AA53" i="3"/>
  <c r="AB33" i="3"/>
  <c r="M46" i="3"/>
  <c r="AI46" i="3"/>
  <c r="V54" i="3"/>
  <c r="L55" i="3"/>
  <c r="G34" i="3"/>
  <c r="Z46" i="3"/>
  <c r="AH36" i="3"/>
  <c r="Y36" i="3"/>
  <c r="J48" i="3"/>
  <c r="U47" i="3"/>
  <c r="AG34" i="3"/>
  <c r="AT34" i="3"/>
  <c r="AV34" i="3" s="1"/>
  <c r="AS34" i="3"/>
  <c r="H38" i="3"/>
  <c r="K38" i="3" s="1"/>
  <c r="T37" i="3"/>
  <c r="F36" i="3"/>
  <c r="I36" i="3" s="1"/>
  <c r="S35" i="3"/>
  <c r="AA54" i="3" l="1"/>
  <c r="M47" i="3"/>
  <c r="AI47" i="3"/>
  <c r="X35" i="3"/>
  <c r="AB35" i="3" s="1"/>
  <c r="AG35" i="3"/>
  <c r="V55" i="3"/>
  <c r="L56" i="3"/>
  <c r="G35" i="3"/>
  <c r="AH37" i="3"/>
  <c r="Y37" i="3"/>
  <c r="Z47" i="3"/>
  <c r="J49" i="3"/>
  <c r="U48" i="3"/>
  <c r="AS35" i="3"/>
  <c r="AT35" i="3"/>
  <c r="AV35" i="3" s="1"/>
  <c r="F37" i="3"/>
  <c r="I37" i="3" s="1"/>
  <c r="S36" i="3"/>
  <c r="H39" i="3"/>
  <c r="K39" i="3" s="1"/>
  <c r="T38" i="3"/>
  <c r="AA55" i="3" l="1"/>
  <c r="X36" i="3"/>
  <c r="AB36" i="3" s="1"/>
  <c r="AG36" i="3"/>
  <c r="M48" i="3"/>
  <c r="AI48" i="3"/>
  <c r="G36" i="3"/>
  <c r="V56" i="3"/>
  <c r="L57" i="3"/>
  <c r="AH38" i="3"/>
  <c r="Y38" i="3"/>
  <c r="Z48" i="3"/>
  <c r="J50" i="3"/>
  <c r="U49" i="3"/>
  <c r="AS36" i="3"/>
  <c r="AT36" i="3"/>
  <c r="AV36" i="3" s="1"/>
  <c r="H40" i="3"/>
  <c r="K40" i="3" s="1"/>
  <c r="T39" i="3"/>
  <c r="F38" i="3"/>
  <c r="I38" i="3" s="1"/>
  <c r="S37" i="3"/>
  <c r="X37" i="3" l="1"/>
  <c r="AB37" i="3" s="1"/>
  <c r="AA56" i="3"/>
  <c r="M49" i="3"/>
  <c r="G37" i="3"/>
  <c r="V57" i="3"/>
  <c r="L58" i="3"/>
  <c r="AI49" i="3"/>
  <c r="Z49" i="3"/>
  <c r="AH39" i="3"/>
  <c r="Y39" i="3"/>
  <c r="J51" i="3"/>
  <c r="U50" i="3"/>
  <c r="AG37" i="3"/>
  <c r="AT37" i="3"/>
  <c r="AV37" i="3" s="1"/>
  <c r="AS37" i="3"/>
  <c r="F39" i="3"/>
  <c r="I39" i="3" s="1"/>
  <c r="S38" i="3"/>
  <c r="H41" i="3"/>
  <c r="K41" i="3" s="1"/>
  <c r="T40" i="3"/>
  <c r="X38" i="3" l="1"/>
  <c r="AB38" i="3" s="1"/>
  <c r="AA57" i="3"/>
  <c r="M50" i="3"/>
  <c r="AI50" i="3"/>
  <c r="V58" i="3"/>
  <c r="L59" i="3"/>
  <c r="G38" i="3"/>
  <c r="AH40" i="3"/>
  <c r="Y40" i="3"/>
  <c r="Z50" i="3"/>
  <c r="J52" i="3"/>
  <c r="U51" i="3"/>
  <c r="AG38" i="3"/>
  <c r="AT38" i="3"/>
  <c r="AV38" i="3" s="1"/>
  <c r="AS38" i="3"/>
  <c r="H42" i="3"/>
  <c r="K42" i="3" s="1"/>
  <c r="T41" i="3"/>
  <c r="F40" i="3"/>
  <c r="I40" i="3" s="1"/>
  <c r="S39" i="3"/>
  <c r="X39" i="3" l="1"/>
  <c r="AB39" i="3" s="1"/>
  <c r="AG39" i="3"/>
  <c r="AA58" i="3"/>
  <c r="M51" i="3"/>
  <c r="AI51" i="3"/>
  <c r="V59" i="3"/>
  <c r="L60" i="3"/>
  <c r="G39" i="3"/>
  <c r="AH41" i="3"/>
  <c r="Y41" i="3"/>
  <c r="Z51" i="3"/>
  <c r="J53" i="3"/>
  <c r="U52" i="3"/>
  <c r="AT39" i="3"/>
  <c r="AV39" i="3" s="1"/>
  <c r="AS39" i="3"/>
  <c r="F41" i="3"/>
  <c r="I41" i="3" s="1"/>
  <c r="S40" i="3"/>
  <c r="H43" i="3"/>
  <c r="K43" i="3" s="1"/>
  <c r="T42" i="3"/>
  <c r="AA59" i="3" l="1"/>
  <c r="X40" i="3"/>
  <c r="AB40" i="3" s="1"/>
  <c r="AG40" i="3"/>
  <c r="M52" i="3"/>
  <c r="AI52" i="3"/>
  <c r="G40" i="3"/>
  <c r="V60" i="3"/>
  <c r="L61" i="3"/>
  <c r="Z52" i="3"/>
  <c r="AH42" i="3"/>
  <c r="Y42" i="3"/>
  <c r="J54" i="3"/>
  <c r="U53" i="3"/>
  <c r="AS40" i="3"/>
  <c r="AT40" i="3"/>
  <c r="AV40" i="3" s="1"/>
  <c r="H44" i="3"/>
  <c r="K44" i="3" s="1"/>
  <c r="T43" i="3"/>
  <c r="F42" i="3"/>
  <c r="I42" i="3" s="1"/>
  <c r="S41" i="3"/>
  <c r="AA60" i="3" l="1"/>
  <c r="X41" i="3"/>
  <c r="AB41" i="3" s="1"/>
  <c r="AG41" i="3"/>
  <c r="M53" i="3"/>
  <c r="AI53" i="3"/>
  <c r="G41" i="3"/>
  <c r="V61" i="3"/>
  <c r="L62" i="3"/>
  <c r="AH43" i="3"/>
  <c r="Y43" i="3"/>
  <c r="Z53" i="3"/>
  <c r="J55" i="3"/>
  <c r="U54" i="3"/>
  <c r="AS41" i="3"/>
  <c r="AT41" i="3"/>
  <c r="AV41" i="3" s="1"/>
  <c r="F43" i="3"/>
  <c r="I43" i="3" s="1"/>
  <c r="S42" i="3"/>
  <c r="H45" i="3"/>
  <c r="K45" i="3" s="1"/>
  <c r="T44" i="3"/>
  <c r="X42" i="3" l="1"/>
  <c r="AB42" i="3" s="1"/>
  <c r="M54" i="3"/>
  <c r="AA61" i="3"/>
  <c r="V62" i="3"/>
  <c r="L63" i="3"/>
  <c r="G42" i="3"/>
  <c r="Y44" i="3"/>
  <c r="AI54" i="3"/>
  <c r="Z54" i="3"/>
  <c r="AH44" i="3"/>
  <c r="J56" i="3"/>
  <c r="U55" i="3"/>
  <c r="AG42" i="3"/>
  <c r="AT42" i="3"/>
  <c r="AV42" i="3" s="1"/>
  <c r="AS42" i="3"/>
  <c r="H46" i="3"/>
  <c r="K46" i="3" s="1"/>
  <c r="T45" i="3"/>
  <c r="F44" i="3"/>
  <c r="I44" i="3" s="1"/>
  <c r="S43" i="3"/>
  <c r="AA62" i="3" l="1"/>
  <c r="M55" i="3"/>
  <c r="X43" i="3"/>
  <c r="AB43" i="3" s="1"/>
  <c r="AG43" i="3"/>
  <c r="V63" i="3"/>
  <c r="L64" i="3"/>
  <c r="G43" i="3"/>
  <c r="AI55" i="3"/>
  <c r="Z55" i="3"/>
  <c r="AH45" i="3"/>
  <c r="Y45" i="3"/>
  <c r="J57" i="3"/>
  <c r="U56" i="3"/>
  <c r="AT43" i="3"/>
  <c r="AV43" i="3" s="1"/>
  <c r="AS43" i="3"/>
  <c r="F45" i="3"/>
  <c r="I45" i="3" s="1"/>
  <c r="S44" i="3"/>
  <c r="H47" i="3"/>
  <c r="K47" i="3" s="1"/>
  <c r="T46" i="3"/>
  <c r="M56" i="3" l="1"/>
  <c r="X44" i="3"/>
  <c r="AB44" i="3" s="1"/>
  <c r="AG44" i="3"/>
  <c r="AA63" i="3"/>
  <c r="V64" i="3"/>
  <c r="AA64" i="3" s="1"/>
  <c r="L65" i="3"/>
  <c r="G44" i="3"/>
  <c r="AI56" i="3"/>
  <c r="Z56" i="3"/>
  <c r="AH46" i="3"/>
  <c r="Y46" i="3"/>
  <c r="J58" i="3"/>
  <c r="U57" i="3"/>
  <c r="AS44" i="3"/>
  <c r="AT44" i="3"/>
  <c r="AV44" i="3" s="1"/>
  <c r="H48" i="3"/>
  <c r="K48" i="3" s="1"/>
  <c r="T47" i="3"/>
  <c r="F46" i="3"/>
  <c r="I46" i="3" s="1"/>
  <c r="S45" i="3"/>
  <c r="X45" i="3" l="1"/>
  <c r="AB45" i="3" s="1"/>
  <c r="AG45" i="3"/>
  <c r="M57" i="3"/>
  <c r="V65" i="3"/>
  <c r="AA65" i="3" s="1"/>
  <c r="L66" i="3"/>
  <c r="G45" i="3"/>
  <c r="AI57" i="3"/>
  <c r="Z57" i="3"/>
  <c r="AH47" i="3"/>
  <c r="Y47" i="3"/>
  <c r="J59" i="3"/>
  <c r="U58" i="3"/>
  <c r="AT45" i="3"/>
  <c r="AV45" i="3" s="1"/>
  <c r="AS45" i="3"/>
  <c r="F47" i="3"/>
  <c r="I47" i="3" s="1"/>
  <c r="S46" i="3"/>
  <c r="H49" i="3"/>
  <c r="K49" i="3" s="1"/>
  <c r="T48" i="3"/>
  <c r="X46" i="3" l="1"/>
  <c r="AB46" i="3" s="1"/>
  <c r="AG46" i="3"/>
  <c r="M58" i="3"/>
  <c r="V66" i="3"/>
  <c r="AA66" i="3" s="1"/>
  <c r="L67" i="3"/>
  <c r="G46" i="3"/>
  <c r="AH48" i="3"/>
  <c r="Y48" i="3"/>
  <c r="AI58" i="3"/>
  <c r="Z58" i="3"/>
  <c r="J60" i="3"/>
  <c r="U59" i="3"/>
  <c r="AT46" i="3"/>
  <c r="AV46" i="3" s="1"/>
  <c r="AS46" i="3"/>
  <c r="H50" i="3"/>
  <c r="K50" i="3" s="1"/>
  <c r="T49" i="3"/>
  <c r="F48" i="3"/>
  <c r="I48" i="3" s="1"/>
  <c r="S47" i="3"/>
  <c r="X47" i="3" l="1"/>
  <c r="AB47" i="3" s="1"/>
  <c r="AG47" i="3"/>
  <c r="M59" i="3"/>
  <c r="G47" i="3"/>
  <c r="V67" i="3"/>
  <c r="L68" i="3"/>
  <c r="AI59" i="3"/>
  <c r="Z59" i="3"/>
  <c r="AH49" i="3"/>
  <c r="Y49" i="3"/>
  <c r="J61" i="3"/>
  <c r="U60" i="3"/>
  <c r="AT47" i="3"/>
  <c r="AV47" i="3" s="1"/>
  <c r="AS47" i="3"/>
  <c r="F49" i="3"/>
  <c r="I49" i="3" s="1"/>
  <c r="S48" i="3"/>
  <c r="H51" i="3"/>
  <c r="K51" i="3" s="1"/>
  <c r="T50" i="3"/>
  <c r="AA67" i="3" l="1"/>
  <c r="X48" i="3"/>
  <c r="AB48" i="3" s="1"/>
  <c r="AG48" i="3"/>
  <c r="M60" i="3"/>
  <c r="AI60" i="3"/>
  <c r="G48" i="3"/>
  <c r="V68" i="3"/>
  <c r="L69" i="3"/>
  <c r="AH50" i="3"/>
  <c r="Y50" i="3"/>
  <c r="Z60" i="3"/>
  <c r="J62" i="3"/>
  <c r="U61" i="3"/>
  <c r="AS48" i="3"/>
  <c r="AT48" i="3"/>
  <c r="AV48" i="3" s="1"/>
  <c r="H52" i="3"/>
  <c r="K52" i="3" s="1"/>
  <c r="T51" i="3"/>
  <c r="F50" i="3"/>
  <c r="I50" i="3" s="1"/>
  <c r="S49" i="3"/>
  <c r="X49" i="3" l="1"/>
  <c r="AB49" i="3" s="1"/>
  <c r="AG49" i="3"/>
  <c r="AA68" i="3"/>
  <c r="M61" i="3"/>
  <c r="AI61" i="3"/>
  <c r="V69" i="3"/>
  <c r="L70" i="3"/>
  <c r="G49" i="3"/>
  <c r="AH51" i="3"/>
  <c r="Y51" i="3"/>
  <c r="Z61" i="3"/>
  <c r="J63" i="3"/>
  <c r="U62" i="3"/>
  <c r="AT49" i="3"/>
  <c r="AV49" i="3" s="1"/>
  <c r="AS49" i="3"/>
  <c r="F51" i="3"/>
  <c r="I51" i="3" s="1"/>
  <c r="S50" i="3"/>
  <c r="H53" i="3"/>
  <c r="K53" i="3" s="1"/>
  <c r="T52" i="3"/>
  <c r="X50" i="3" l="1"/>
  <c r="AB50" i="3" s="1"/>
  <c r="AG50" i="3"/>
  <c r="AA69" i="3"/>
  <c r="M62" i="3"/>
  <c r="AI62" i="3"/>
  <c r="V70" i="3"/>
  <c r="L71" i="3"/>
  <c r="G50" i="3"/>
  <c r="AH52" i="3"/>
  <c r="Y52" i="3"/>
  <c r="Z62" i="3"/>
  <c r="J64" i="3"/>
  <c r="U63" i="3"/>
  <c r="AT50" i="3"/>
  <c r="AV50" i="3" s="1"/>
  <c r="AS50" i="3"/>
  <c r="H54" i="3"/>
  <c r="K54" i="3" s="1"/>
  <c r="T53" i="3"/>
  <c r="F52" i="3"/>
  <c r="I52" i="3" s="1"/>
  <c r="S51" i="3"/>
  <c r="X51" i="3" l="1"/>
  <c r="AB51" i="3" s="1"/>
  <c r="AG51" i="3"/>
  <c r="AA70" i="3"/>
  <c r="M63" i="3"/>
  <c r="AI63" i="3"/>
  <c r="V71" i="3"/>
  <c r="L72" i="3"/>
  <c r="G51" i="3"/>
  <c r="AH53" i="3"/>
  <c r="Y53" i="3"/>
  <c r="Z63" i="3"/>
  <c r="J65" i="3"/>
  <c r="U64" i="3"/>
  <c r="AT51" i="3"/>
  <c r="AV51" i="3" s="1"/>
  <c r="AS51" i="3"/>
  <c r="F53" i="3"/>
  <c r="I53" i="3" s="1"/>
  <c r="S52" i="3"/>
  <c r="H55" i="3"/>
  <c r="K55" i="3" s="1"/>
  <c r="T54" i="3"/>
  <c r="AA71" i="3" l="1"/>
  <c r="X52" i="3"/>
  <c r="AB52" i="3" s="1"/>
  <c r="AG52" i="3"/>
  <c r="Z64" i="3"/>
  <c r="M64" i="3"/>
  <c r="G52" i="3"/>
  <c r="V72" i="3"/>
  <c r="L73" i="3"/>
  <c r="AH54" i="3"/>
  <c r="Y54" i="3"/>
  <c r="J66" i="3"/>
  <c r="U65" i="3"/>
  <c r="AS52" i="3"/>
  <c r="AT52" i="3"/>
  <c r="AV52" i="3" s="1"/>
  <c r="H56" i="3"/>
  <c r="K56" i="3" s="1"/>
  <c r="T55" i="3"/>
  <c r="F54" i="3"/>
  <c r="I54" i="3" s="1"/>
  <c r="S53" i="3"/>
  <c r="X53" i="3" l="1"/>
  <c r="AB53" i="3" s="1"/>
  <c r="AG53" i="3"/>
  <c r="AA72" i="3"/>
  <c r="V73" i="3"/>
  <c r="L74" i="3"/>
  <c r="Z65" i="3"/>
  <c r="M65" i="3"/>
  <c r="G53" i="3"/>
  <c r="AH55" i="3"/>
  <c r="Y55" i="3"/>
  <c r="J67" i="3"/>
  <c r="U66" i="3"/>
  <c r="AS53" i="3"/>
  <c r="AT53" i="3"/>
  <c r="AV53" i="3" s="1"/>
  <c r="F55" i="3"/>
  <c r="I55" i="3" s="1"/>
  <c r="S54" i="3"/>
  <c r="H57" i="3"/>
  <c r="K57" i="3" s="1"/>
  <c r="T56" i="3"/>
  <c r="X54" i="3" l="1"/>
  <c r="AB54" i="3" s="1"/>
  <c r="AG54" i="3"/>
  <c r="AA73" i="3"/>
  <c r="G54" i="3"/>
  <c r="V74" i="3"/>
  <c r="L75" i="3"/>
  <c r="Z66" i="3"/>
  <c r="M66" i="3"/>
  <c r="AH56" i="3"/>
  <c r="Y56" i="3"/>
  <c r="J68" i="3"/>
  <c r="U67" i="3"/>
  <c r="AT54" i="3"/>
  <c r="AV54" i="3" s="1"/>
  <c r="AS54" i="3"/>
  <c r="H58" i="3"/>
  <c r="K58" i="3" s="1"/>
  <c r="T57" i="3"/>
  <c r="F56" i="3"/>
  <c r="I56" i="3" s="1"/>
  <c r="S55" i="3"/>
  <c r="X55" i="3" l="1"/>
  <c r="AB55" i="3" s="1"/>
  <c r="AA74" i="3"/>
  <c r="M67" i="3"/>
  <c r="V75" i="3"/>
  <c r="L76" i="3"/>
  <c r="G55" i="3"/>
  <c r="AI67" i="3"/>
  <c r="Z67" i="3"/>
  <c r="AH57" i="3"/>
  <c r="Y57" i="3"/>
  <c r="J69" i="3"/>
  <c r="U68" i="3"/>
  <c r="AG55" i="3"/>
  <c r="AT55" i="3"/>
  <c r="AV55" i="3" s="1"/>
  <c r="AS55" i="3"/>
  <c r="F57" i="3"/>
  <c r="I57" i="3" s="1"/>
  <c r="S56" i="3"/>
  <c r="H59" i="3"/>
  <c r="K59" i="3" s="1"/>
  <c r="T58" i="3"/>
  <c r="AA75" i="3" l="1"/>
  <c r="M68" i="3"/>
  <c r="X56" i="3"/>
  <c r="AB56" i="3" s="1"/>
  <c r="AG56" i="3"/>
  <c r="G56" i="3"/>
  <c r="V76" i="3"/>
  <c r="L77" i="3"/>
  <c r="AI68" i="3"/>
  <c r="Z68" i="3"/>
  <c r="AH58" i="3"/>
  <c r="Y58" i="3"/>
  <c r="J70" i="3"/>
  <c r="U69" i="3"/>
  <c r="AS56" i="3"/>
  <c r="AT56" i="3"/>
  <c r="AV56" i="3" s="1"/>
  <c r="H60" i="3"/>
  <c r="K60" i="3" s="1"/>
  <c r="T59" i="3"/>
  <c r="F58" i="3"/>
  <c r="I58" i="3" s="1"/>
  <c r="S57" i="3"/>
  <c r="X57" i="3" l="1"/>
  <c r="AB57" i="3" s="1"/>
  <c r="AG57" i="3"/>
  <c r="AA76" i="3"/>
  <c r="M69" i="3"/>
  <c r="AI69" i="3"/>
  <c r="G57" i="3"/>
  <c r="V77" i="3"/>
  <c r="L78" i="3"/>
  <c r="Z69" i="3"/>
  <c r="AH59" i="3"/>
  <c r="Y59" i="3"/>
  <c r="J71" i="3"/>
  <c r="U70" i="3"/>
  <c r="AT57" i="3"/>
  <c r="AV57" i="3" s="1"/>
  <c r="AS57" i="3"/>
  <c r="F59" i="3"/>
  <c r="I59" i="3" s="1"/>
  <c r="S58" i="3"/>
  <c r="H61" i="3"/>
  <c r="K61" i="3" s="1"/>
  <c r="T60" i="3"/>
  <c r="AA77" i="3" l="1"/>
  <c r="M70" i="3"/>
  <c r="X58" i="3"/>
  <c r="AB58" i="3" s="1"/>
  <c r="AG58" i="3"/>
  <c r="G58" i="3"/>
  <c r="V78" i="3"/>
  <c r="L79" i="3"/>
  <c r="AI70" i="3"/>
  <c r="Z70" i="3"/>
  <c r="AH60" i="3"/>
  <c r="Y60" i="3"/>
  <c r="J72" i="3"/>
  <c r="U71" i="3"/>
  <c r="AS58" i="3"/>
  <c r="AT58" i="3"/>
  <c r="AV58" i="3" s="1"/>
  <c r="H62" i="3"/>
  <c r="K62" i="3" s="1"/>
  <c r="T61" i="3"/>
  <c r="F60" i="3"/>
  <c r="I60" i="3" s="1"/>
  <c r="S59" i="3"/>
  <c r="AA78" i="3" l="1"/>
  <c r="X59" i="3"/>
  <c r="AB59" i="3" s="1"/>
  <c r="AG59" i="3"/>
  <c r="M71" i="3"/>
  <c r="AI71" i="3"/>
  <c r="G59" i="3"/>
  <c r="V79" i="3"/>
  <c r="L80" i="3"/>
  <c r="AH61" i="3"/>
  <c r="Y61" i="3"/>
  <c r="Z71" i="3"/>
  <c r="J73" i="3"/>
  <c r="U72" i="3"/>
  <c r="AT59" i="3"/>
  <c r="AV59" i="3" s="1"/>
  <c r="AS59" i="3"/>
  <c r="F61" i="3"/>
  <c r="I61" i="3" s="1"/>
  <c r="S60" i="3"/>
  <c r="H63" i="3"/>
  <c r="K63" i="3" s="1"/>
  <c r="T62" i="3"/>
  <c r="X60" i="3" l="1"/>
  <c r="AB60" i="3" s="1"/>
  <c r="AG60" i="3"/>
  <c r="AA79" i="3"/>
  <c r="M72" i="3"/>
  <c r="AI72" i="3"/>
  <c r="G60" i="3"/>
  <c r="V80" i="3"/>
  <c r="L81" i="3"/>
  <c r="AH62" i="3"/>
  <c r="Y62" i="3"/>
  <c r="Z72" i="3"/>
  <c r="J74" i="3"/>
  <c r="U73" i="3"/>
  <c r="AS60" i="3"/>
  <c r="AT60" i="3"/>
  <c r="AV60" i="3" s="1"/>
  <c r="T63" i="3"/>
  <c r="H64" i="3"/>
  <c r="K64" i="3" s="1"/>
  <c r="F62" i="3"/>
  <c r="I62" i="3" s="1"/>
  <c r="S61" i="3"/>
  <c r="M73" i="3" l="1"/>
  <c r="AI73" i="3"/>
  <c r="X61" i="3"/>
  <c r="AB61" i="3" s="1"/>
  <c r="AG61" i="3"/>
  <c r="AA80" i="3"/>
  <c r="V81" i="3"/>
  <c r="L82" i="3"/>
  <c r="G61" i="3"/>
  <c r="AH63" i="3"/>
  <c r="Y63" i="3"/>
  <c r="Z73" i="3"/>
  <c r="J75" i="3"/>
  <c r="U74" i="3"/>
  <c r="AT61" i="3"/>
  <c r="AV61" i="3" s="1"/>
  <c r="AS61" i="3"/>
  <c r="F63" i="3"/>
  <c r="S62" i="3"/>
  <c r="H65" i="3"/>
  <c r="K65" i="3" s="1"/>
  <c r="T64" i="3"/>
  <c r="Y64" i="3" s="1"/>
  <c r="AA81" i="3" l="1"/>
  <c r="X62" i="3"/>
  <c r="AB62" i="3" s="1"/>
  <c r="AG62" i="3"/>
  <c r="M74" i="3"/>
  <c r="G62" i="3"/>
  <c r="V82" i="3"/>
  <c r="L83" i="3"/>
  <c r="S63" i="3"/>
  <c r="AT63" i="3" s="1"/>
  <c r="AV63" i="3" s="1"/>
  <c r="I63" i="3"/>
  <c r="AI74" i="3"/>
  <c r="Z74" i="3"/>
  <c r="J76" i="3"/>
  <c r="U75" i="3"/>
  <c r="AT62" i="3"/>
  <c r="AV62" i="3" s="1"/>
  <c r="AS62" i="3"/>
  <c r="H66" i="3"/>
  <c r="K66" i="3" s="1"/>
  <c r="T65" i="3"/>
  <c r="Y65" i="3" s="1"/>
  <c r="F64" i="3"/>
  <c r="I64" i="3" s="1"/>
  <c r="AS63" i="3" l="1"/>
  <c r="M75" i="3"/>
  <c r="AI75" i="3"/>
  <c r="X63" i="3"/>
  <c r="AB63" i="3" s="1"/>
  <c r="AG63" i="3"/>
  <c r="AA82" i="3"/>
  <c r="G63" i="3"/>
  <c r="V83" i="3"/>
  <c r="L84" i="3"/>
  <c r="Z75" i="3"/>
  <c r="J77" i="3"/>
  <c r="U76" i="3"/>
  <c r="S64" i="3"/>
  <c r="X64" i="3" s="1"/>
  <c r="AB64" i="3" s="1"/>
  <c r="F65" i="3"/>
  <c r="H67" i="3"/>
  <c r="K67" i="3" s="1"/>
  <c r="T66" i="3"/>
  <c r="Y66" i="3" s="1"/>
  <c r="AA83" i="3" l="1"/>
  <c r="M76" i="3"/>
  <c r="AI76" i="3"/>
  <c r="G64" i="3"/>
  <c r="S65" i="3"/>
  <c r="X65" i="3" s="1"/>
  <c r="AB65" i="3" s="1"/>
  <c r="I65" i="3"/>
  <c r="V84" i="3"/>
  <c r="L85" i="3"/>
  <c r="Z76" i="3"/>
  <c r="J78" i="3"/>
  <c r="U77" i="3"/>
  <c r="AS64" i="3"/>
  <c r="AT64" i="3"/>
  <c r="AV64" i="3" s="1"/>
  <c r="H68" i="3"/>
  <c r="K68" i="3" s="1"/>
  <c r="T67" i="3"/>
  <c r="F66" i="3"/>
  <c r="AA84" i="3" l="1"/>
  <c r="AT65" i="3"/>
  <c r="AV65" i="3" s="1"/>
  <c r="AS65" i="3"/>
  <c r="M77" i="3"/>
  <c r="AI77" i="3"/>
  <c r="S66" i="3"/>
  <c r="X66" i="3" s="1"/>
  <c r="AB66" i="3" s="1"/>
  <c r="I66" i="3"/>
  <c r="V85" i="3"/>
  <c r="L86" i="3"/>
  <c r="G65" i="3"/>
  <c r="Z77" i="3"/>
  <c r="AH67" i="3"/>
  <c r="Y67" i="3"/>
  <c r="J79" i="3"/>
  <c r="U78" i="3"/>
  <c r="AS66" i="3"/>
  <c r="F67" i="3"/>
  <c r="I67" i="3" s="1"/>
  <c r="H69" i="3"/>
  <c r="K69" i="3" s="1"/>
  <c r="T68" i="3"/>
  <c r="AT66" i="3" l="1"/>
  <c r="AV66" i="3" s="1"/>
  <c r="AA85" i="3"/>
  <c r="M78" i="3"/>
  <c r="AI78" i="3"/>
  <c r="V86" i="3"/>
  <c r="L87" i="3"/>
  <c r="G66" i="3"/>
  <c r="Z78" i="3"/>
  <c r="AH68" i="3"/>
  <c r="Y68" i="3"/>
  <c r="J80" i="3"/>
  <c r="U79" i="3"/>
  <c r="H70" i="3"/>
  <c r="K70" i="3" s="1"/>
  <c r="T69" i="3"/>
  <c r="F68" i="3"/>
  <c r="I68" i="3" s="1"/>
  <c r="S67" i="3"/>
  <c r="X67" i="3" l="1"/>
  <c r="AB67" i="3" s="1"/>
  <c r="M79" i="3"/>
  <c r="AA86" i="3"/>
  <c r="V87" i="3"/>
  <c r="L88" i="3"/>
  <c r="G67" i="3"/>
  <c r="Y69" i="3"/>
  <c r="AI79" i="3"/>
  <c r="Z79" i="3"/>
  <c r="AH69" i="3"/>
  <c r="J81" i="3"/>
  <c r="U80" i="3"/>
  <c r="AG67" i="3"/>
  <c r="AT67" i="3"/>
  <c r="AV67" i="3" s="1"/>
  <c r="AS67" i="3"/>
  <c r="F69" i="3"/>
  <c r="I69" i="3" s="1"/>
  <c r="S68" i="3"/>
  <c r="H71" i="3"/>
  <c r="K71" i="3" s="1"/>
  <c r="T70" i="3"/>
  <c r="X68" i="3" l="1"/>
  <c r="AB68" i="3" s="1"/>
  <c r="M80" i="3"/>
  <c r="AA87" i="3"/>
  <c r="G68" i="3"/>
  <c r="V88" i="3"/>
  <c r="L89" i="3"/>
  <c r="AI80" i="3"/>
  <c r="Z80" i="3"/>
  <c r="AH70" i="3"/>
  <c r="Y70" i="3"/>
  <c r="J82" i="3"/>
  <c r="U81" i="3"/>
  <c r="AG68" i="3"/>
  <c r="AS68" i="3"/>
  <c r="AT68" i="3"/>
  <c r="AV68" i="3" s="1"/>
  <c r="H72" i="3"/>
  <c r="K72" i="3" s="1"/>
  <c r="T71" i="3"/>
  <c r="F70" i="3"/>
  <c r="I70" i="3" s="1"/>
  <c r="S69" i="3"/>
  <c r="M81" i="3" l="1"/>
  <c r="AA88" i="3"/>
  <c r="X69" i="3"/>
  <c r="AB69" i="3" s="1"/>
  <c r="AG69" i="3"/>
  <c r="G69" i="3"/>
  <c r="V89" i="3"/>
  <c r="L90" i="3"/>
  <c r="AI81" i="3"/>
  <c r="Z81" i="3"/>
  <c r="AH71" i="3"/>
  <c r="Y71" i="3"/>
  <c r="J83" i="3"/>
  <c r="U82" i="3"/>
  <c r="AT69" i="3"/>
  <c r="AV69" i="3" s="1"/>
  <c r="AS69" i="3"/>
  <c r="F71" i="3"/>
  <c r="I71" i="3" s="1"/>
  <c r="S70" i="3"/>
  <c r="H73" i="3"/>
  <c r="K73" i="3" s="1"/>
  <c r="T72" i="3"/>
  <c r="M82" i="3" l="1"/>
  <c r="X70" i="3"/>
  <c r="AB70" i="3" s="1"/>
  <c r="AG70" i="3"/>
  <c r="AA89" i="3"/>
  <c r="V90" i="3"/>
  <c r="L91" i="3"/>
  <c r="G70" i="3"/>
  <c r="AI82" i="3"/>
  <c r="Z82" i="3"/>
  <c r="AH72" i="3"/>
  <c r="Y72" i="3"/>
  <c r="J84" i="3"/>
  <c r="U83" i="3"/>
  <c r="AT70" i="3"/>
  <c r="AV70" i="3" s="1"/>
  <c r="AS70" i="3"/>
  <c r="H74" i="3"/>
  <c r="K74" i="3" s="1"/>
  <c r="T73" i="3"/>
  <c r="F72" i="3"/>
  <c r="I72" i="3" s="1"/>
  <c r="S71" i="3"/>
  <c r="AA90" i="3" l="1"/>
  <c r="X71" i="3"/>
  <c r="AB71" i="3" s="1"/>
  <c r="AG71" i="3"/>
  <c r="M83" i="3"/>
  <c r="AI83" i="3"/>
  <c r="V91" i="3"/>
  <c r="L92" i="3"/>
  <c r="G71" i="3"/>
  <c r="Y73" i="3"/>
  <c r="Z83" i="3"/>
  <c r="AH73" i="3"/>
  <c r="J85" i="3"/>
  <c r="U84" i="3"/>
  <c r="AT71" i="3"/>
  <c r="AV71" i="3" s="1"/>
  <c r="AS71" i="3"/>
  <c r="F73" i="3"/>
  <c r="I73" i="3" s="1"/>
  <c r="S72" i="3"/>
  <c r="H75" i="3"/>
  <c r="K75" i="3" s="1"/>
  <c r="T74" i="3"/>
  <c r="X72" i="3" l="1"/>
  <c r="AB72" i="3" s="1"/>
  <c r="M84" i="3"/>
  <c r="AA91" i="3"/>
  <c r="G72" i="3"/>
  <c r="V92" i="3"/>
  <c r="L93" i="3"/>
  <c r="AI84" i="3"/>
  <c r="Z84" i="3"/>
  <c r="AH74" i="3"/>
  <c r="Y74" i="3"/>
  <c r="J86" i="3"/>
  <c r="U85" i="3"/>
  <c r="AG72" i="3"/>
  <c r="AS72" i="3"/>
  <c r="AT72" i="3"/>
  <c r="AV72" i="3" s="1"/>
  <c r="H76" i="3"/>
  <c r="K76" i="3" s="1"/>
  <c r="T75" i="3"/>
  <c r="F74" i="3"/>
  <c r="I74" i="3" s="1"/>
  <c r="S73" i="3"/>
  <c r="X73" i="3" l="1"/>
  <c r="AB73" i="3" s="1"/>
  <c r="AG73" i="3"/>
  <c r="AA92" i="3"/>
  <c r="M85" i="3"/>
  <c r="AI85" i="3"/>
  <c r="V93" i="3"/>
  <c r="L94" i="3"/>
  <c r="G73" i="3"/>
  <c r="Z85" i="3"/>
  <c r="AH75" i="3"/>
  <c r="Y75" i="3"/>
  <c r="J87" i="3"/>
  <c r="U86" i="3"/>
  <c r="AT73" i="3"/>
  <c r="AV73" i="3" s="1"/>
  <c r="AS73" i="3"/>
  <c r="F75" i="3"/>
  <c r="I75" i="3" s="1"/>
  <c r="S74" i="3"/>
  <c r="H77" i="3"/>
  <c r="K77" i="3" s="1"/>
  <c r="T76" i="3"/>
  <c r="AA93" i="3" l="1"/>
  <c r="X74" i="3"/>
  <c r="AB74" i="3" s="1"/>
  <c r="AG74" i="3"/>
  <c r="M86" i="3"/>
  <c r="V94" i="3"/>
  <c r="L95" i="3"/>
  <c r="G74" i="3"/>
  <c r="Y76" i="3"/>
  <c r="AI86" i="3"/>
  <c r="Z86" i="3"/>
  <c r="AH76" i="3"/>
  <c r="J88" i="3"/>
  <c r="U87" i="3"/>
  <c r="AT74" i="3"/>
  <c r="AV74" i="3" s="1"/>
  <c r="AS74" i="3"/>
  <c r="H78" i="3"/>
  <c r="K78" i="3" s="1"/>
  <c r="T77" i="3"/>
  <c r="F76" i="3"/>
  <c r="I76" i="3" s="1"/>
  <c r="S75" i="3"/>
  <c r="AA94" i="3" l="1"/>
  <c r="X75" i="3"/>
  <c r="AB75" i="3" s="1"/>
  <c r="AG75" i="3"/>
  <c r="M87" i="3"/>
  <c r="AI87" i="3"/>
  <c r="V95" i="3"/>
  <c r="L96" i="3"/>
  <c r="G75" i="3"/>
  <c r="Z87" i="3"/>
  <c r="AH77" i="3"/>
  <c r="Y77" i="3"/>
  <c r="J89" i="3"/>
  <c r="U88" i="3"/>
  <c r="AT75" i="3"/>
  <c r="AV75" i="3" s="1"/>
  <c r="AS75" i="3"/>
  <c r="F77" i="3"/>
  <c r="I77" i="3" s="1"/>
  <c r="S76" i="3"/>
  <c r="H79" i="3"/>
  <c r="K79" i="3" s="1"/>
  <c r="T78" i="3"/>
  <c r="X76" i="3" l="1"/>
  <c r="AB76" i="3" s="1"/>
  <c r="AA95" i="3"/>
  <c r="M88" i="3"/>
  <c r="V96" i="3"/>
  <c r="L97" i="3"/>
  <c r="G76" i="3"/>
  <c r="AI88" i="3"/>
  <c r="Z88" i="3"/>
  <c r="AH78" i="3"/>
  <c r="Y78" i="3"/>
  <c r="J90" i="3"/>
  <c r="U89" i="3"/>
  <c r="AG76" i="3"/>
  <c r="AT76" i="3"/>
  <c r="AV76" i="3" s="1"/>
  <c r="AS76" i="3"/>
  <c r="H80" i="3"/>
  <c r="K80" i="3" s="1"/>
  <c r="T79" i="3"/>
  <c r="F78" i="3"/>
  <c r="I78" i="3" s="1"/>
  <c r="S77" i="3"/>
  <c r="X77" i="3" l="1"/>
  <c r="AB77" i="3" s="1"/>
  <c r="AG77" i="3"/>
  <c r="AA96" i="3"/>
  <c r="M89" i="3"/>
  <c r="AI89" i="3"/>
  <c r="V97" i="3"/>
  <c r="L98" i="3"/>
  <c r="G77" i="3"/>
  <c r="AH79" i="3"/>
  <c r="Y79" i="3"/>
  <c r="Z89" i="3"/>
  <c r="J91" i="3"/>
  <c r="U90" i="3"/>
  <c r="AS77" i="3"/>
  <c r="AT77" i="3"/>
  <c r="AV77" i="3" s="1"/>
  <c r="F79" i="3"/>
  <c r="I79" i="3" s="1"/>
  <c r="S78" i="3"/>
  <c r="H81" i="3"/>
  <c r="K81" i="3" s="1"/>
  <c r="T80" i="3"/>
  <c r="X78" i="3" l="1"/>
  <c r="AB78" i="3" s="1"/>
  <c r="AA97" i="3"/>
  <c r="M90" i="3"/>
  <c r="G78" i="3"/>
  <c r="V98" i="3"/>
  <c r="L99" i="3"/>
  <c r="Y80" i="3"/>
  <c r="Z90" i="3"/>
  <c r="AH80" i="3"/>
  <c r="J92" i="3"/>
  <c r="U91" i="3"/>
  <c r="AG78" i="3"/>
  <c r="AT78" i="3"/>
  <c r="AV78" i="3" s="1"/>
  <c r="AS78" i="3"/>
  <c r="H82" i="3"/>
  <c r="K82" i="3" s="1"/>
  <c r="T81" i="3"/>
  <c r="F80" i="3"/>
  <c r="I80" i="3" s="1"/>
  <c r="S79" i="3"/>
  <c r="AI90" i="3" l="1"/>
  <c r="X79" i="3"/>
  <c r="AB79" i="3" s="1"/>
  <c r="AG79" i="3"/>
  <c r="AA98" i="3"/>
  <c r="M91" i="3"/>
  <c r="AI91" i="3"/>
  <c r="G79" i="3"/>
  <c r="V99" i="3"/>
  <c r="L100" i="3"/>
  <c r="Y81" i="3"/>
  <c r="Z91" i="3"/>
  <c r="AH81" i="3"/>
  <c r="J93" i="3"/>
  <c r="U92" i="3"/>
  <c r="AT79" i="3"/>
  <c r="AV79" i="3" s="1"/>
  <c r="AS79" i="3"/>
  <c r="F81" i="3"/>
  <c r="I81" i="3" s="1"/>
  <c r="S80" i="3"/>
  <c r="H83" i="3"/>
  <c r="K83" i="3" s="1"/>
  <c r="T82" i="3"/>
  <c r="M92" i="3" l="1"/>
  <c r="X80" i="3"/>
  <c r="AB80" i="3" s="1"/>
  <c r="AG80" i="3"/>
  <c r="AA99" i="3"/>
  <c r="V100" i="3"/>
  <c r="L101" i="3"/>
  <c r="G80" i="3"/>
  <c r="AI92" i="3"/>
  <c r="Z92" i="3"/>
  <c r="AH82" i="3"/>
  <c r="Y82" i="3"/>
  <c r="J94" i="3"/>
  <c r="U93" i="3"/>
  <c r="AS80" i="3"/>
  <c r="AT80" i="3"/>
  <c r="AV80" i="3" s="1"/>
  <c r="H84" i="3"/>
  <c r="K84" i="3" s="1"/>
  <c r="T83" i="3"/>
  <c r="F82" i="3"/>
  <c r="I82" i="3" s="1"/>
  <c r="S81" i="3"/>
  <c r="X81" i="3" l="1"/>
  <c r="AB81" i="3" s="1"/>
  <c r="AG81" i="3"/>
  <c r="AA100" i="3"/>
  <c r="M93" i="3"/>
  <c r="AI93" i="3"/>
  <c r="V101" i="3"/>
  <c r="L102" i="3"/>
  <c r="G81" i="3"/>
  <c r="Z93" i="3"/>
  <c r="AH83" i="3"/>
  <c r="Y83" i="3"/>
  <c r="J95" i="3"/>
  <c r="U94" i="3"/>
  <c r="AT81" i="3"/>
  <c r="AV81" i="3" s="1"/>
  <c r="AS81" i="3"/>
  <c r="F83" i="3"/>
  <c r="I83" i="3" s="1"/>
  <c r="S82" i="3"/>
  <c r="H85" i="3"/>
  <c r="K85" i="3" s="1"/>
  <c r="T84" i="3"/>
  <c r="X82" i="3" l="1"/>
  <c r="AB82" i="3" s="1"/>
  <c r="AG82" i="3"/>
  <c r="AA101" i="3"/>
  <c r="M94" i="3"/>
  <c r="AI94" i="3"/>
  <c r="G82" i="3"/>
  <c r="V102" i="3"/>
  <c r="L103" i="3"/>
  <c r="Z94" i="3"/>
  <c r="AH84" i="3"/>
  <c r="Y84" i="3"/>
  <c r="J96" i="3"/>
  <c r="U95" i="3"/>
  <c r="AT82" i="3"/>
  <c r="AV82" i="3" s="1"/>
  <c r="AS82" i="3"/>
  <c r="H86" i="3"/>
  <c r="K86" i="3" s="1"/>
  <c r="T85" i="3"/>
  <c r="F84" i="3"/>
  <c r="I84" i="3" s="1"/>
  <c r="S83" i="3"/>
  <c r="X83" i="3" l="1"/>
  <c r="AB83" i="3" s="1"/>
  <c r="AG83" i="3"/>
  <c r="AA102" i="3"/>
  <c r="M95" i="3"/>
  <c r="AI95" i="3"/>
  <c r="V103" i="3"/>
  <c r="L104" i="3"/>
  <c r="G83" i="3"/>
  <c r="Z95" i="3"/>
  <c r="AH85" i="3"/>
  <c r="Y85" i="3"/>
  <c r="J97" i="3"/>
  <c r="U96" i="3"/>
  <c r="AT83" i="3"/>
  <c r="AV83" i="3" s="1"/>
  <c r="AS83" i="3"/>
  <c r="F85" i="3"/>
  <c r="I85" i="3" s="1"/>
  <c r="S84" i="3"/>
  <c r="H87" i="3"/>
  <c r="K87" i="3" s="1"/>
  <c r="T86" i="3"/>
  <c r="X84" i="3" l="1"/>
  <c r="AB84" i="3" s="1"/>
  <c r="M96" i="3"/>
  <c r="AA103" i="3"/>
  <c r="G84" i="3"/>
  <c r="V104" i="3"/>
  <c r="L105" i="3"/>
  <c r="AI96" i="3"/>
  <c r="Z96" i="3"/>
  <c r="AH86" i="3"/>
  <c r="Y86" i="3"/>
  <c r="J98" i="3"/>
  <c r="U97" i="3"/>
  <c r="AG84" i="3"/>
  <c r="AS84" i="3"/>
  <c r="AT84" i="3"/>
  <c r="AV84" i="3" s="1"/>
  <c r="H88" i="3"/>
  <c r="K88" i="3" s="1"/>
  <c r="T87" i="3"/>
  <c r="F86" i="3"/>
  <c r="I86" i="3" s="1"/>
  <c r="S85" i="3"/>
  <c r="X85" i="3" l="1"/>
  <c r="AB85" i="3" s="1"/>
  <c r="AA104" i="3"/>
  <c r="M97" i="3"/>
  <c r="AI97" i="3"/>
  <c r="V105" i="3"/>
  <c r="L106" i="3"/>
  <c r="G85" i="3"/>
  <c r="Z97" i="3"/>
  <c r="AH87" i="3"/>
  <c r="Y87" i="3"/>
  <c r="J99" i="3"/>
  <c r="U98" i="3"/>
  <c r="AG85" i="3"/>
  <c r="AT85" i="3"/>
  <c r="AV85" i="3" s="1"/>
  <c r="AS85" i="3"/>
  <c r="F87" i="3"/>
  <c r="I87" i="3" s="1"/>
  <c r="S86" i="3"/>
  <c r="H89" i="3"/>
  <c r="K89" i="3" s="1"/>
  <c r="T88" i="3"/>
  <c r="X86" i="3" l="1"/>
  <c r="AB86" i="3" s="1"/>
  <c r="AG86" i="3"/>
  <c r="AA105" i="3"/>
  <c r="M98" i="3"/>
  <c r="AI98" i="3"/>
  <c r="G86" i="3"/>
  <c r="V106" i="3"/>
  <c r="L107" i="3"/>
  <c r="AH88" i="3"/>
  <c r="Y88" i="3"/>
  <c r="Z98" i="3"/>
  <c r="J100" i="3"/>
  <c r="U99" i="3"/>
  <c r="AT86" i="3"/>
  <c r="AV86" i="3" s="1"/>
  <c r="AS86" i="3"/>
  <c r="H90" i="3"/>
  <c r="K90" i="3" s="1"/>
  <c r="T89" i="3"/>
  <c r="F88" i="3"/>
  <c r="I88" i="3" s="1"/>
  <c r="S87" i="3"/>
  <c r="M99" i="3" l="1"/>
  <c r="X87" i="3"/>
  <c r="AB87" i="3" s="1"/>
  <c r="AG87" i="3"/>
  <c r="AA106" i="3"/>
  <c r="V107" i="3"/>
  <c r="L108" i="3"/>
  <c r="G87" i="3"/>
  <c r="Y89" i="3"/>
  <c r="AI99" i="3"/>
  <c r="Z99" i="3"/>
  <c r="AH89" i="3"/>
  <c r="J101" i="3"/>
  <c r="U100" i="3"/>
  <c r="AT87" i="3"/>
  <c r="AV87" i="3" s="1"/>
  <c r="AS87" i="3"/>
  <c r="F89" i="3"/>
  <c r="I89" i="3" s="1"/>
  <c r="S88" i="3"/>
  <c r="H91" i="3"/>
  <c r="K91" i="3" s="1"/>
  <c r="T90" i="3"/>
  <c r="G88" i="3" l="1"/>
  <c r="M100" i="3"/>
  <c r="AA107" i="3"/>
  <c r="V108" i="3"/>
  <c r="L109" i="3"/>
  <c r="AI100" i="3"/>
  <c r="Z100" i="3"/>
  <c r="AG88" i="3"/>
  <c r="X88" i="3"/>
  <c r="AB88" i="3" s="1"/>
  <c r="AH90" i="3"/>
  <c r="Y90" i="3"/>
  <c r="J102" i="3"/>
  <c r="U101" i="3"/>
  <c r="AS88" i="3"/>
  <c r="AT88" i="3"/>
  <c r="AV88" i="3" s="1"/>
  <c r="H92" i="3"/>
  <c r="K92" i="3" s="1"/>
  <c r="T91" i="3"/>
  <c r="F90" i="3"/>
  <c r="I90" i="3" s="1"/>
  <c r="S89" i="3"/>
  <c r="X89" i="3" l="1"/>
  <c r="AB89" i="3" s="1"/>
  <c r="AA108" i="3"/>
  <c r="M101" i="3"/>
  <c r="AI101" i="3"/>
  <c r="G89" i="3"/>
  <c r="V109" i="3"/>
  <c r="L110" i="3"/>
  <c r="Z101" i="3"/>
  <c r="AH91" i="3"/>
  <c r="Y91" i="3"/>
  <c r="J103" i="3"/>
  <c r="U102" i="3"/>
  <c r="AS89" i="3"/>
  <c r="AT89" i="3"/>
  <c r="AV89" i="3" s="1"/>
  <c r="F91" i="3"/>
  <c r="I91" i="3" s="1"/>
  <c r="S90" i="3"/>
  <c r="H93" i="3"/>
  <c r="K93" i="3" s="1"/>
  <c r="T92" i="3"/>
  <c r="G90" i="3" l="1"/>
  <c r="M102" i="3"/>
  <c r="AI102" i="3"/>
  <c r="AA109" i="3"/>
  <c r="V110" i="3"/>
  <c r="L111" i="3"/>
  <c r="AH92" i="3"/>
  <c r="Y92" i="3"/>
  <c r="AG90" i="3"/>
  <c r="X90" i="3"/>
  <c r="Z102" i="3"/>
  <c r="J104" i="3"/>
  <c r="U103" i="3"/>
  <c r="AG89" i="3"/>
  <c r="AT90" i="3"/>
  <c r="AV90" i="3" s="1"/>
  <c r="AS90" i="3"/>
  <c r="H94" i="3"/>
  <c r="K94" i="3" s="1"/>
  <c r="T93" i="3"/>
  <c r="F92" i="3"/>
  <c r="I92" i="3" s="1"/>
  <c r="S91" i="3"/>
  <c r="AA110" i="3" l="1"/>
  <c r="G91" i="3"/>
  <c r="M103" i="3"/>
  <c r="AI103" i="3"/>
  <c r="V111" i="3"/>
  <c r="L112" i="3"/>
  <c r="AG91" i="3"/>
  <c r="X91" i="3"/>
  <c r="AB91" i="3" s="1"/>
  <c r="AH93" i="3"/>
  <c r="Y93" i="3"/>
  <c r="Z103" i="3"/>
  <c r="AB90" i="3"/>
  <c r="J105" i="3"/>
  <c r="U104" i="3"/>
  <c r="AT91" i="3"/>
  <c r="AV91" i="3" s="1"/>
  <c r="AS91" i="3"/>
  <c r="F93" i="3"/>
  <c r="I93" i="3" s="1"/>
  <c r="S92" i="3"/>
  <c r="H95" i="3"/>
  <c r="K95" i="3" s="1"/>
  <c r="T94" i="3"/>
  <c r="AA111" i="3" l="1"/>
  <c r="M104" i="3"/>
  <c r="AI104" i="3"/>
  <c r="G92" i="3"/>
  <c r="AG92" i="3"/>
  <c r="V112" i="3"/>
  <c r="L113" i="3"/>
  <c r="AH94" i="3"/>
  <c r="Y94" i="3"/>
  <c r="X92" i="3"/>
  <c r="AB92" i="3" s="1"/>
  <c r="Z104" i="3"/>
  <c r="J106" i="3"/>
  <c r="U105" i="3"/>
  <c r="AS92" i="3"/>
  <c r="AT92" i="3"/>
  <c r="AV92" i="3" s="1"/>
  <c r="H96" i="3"/>
  <c r="K96" i="3" s="1"/>
  <c r="T95" i="3"/>
  <c r="F94" i="3"/>
  <c r="I94" i="3" s="1"/>
  <c r="S93" i="3"/>
  <c r="M105" i="3" l="1"/>
  <c r="AA112" i="3"/>
  <c r="X93" i="3"/>
  <c r="AB93" i="3" s="1"/>
  <c r="G93" i="3"/>
  <c r="V113" i="3"/>
  <c r="L114" i="3"/>
  <c r="Y95" i="3"/>
  <c r="AI105" i="3"/>
  <c r="Z105" i="3"/>
  <c r="AH95" i="3"/>
  <c r="J107" i="3"/>
  <c r="U106" i="3"/>
  <c r="AT93" i="3"/>
  <c r="AV93" i="3" s="1"/>
  <c r="AS93" i="3"/>
  <c r="F95" i="3"/>
  <c r="I95" i="3" s="1"/>
  <c r="S94" i="3"/>
  <c r="H97" i="3"/>
  <c r="K97" i="3" s="1"/>
  <c r="T96" i="3"/>
  <c r="AA113" i="3" l="1"/>
  <c r="X94" i="3"/>
  <c r="AB94" i="3" s="1"/>
  <c r="AG94" i="3"/>
  <c r="M106" i="3"/>
  <c r="AI106" i="3"/>
  <c r="G94" i="3"/>
  <c r="V114" i="3"/>
  <c r="L115" i="3"/>
  <c r="Z106" i="3"/>
  <c r="Y96" i="3"/>
  <c r="AH96" i="3"/>
  <c r="J108" i="3"/>
  <c r="U107" i="3"/>
  <c r="AG93" i="3"/>
  <c r="AT94" i="3"/>
  <c r="AV94" i="3" s="1"/>
  <c r="AS94" i="3"/>
  <c r="H98" i="3"/>
  <c r="K98" i="3" s="1"/>
  <c r="T97" i="3"/>
  <c r="F96" i="3"/>
  <c r="I96" i="3" s="1"/>
  <c r="S95" i="3"/>
  <c r="X95" i="3" l="1"/>
  <c r="AB95" i="3" s="1"/>
  <c r="AG95" i="3"/>
  <c r="AA114" i="3"/>
  <c r="M107" i="3"/>
  <c r="AI107" i="3"/>
  <c r="V115" i="3"/>
  <c r="G95" i="3"/>
  <c r="Z107" i="3"/>
  <c r="AH97" i="3"/>
  <c r="Y97" i="3"/>
  <c r="J109" i="3"/>
  <c r="U108" i="3"/>
  <c r="AS95" i="3"/>
  <c r="AT95" i="3"/>
  <c r="AV95" i="3" s="1"/>
  <c r="F97" i="3"/>
  <c r="I97" i="3" s="1"/>
  <c r="S96" i="3"/>
  <c r="H99" i="3"/>
  <c r="K99" i="3" s="1"/>
  <c r="T98" i="3"/>
  <c r="X96" i="3" l="1"/>
  <c r="AB96" i="3" s="1"/>
  <c r="M108" i="3"/>
  <c r="AA3" i="3"/>
  <c r="AN6" i="3"/>
  <c r="G96" i="3"/>
  <c r="L117" i="3"/>
  <c r="V116" i="3"/>
  <c r="BE106" i="13" s="1"/>
  <c r="AI108" i="3"/>
  <c r="Z108" i="3"/>
  <c r="AH98" i="3"/>
  <c r="Y98" i="3"/>
  <c r="J110" i="3"/>
  <c r="U109" i="3"/>
  <c r="AG96" i="3"/>
  <c r="AS96" i="3"/>
  <c r="AT96" i="3"/>
  <c r="AV96" i="3" s="1"/>
  <c r="H100" i="3"/>
  <c r="K100" i="3" s="1"/>
  <c r="T99" i="3"/>
  <c r="F98" i="3"/>
  <c r="I98" i="3" s="1"/>
  <c r="S97" i="3"/>
  <c r="X97" i="3" l="1"/>
  <c r="AB97" i="3" s="1"/>
  <c r="AG97" i="3"/>
  <c r="M109" i="3"/>
  <c r="V117" i="3"/>
  <c r="BE107" i="13" s="1"/>
  <c r="G97" i="3"/>
  <c r="Y99" i="3"/>
  <c r="AI109" i="3"/>
  <c r="Z109" i="3"/>
  <c r="AH99" i="3"/>
  <c r="J111" i="3"/>
  <c r="U110" i="3"/>
  <c r="AT97" i="3"/>
  <c r="AV97" i="3" s="1"/>
  <c r="AS97" i="3"/>
  <c r="F99" i="3"/>
  <c r="I99" i="3" s="1"/>
  <c r="S98" i="3"/>
  <c r="H101" i="3"/>
  <c r="K101" i="3" s="1"/>
  <c r="T100" i="3"/>
  <c r="M110" i="3" l="1"/>
  <c r="X98" i="3"/>
  <c r="AB98" i="3" s="1"/>
  <c r="AG98" i="3"/>
  <c r="G98" i="3"/>
  <c r="L119" i="3"/>
  <c r="V118" i="3"/>
  <c r="BE108" i="13" s="1"/>
  <c r="AI110" i="3"/>
  <c r="Z110" i="3"/>
  <c r="AH100" i="3"/>
  <c r="Y100" i="3"/>
  <c r="J112" i="3"/>
  <c r="U111" i="3"/>
  <c r="AT98" i="3"/>
  <c r="AV98" i="3" s="1"/>
  <c r="AS98" i="3"/>
  <c r="H102" i="3"/>
  <c r="K102" i="3" s="1"/>
  <c r="T101" i="3"/>
  <c r="F100" i="3"/>
  <c r="I100" i="3" s="1"/>
  <c r="S99" i="3"/>
  <c r="X99" i="3" l="1"/>
  <c r="AB99" i="3" s="1"/>
  <c r="AG99" i="3"/>
  <c r="M111" i="3"/>
  <c r="AI111" i="3"/>
  <c r="L120" i="3"/>
  <c r="V119" i="3"/>
  <c r="BE109" i="13" s="1"/>
  <c r="G99" i="3"/>
  <c r="Z111" i="3"/>
  <c r="AH101" i="3"/>
  <c r="Y101" i="3"/>
  <c r="J113" i="3"/>
  <c r="U112" i="3"/>
  <c r="AT99" i="3"/>
  <c r="AV99" i="3" s="1"/>
  <c r="AS99" i="3"/>
  <c r="F101" i="3"/>
  <c r="I101" i="3" s="1"/>
  <c r="S100" i="3"/>
  <c r="H103" i="3"/>
  <c r="K103" i="3" s="1"/>
  <c r="T102" i="3"/>
  <c r="X100" i="3" l="1"/>
  <c r="AB100" i="3" s="1"/>
  <c r="AG100" i="3"/>
  <c r="M112" i="3"/>
  <c r="L121" i="3"/>
  <c r="V120" i="3"/>
  <c r="BE110" i="13" s="1"/>
  <c r="G100" i="3"/>
  <c r="Y102" i="3"/>
  <c r="AI112" i="3"/>
  <c r="Z112" i="3"/>
  <c r="AH102" i="3"/>
  <c r="J114" i="3"/>
  <c r="U113" i="3"/>
  <c r="AS100" i="3"/>
  <c r="AT100" i="3"/>
  <c r="AV100" i="3" s="1"/>
  <c r="H104" i="3"/>
  <c r="K104" i="3" s="1"/>
  <c r="T103" i="3"/>
  <c r="F102" i="3"/>
  <c r="I102" i="3" s="1"/>
  <c r="S101" i="3"/>
  <c r="M113" i="3" l="1"/>
  <c r="X101" i="3"/>
  <c r="AB101" i="3" s="1"/>
  <c r="AG101" i="3"/>
  <c r="L122" i="3"/>
  <c r="V121" i="3"/>
  <c r="BE111" i="13" s="1"/>
  <c r="G101" i="3"/>
  <c r="Y103" i="3"/>
  <c r="AI113" i="3"/>
  <c r="Z113" i="3"/>
  <c r="AH103" i="3"/>
  <c r="J115" i="3"/>
  <c r="U114" i="3"/>
  <c r="AS101" i="3"/>
  <c r="AT101" i="3"/>
  <c r="AV101" i="3" s="1"/>
  <c r="F103" i="3"/>
  <c r="I103" i="3" s="1"/>
  <c r="S102" i="3"/>
  <c r="H105" i="3"/>
  <c r="K105" i="3" s="1"/>
  <c r="T104" i="3"/>
  <c r="X102" i="3" l="1"/>
  <c r="AB102" i="3" s="1"/>
  <c r="M114" i="3"/>
  <c r="L123" i="3"/>
  <c r="V122" i="3"/>
  <c r="BE112" i="13" s="1"/>
  <c r="G102" i="3"/>
  <c r="AI114" i="3"/>
  <c r="Z114" i="3"/>
  <c r="AH104" i="3"/>
  <c r="Y104" i="3"/>
  <c r="U115" i="3"/>
  <c r="AG102" i="3"/>
  <c r="AT102" i="3"/>
  <c r="AV102" i="3" s="1"/>
  <c r="AS102" i="3"/>
  <c r="H106" i="3"/>
  <c r="K106" i="3" s="1"/>
  <c r="T105" i="3"/>
  <c r="F104" i="3"/>
  <c r="I104" i="3" s="1"/>
  <c r="S103" i="3"/>
  <c r="M115" i="3" l="1"/>
  <c r="K115" i="3"/>
  <c r="BD115" i="3" s="1"/>
  <c r="X103" i="3"/>
  <c r="AB103" i="3" s="1"/>
  <c r="AG103" i="3"/>
  <c r="Z3" i="3"/>
  <c r="AM6" i="3"/>
  <c r="G103" i="3"/>
  <c r="AM5" i="3"/>
  <c r="L124" i="3"/>
  <c r="V123" i="3"/>
  <c r="BE113" i="13" s="1"/>
  <c r="Y105" i="3"/>
  <c r="AH105" i="3"/>
  <c r="J117" i="3"/>
  <c r="U116" i="3"/>
  <c r="AT103" i="3"/>
  <c r="AV103" i="3" s="1"/>
  <c r="AS103" i="3"/>
  <c r="F105" i="3"/>
  <c r="I105" i="3" s="1"/>
  <c r="S104" i="3"/>
  <c r="H107" i="3"/>
  <c r="K107" i="3" s="1"/>
  <c r="T106" i="3"/>
  <c r="X104" i="3" l="1"/>
  <c r="AB104" i="3" s="1"/>
  <c r="AG104" i="3"/>
  <c r="L125" i="3"/>
  <c r="V124" i="3"/>
  <c r="BE114" i="13" s="1"/>
  <c r="AM106" i="13"/>
  <c r="G104" i="3"/>
  <c r="AH106" i="3"/>
  <c r="Y106" i="3"/>
  <c r="J118" i="3"/>
  <c r="U117" i="3"/>
  <c r="AS104" i="3"/>
  <c r="AT104" i="3"/>
  <c r="AV104" i="3" s="1"/>
  <c r="H108" i="3"/>
  <c r="K108" i="3" s="1"/>
  <c r="T107" i="3"/>
  <c r="F106" i="3"/>
  <c r="I106" i="3" s="1"/>
  <c r="S105" i="3"/>
  <c r="BG106" i="13"/>
  <c r="BF106" i="13"/>
  <c r="AO106" i="13"/>
  <c r="AN106" i="13"/>
  <c r="X105" i="3" l="1"/>
  <c r="AB105" i="3" s="1"/>
  <c r="AG105" i="3"/>
  <c r="AM107" i="13"/>
  <c r="G105" i="3"/>
  <c r="L126" i="3"/>
  <c r="V125" i="3"/>
  <c r="BE115" i="13" s="1"/>
  <c r="G106" i="3"/>
  <c r="AH107" i="3"/>
  <c r="Y107" i="3"/>
  <c r="J119" i="3"/>
  <c r="U118" i="3"/>
  <c r="AT105" i="3"/>
  <c r="AV105" i="3" s="1"/>
  <c r="AS105" i="3"/>
  <c r="F107" i="3"/>
  <c r="I107" i="3" s="1"/>
  <c r="S106" i="3"/>
  <c r="H109" i="3"/>
  <c r="K109" i="3" s="1"/>
  <c r="T108" i="3"/>
  <c r="AO107" i="13"/>
  <c r="BF107" i="13"/>
  <c r="BG107" i="13"/>
  <c r="AN107" i="13"/>
  <c r="X106" i="3" l="1"/>
  <c r="AB106" i="3" s="1"/>
  <c r="L127" i="3"/>
  <c r="V126" i="3"/>
  <c r="BE116" i="13" s="1"/>
  <c r="AM108" i="13"/>
  <c r="AH108" i="3"/>
  <c r="Y108" i="3"/>
  <c r="J120" i="3"/>
  <c r="U119" i="3"/>
  <c r="AG106" i="3"/>
  <c r="AT106" i="3"/>
  <c r="AV106" i="3" s="1"/>
  <c r="AS106" i="3"/>
  <c r="H110" i="3"/>
  <c r="T109" i="3"/>
  <c r="F108" i="3"/>
  <c r="I108" i="3" s="1"/>
  <c r="S107" i="3"/>
  <c r="BG108" i="13"/>
  <c r="BF108" i="13"/>
  <c r="AO108" i="13"/>
  <c r="AN108" i="13"/>
  <c r="X107" i="3" l="1"/>
  <c r="AB107" i="3" s="1"/>
  <c r="AG107" i="3"/>
  <c r="AM109" i="13"/>
  <c r="H111" i="3"/>
  <c r="K110" i="3"/>
  <c r="L128" i="3"/>
  <c r="V127" i="3"/>
  <c r="BE117" i="13" s="1"/>
  <c r="G107" i="3"/>
  <c r="AH109" i="3"/>
  <c r="Y109" i="3"/>
  <c r="J121" i="3"/>
  <c r="U120" i="3"/>
  <c r="AT107" i="3"/>
  <c r="AV107" i="3" s="1"/>
  <c r="AS107" i="3"/>
  <c r="F109" i="3"/>
  <c r="I109" i="3" s="1"/>
  <c r="S108" i="3"/>
  <c r="T110" i="3"/>
  <c r="BG109" i="13"/>
  <c r="AN109" i="13"/>
  <c r="AO109" i="13"/>
  <c r="BF109" i="13"/>
  <c r="X108" i="3" l="1"/>
  <c r="AB108" i="3" s="1"/>
  <c r="AG108" i="3"/>
  <c r="H112" i="3"/>
  <c r="K111" i="3"/>
  <c r="G108" i="3"/>
  <c r="L129" i="3"/>
  <c r="V128" i="3"/>
  <c r="BE118" i="13" s="1"/>
  <c r="AM110" i="13"/>
  <c r="AH110" i="3"/>
  <c r="Y110" i="3"/>
  <c r="U121" i="3"/>
  <c r="J122" i="3"/>
  <c r="AS108" i="3"/>
  <c r="AT108" i="3"/>
  <c r="AV108" i="3" s="1"/>
  <c r="T111" i="3"/>
  <c r="F110" i="3"/>
  <c r="S109" i="3"/>
  <c r="BG110" i="13"/>
  <c r="AN110" i="13"/>
  <c r="BF110" i="13"/>
  <c r="AO110" i="13"/>
  <c r="X109" i="3" l="1"/>
  <c r="AB109" i="3" s="1"/>
  <c r="AG109" i="3"/>
  <c r="L130" i="3"/>
  <c r="V129" i="3"/>
  <c r="BE119" i="13" s="1"/>
  <c r="F111" i="3"/>
  <c r="I110" i="3"/>
  <c r="H113" i="3"/>
  <c r="K112" i="3"/>
  <c r="BE116" i="3" s="1"/>
  <c r="BE115" i="3" s="1"/>
  <c r="AM111" i="13"/>
  <c r="G109" i="3"/>
  <c r="AH111" i="3"/>
  <c r="Y111" i="3"/>
  <c r="J123" i="3"/>
  <c r="U122" i="3"/>
  <c r="AT109" i="3"/>
  <c r="AV109" i="3" s="1"/>
  <c r="AS109" i="3"/>
  <c r="S110" i="3"/>
  <c r="T112" i="3"/>
  <c r="BF111" i="13"/>
  <c r="AO111" i="13"/>
  <c r="AN111" i="13"/>
  <c r="BG111" i="13"/>
  <c r="X110" i="3" l="1"/>
  <c r="AB110" i="3" s="1"/>
  <c r="F112" i="3"/>
  <c r="I111" i="3"/>
  <c r="AM112" i="13"/>
  <c r="H114" i="3"/>
  <c r="K113" i="3"/>
  <c r="G110" i="3"/>
  <c r="L131" i="3"/>
  <c r="V130" i="3"/>
  <c r="BE120" i="13" s="1"/>
  <c r="BE113" i="3"/>
  <c r="AH112" i="3"/>
  <c r="Y112" i="3"/>
  <c r="J124" i="3"/>
  <c r="U123" i="3"/>
  <c r="AG110" i="3"/>
  <c r="AT110" i="3"/>
  <c r="AV110" i="3" s="1"/>
  <c r="AS110" i="3"/>
  <c r="BE25" i="3"/>
  <c r="BE37" i="3"/>
  <c r="BE49" i="3"/>
  <c r="BE61" i="3"/>
  <c r="BE73" i="3"/>
  <c r="BE85" i="3"/>
  <c r="BE97" i="3"/>
  <c r="BE109" i="3"/>
  <c r="BE14" i="3"/>
  <c r="BE26" i="3"/>
  <c r="BE38" i="3"/>
  <c r="BE50" i="3"/>
  <c r="BE62" i="3"/>
  <c r="BE74" i="3"/>
  <c r="BE86" i="3"/>
  <c r="BE98" i="3"/>
  <c r="BE110" i="3"/>
  <c r="BE16" i="3"/>
  <c r="BE28" i="3"/>
  <c r="BE40" i="3"/>
  <c r="BE52" i="3"/>
  <c r="BE64" i="3"/>
  <c r="BE76" i="3"/>
  <c r="BE88" i="3"/>
  <c r="BE100" i="3"/>
  <c r="BE112" i="3"/>
  <c r="BE17" i="3"/>
  <c r="BE29" i="3"/>
  <c r="BE41" i="3"/>
  <c r="BE53" i="3"/>
  <c r="BE65" i="3"/>
  <c r="BE77" i="3"/>
  <c r="BE89" i="3"/>
  <c r="BE101" i="3"/>
  <c r="BE13" i="3"/>
  <c r="BE83" i="3"/>
  <c r="BE18" i="3"/>
  <c r="BE30" i="3"/>
  <c r="BE42" i="3"/>
  <c r="BE54" i="3"/>
  <c r="BE66" i="3"/>
  <c r="BE78" i="3"/>
  <c r="BE90" i="3"/>
  <c r="BE102" i="3"/>
  <c r="BE71" i="3"/>
  <c r="BE19" i="3"/>
  <c r="BE31" i="3"/>
  <c r="BE43" i="3"/>
  <c r="BE55" i="3"/>
  <c r="BE67" i="3"/>
  <c r="BE79" i="3"/>
  <c r="BE91" i="3"/>
  <c r="BE103" i="3"/>
  <c r="BE23" i="3"/>
  <c r="BE20" i="3"/>
  <c r="BE32" i="3"/>
  <c r="BE44" i="3"/>
  <c r="BE56" i="3"/>
  <c r="BE68" i="3"/>
  <c r="BE80" i="3"/>
  <c r="BE92" i="3"/>
  <c r="BE104" i="3"/>
  <c r="BE59" i="3"/>
  <c r="BE21" i="3"/>
  <c r="BE33" i="3"/>
  <c r="BE45" i="3"/>
  <c r="BE57" i="3"/>
  <c r="BE69" i="3"/>
  <c r="BE81" i="3"/>
  <c r="BE93" i="3"/>
  <c r="BE105" i="3"/>
  <c r="BE47" i="3"/>
  <c r="BE95" i="3"/>
  <c r="BE22" i="3"/>
  <c r="BE34" i="3"/>
  <c r="BE46" i="3"/>
  <c r="BE58" i="3"/>
  <c r="BE70" i="3"/>
  <c r="BE82" i="3"/>
  <c r="BE94" i="3"/>
  <c r="BE106" i="3"/>
  <c r="BE35" i="3"/>
  <c r="BE107" i="3"/>
  <c r="BE15" i="3"/>
  <c r="BE87" i="3"/>
  <c r="BE27" i="3"/>
  <c r="BE24" i="3"/>
  <c r="BE96" i="3"/>
  <c r="BE99" i="3"/>
  <c r="BE111" i="3"/>
  <c r="BE48" i="3"/>
  <c r="BE51" i="3"/>
  <c r="BE72" i="3"/>
  <c r="BE75" i="3"/>
  <c r="BE36" i="3"/>
  <c r="BE60" i="3"/>
  <c r="BE63" i="3"/>
  <c r="BE84" i="3"/>
  <c r="BE39" i="3"/>
  <c r="BE108" i="3"/>
  <c r="T113" i="3"/>
  <c r="S111" i="3"/>
  <c r="AO112" i="13"/>
  <c r="BF112" i="13"/>
  <c r="BG112" i="13"/>
  <c r="AN112" i="13"/>
  <c r="X111" i="3" l="1"/>
  <c r="AB111" i="3" s="1"/>
  <c r="AG111" i="3"/>
  <c r="L132" i="3"/>
  <c r="V131" i="3"/>
  <c r="BE121" i="13" s="1"/>
  <c r="AM113" i="13"/>
  <c r="K114" i="3"/>
  <c r="BE114" i="3" s="1"/>
  <c r="G111" i="3"/>
  <c r="F113" i="3"/>
  <c r="I112" i="3"/>
  <c r="AH113" i="3"/>
  <c r="Y113" i="3"/>
  <c r="U124" i="3"/>
  <c r="J125" i="3"/>
  <c r="AT111" i="3"/>
  <c r="AV111" i="3" s="1"/>
  <c r="AS111" i="3"/>
  <c r="S112" i="3"/>
  <c r="T114" i="3"/>
  <c r="BF113" i="13"/>
  <c r="BG113" i="13"/>
  <c r="AN113" i="13"/>
  <c r="AO113" i="13"/>
  <c r="X112" i="3" l="1"/>
  <c r="AB112" i="3" s="1"/>
  <c r="G112" i="3"/>
  <c r="BA116" i="3" s="1"/>
  <c r="F114" i="3"/>
  <c r="I113" i="3"/>
  <c r="AM114" i="13"/>
  <c r="V132" i="3"/>
  <c r="BE122" i="13" s="1"/>
  <c r="AH114" i="3"/>
  <c r="Y114" i="3"/>
  <c r="U125" i="3"/>
  <c r="J126" i="3"/>
  <c r="AG112" i="3"/>
  <c r="AS112" i="3"/>
  <c r="AT112" i="3"/>
  <c r="AV112" i="3" s="1"/>
  <c r="T115" i="3"/>
  <c r="S113" i="3"/>
  <c r="BF114" i="13"/>
  <c r="BG114" i="13"/>
  <c r="AN114" i="13"/>
  <c r="AO114" i="13"/>
  <c r="BG122" i="13"/>
  <c r="AD115" i="3" l="1"/>
  <c r="Y115" i="3"/>
  <c r="AB115" i="3" s="1"/>
  <c r="I115" i="3"/>
  <c r="BB115" i="3" s="1"/>
  <c r="X113" i="3"/>
  <c r="AB113" i="3" s="1"/>
  <c r="Y3" i="3"/>
  <c r="AL6" i="3"/>
  <c r="BC116" i="3"/>
  <c r="G113" i="3"/>
  <c r="BA113" i="3" s="1"/>
  <c r="F115" i="3"/>
  <c r="I114" i="3"/>
  <c r="AM115" i="13"/>
  <c r="BA43" i="3"/>
  <c r="J127" i="3"/>
  <c r="U126" i="3"/>
  <c r="AG113" i="3"/>
  <c r="BA65" i="3"/>
  <c r="BA13" i="3"/>
  <c r="BA111" i="3"/>
  <c r="BA99" i="3"/>
  <c r="BA26" i="3"/>
  <c r="BA50" i="3"/>
  <c r="BA61" i="3"/>
  <c r="BA49" i="3"/>
  <c r="BA56" i="3"/>
  <c r="BA37" i="3"/>
  <c r="BA101" i="3"/>
  <c r="BA25" i="3"/>
  <c r="BA29" i="3"/>
  <c r="BA92" i="3"/>
  <c r="BA68" i="3"/>
  <c r="BA95" i="3"/>
  <c r="BA83" i="3"/>
  <c r="BA87" i="3"/>
  <c r="BA88" i="3"/>
  <c r="BA17" i="3"/>
  <c r="BA75" i="3"/>
  <c r="BA57" i="3"/>
  <c r="BA89" i="3"/>
  <c r="BA63" i="3"/>
  <c r="BA51" i="3"/>
  <c r="BA86" i="3"/>
  <c r="BA74" i="3"/>
  <c r="BA45" i="3"/>
  <c r="BA62" i="3"/>
  <c r="BA23" i="3"/>
  <c r="BA33" i="3"/>
  <c r="BA21" i="3"/>
  <c r="BA38" i="3"/>
  <c r="BA52" i="3"/>
  <c r="BA106" i="3"/>
  <c r="BA103" i="3"/>
  <c r="BA72" i="3"/>
  <c r="BA94" i="3"/>
  <c r="BA31" i="3"/>
  <c r="BA41" i="3"/>
  <c r="BA39" i="3"/>
  <c r="BA14" i="3"/>
  <c r="BA60" i="3"/>
  <c r="BA82" i="3"/>
  <c r="BA19" i="3"/>
  <c r="BA53" i="3"/>
  <c r="BA27" i="3"/>
  <c r="BA64" i="3"/>
  <c r="BA48" i="3"/>
  <c r="BA70" i="3"/>
  <c r="BA102" i="3"/>
  <c r="BA80" i="3"/>
  <c r="BA44" i="3"/>
  <c r="BA15" i="3"/>
  <c r="BA109" i="3"/>
  <c r="BA36" i="3"/>
  <c r="BA58" i="3"/>
  <c r="BA90" i="3"/>
  <c r="BA20" i="3"/>
  <c r="BA104" i="3"/>
  <c r="BA28" i="3"/>
  <c r="BA97" i="3"/>
  <c r="BA24" i="3"/>
  <c r="BA46" i="3"/>
  <c r="BA66" i="3"/>
  <c r="BA77" i="3"/>
  <c r="BA100" i="3"/>
  <c r="BA110" i="3"/>
  <c r="BA85" i="3"/>
  <c r="BA112" i="3"/>
  <c r="BA81" i="3"/>
  <c r="BA40" i="3"/>
  <c r="BA98" i="3"/>
  <c r="BA73" i="3"/>
  <c r="BA107" i="3"/>
  <c r="BA69" i="3"/>
  <c r="BA78" i="3"/>
  <c r="BA54" i="3"/>
  <c r="BA91" i="3"/>
  <c r="BA42" i="3"/>
  <c r="BA108" i="3"/>
  <c r="BA71" i="3"/>
  <c r="BA34" i="3"/>
  <c r="BA79" i="3"/>
  <c r="BA30" i="3"/>
  <c r="AS113" i="3"/>
  <c r="AT113" i="3"/>
  <c r="AV113" i="3" s="1"/>
  <c r="BA96" i="3"/>
  <c r="BA59" i="3"/>
  <c r="BA22" i="3"/>
  <c r="BA67" i="3"/>
  <c r="BA18" i="3"/>
  <c r="BA32" i="3"/>
  <c r="BA76" i="3"/>
  <c r="BA16" i="3"/>
  <c r="BA84" i="3"/>
  <c r="BA47" i="3"/>
  <c r="BA105" i="3"/>
  <c r="BA55" i="3"/>
  <c r="BA35" i="3"/>
  <c r="BA93" i="3"/>
  <c r="S115" i="3"/>
  <c r="S114" i="3"/>
  <c r="T116" i="3"/>
  <c r="U106" i="13" s="1"/>
  <c r="BF122" i="13"/>
  <c r="BG115" i="13"/>
  <c r="BF115" i="13"/>
  <c r="AO115" i="13"/>
  <c r="AL68" i="3" l="1"/>
  <c r="AL67" i="3"/>
  <c r="AL70" i="3"/>
  <c r="AL63" i="3"/>
  <c r="AL69" i="3"/>
  <c r="AL5" i="3" s="1"/>
  <c r="AH115" i="3"/>
  <c r="AL115" i="3" s="1"/>
  <c r="BC65" i="3"/>
  <c r="BC115" i="3"/>
  <c r="G115" i="3"/>
  <c r="AZ115" i="3" s="1"/>
  <c r="BA115" i="3" s="1"/>
  <c r="BC90" i="3"/>
  <c r="BC113" i="3"/>
  <c r="BC97" i="3"/>
  <c r="BC27" i="3"/>
  <c r="BC60" i="3"/>
  <c r="BC52" i="3"/>
  <c r="BC13" i="3"/>
  <c r="BC82" i="3"/>
  <c r="BC37" i="3"/>
  <c r="BC86" i="3"/>
  <c r="BC16" i="3"/>
  <c r="BC41" i="3"/>
  <c r="BC78" i="3"/>
  <c r="BC32" i="3"/>
  <c r="BC33" i="3"/>
  <c r="BC94" i="3"/>
  <c r="BC49" i="3"/>
  <c r="BC98" i="3"/>
  <c r="BC28" i="3"/>
  <c r="BC102" i="3"/>
  <c r="BC104" i="3"/>
  <c r="BC106" i="3"/>
  <c r="BC61" i="3"/>
  <c r="BC110" i="3"/>
  <c r="BC40" i="3"/>
  <c r="BC77" i="3"/>
  <c r="BC67" i="3"/>
  <c r="BC44" i="3"/>
  <c r="BC24" i="3"/>
  <c r="BC15" i="3"/>
  <c r="BC64" i="3"/>
  <c r="BC89" i="3"/>
  <c r="BC103" i="3"/>
  <c r="BC56" i="3"/>
  <c r="BC69" i="3"/>
  <c r="BC85" i="3"/>
  <c r="BC39" i="3"/>
  <c r="BC76" i="3"/>
  <c r="BC101" i="3"/>
  <c r="BC59" i="3"/>
  <c r="BC81" i="3"/>
  <c r="BC109" i="3"/>
  <c r="BC88" i="3"/>
  <c r="BC31" i="3"/>
  <c r="BC83" i="3"/>
  <c r="BC72" i="3"/>
  <c r="BC100" i="3"/>
  <c r="BC58" i="3"/>
  <c r="BC95" i="3"/>
  <c r="BC53" i="3"/>
  <c r="BC107" i="3"/>
  <c r="BC14" i="3"/>
  <c r="BC47" i="3"/>
  <c r="BC84" i="3"/>
  <c r="BC18" i="3"/>
  <c r="BC111" i="3"/>
  <c r="BC23" i="3"/>
  <c r="BC70" i="3"/>
  <c r="BC45" i="3"/>
  <c r="BC35" i="3"/>
  <c r="BC48" i="3"/>
  <c r="BC91" i="3"/>
  <c r="BC26" i="3"/>
  <c r="BC71" i="3"/>
  <c r="BC96" i="3"/>
  <c r="BC20" i="3"/>
  <c r="BC92" i="3"/>
  <c r="BC57" i="3"/>
  <c r="BC73" i="3"/>
  <c r="BC68" i="3"/>
  <c r="BC80" i="3"/>
  <c r="BC38" i="3"/>
  <c r="BC19" i="3"/>
  <c r="BC99" i="3"/>
  <c r="BC62" i="3"/>
  <c r="BC54" i="3"/>
  <c r="BC74" i="3"/>
  <c r="BC66" i="3"/>
  <c r="BC36" i="3"/>
  <c r="BC93" i="3"/>
  <c r="BC63" i="3"/>
  <c r="BC22" i="3"/>
  <c r="BC75" i="3"/>
  <c r="BC34" i="3"/>
  <c r="BC87" i="3"/>
  <c r="BC50" i="3"/>
  <c r="BC43" i="3"/>
  <c r="BC25" i="3"/>
  <c r="BC29" i="3"/>
  <c r="BC51" i="3"/>
  <c r="BC112" i="3"/>
  <c r="BC30" i="3"/>
  <c r="BC79" i="3"/>
  <c r="BC17" i="3"/>
  <c r="BC55" i="3"/>
  <c r="BC46" i="3"/>
  <c r="BC108" i="3"/>
  <c r="BC42" i="3"/>
  <c r="BC105" i="3"/>
  <c r="BC21" i="3"/>
  <c r="BC114" i="3"/>
  <c r="G114" i="3"/>
  <c r="AM116" i="13"/>
  <c r="X114" i="3"/>
  <c r="U127" i="3"/>
  <c r="J128" i="3"/>
  <c r="AG114" i="3"/>
  <c r="AT114" i="3"/>
  <c r="AS114" i="3"/>
  <c r="H118" i="3"/>
  <c r="T117" i="3"/>
  <c r="U107" i="13" s="1"/>
  <c r="BG116" i="13"/>
  <c r="W106" i="13"/>
  <c r="V106" i="13"/>
  <c r="AN115" i="13"/>
  <c r="BF116" i="13"/>
  <c r="AN116" i="13"/>
  <c r="AK6" i="3" l="1"/>
  <c r="AB114" i="3"/>
  <c r="X3" i="3"/>
  <c r="AV114" i="3"/>
  <c r="AT8" i="3"/>
  <c r="AU10" i="3" s="1"/>
  <c r="AM117" i="13"/>
  <c r="BA114" i="3"/>
  <c r="J129" i="3"/>
  <c r="U128" i="3"/>
  <c r="S116" i="3"/>
  <c r="C106" i="13" s="1"/>
  <c r="H119" i="3"/>
  <c r="T118" i="3"/>
  <c r="U108" i="13" s="1"/>
  <c r="AN117" i="13"/>
  <c r="V107" i="13"/>
  <c r="BG117" i="13"/>
  <c r="AO117" i="13"/>
  <c r="AO116" i="13"/>
  <c r="W107" i="13"/>
  <c r="BF117" i="13"/>
  <c r="AK10" i="3" l="1"/>
  <c r="AN10" i="3"/>
  <c r="AN8" i="3"/>
  <c r="AK8" i="3"/>
  <c r="AK5" i="3"/>
  <c r="AM118" i="13"/>
  <c r="J130" i="3"/>
  <c r="U129" i="3"/>
  <c r="H120" i="3"/>
  <c r="T119" i="3"/>
  <c r="U109" i="13" s="1"/>
  <c r="F118" i="3"/>
  <c r="S117" i="3"/>
  <c r="C107" i="13" s="1"/>
  <c r="BF118" i="13"/>
  <c r="V108" i="13"/>
  <c r="E106" i="13"/>
  <c r="BG118" i="13"/>
  <c r="D106" i="13"/>
  <c r="W108" i="13"/>
  <c r="AN118" i="13"/>
  <c r="AM119" i="13" l="1"/>
  <c r="U130" i="3"/>
  <c r="J131" i="3"/>
  <c r="AJ14" i="3"/>
  <c r="F119" i="3"/>
  <c r="S118" i="3"/>
  <c r="C108" i="13" s="1"/>
  <c r="H121" i="3"/>
  <c r="T120" i="3"/>
  <c r="U110" i="13" s="1"/>
  <c r="AO118" i="13"/>
  <c r="E107" i="13"/>
  <c r="AN119" i="13"/>
  <c r="D107" i="13"/>
  <c r="BF119" i="13"/>
  <c r="W109" i="13"/>
  <c r="V109" i="13"/>
  <c r="BG119" i="13"/>
  <c r="AO119" i="13"/>
  <c r="AM120" i="13" l="1"/>
  <c r="U131" i="3"/>
  <c r="J132" i="3"/>
  <c r="AJ15" i="3"/>
  <c r="H122" i="3"/>
  <c r="T121" i="3"/>
  <c r="U111" i="13" s="1"/>
  <c r="F120" i="3"/>
  <c r="S119" i="3"/>
  <c r="C109" i="13" s="1"/>
  <c r="BG120" i="13"/>
  <c r="BF120" i="13"/>
  <c r="V110" i="13"/>
  <c r="W110" i="13"/>
  <c r="D108" i="13"/>
  <c r="AN120" i="13"/>
  <c r="AO120" i="13"/>
  <c r="E108" i="13"/>
  <c r="AM121" i="13" l="1"/>
  <c r="U132" i="3"/>
  <c r="AJ16" i="3"/>
  <c r="F121" i="3"/>
  <c r="S120" i="3"/>
  <c r="C110" i="13" s="1"/>
  <c r="H123" i="3"/>
  <c r="T122" i="3"/>
  <c r="U112" i="13" s="1"/>
  <c r="AN121" i="13"/>
  <c r="E109" i="13"/>
  <c r="BG121" i="13"/>
  <c r="BF121" i="13"/>
  <c r="V111" i="13"/>
  <c r="D109" i="13"/>
  <c r="AO121" i="13"/>
  <c r="W111" i="13"/>
  <c r="AM122" i="13" l="1"/>
  <c r="AJ17" i="3"/>
  <c r="H124" i="3"/>
  <c r="T123" i="3"/>
  <c r="U113" i="13" s="1"/>
  <c r="F122" i="3"/>
  <c r="S121" i="3"/>
  <c r="C111" i="13" s="1"/>
  <c r="E110" i="13"/>
  <c r="W112" i="13"/>
  <c r="V112" i="13"/>
  <c r="AN122" i="13"/>
  <c r="AO122" i="13"/>
  <c r="D110" i="13"/>
  <c r="AJ18" i="3" l="1"/>
  <c r="F123" i="3"/>
  <c r="S122" i="3"/>
  <c r="C112" i="13" s="1"/>
  <c r="H125" i="3"/>
  <c r="T124" i="3"/>
  <c r="U114" i="13" s="1"/>
  <c r="V113" i="13"/>
  <c r="D111" i="13"/>
  <c r="E111" i="13"/>
  <c r="W113" i="13"/>
  <c r="AJ19" i="3" l="1"/>
  <c r="H126" i="3"/>
  <c r="T125" i="3"/>
  <c r="U115" i="13" s="1"/>
  <c r="F124" i="3"/>
  <c r="S123" i="3"/>
  <c r="C113" i="13" s="1"/>
  <c r="W114" i="13"/>
  <c r="E112" i="13"/>
  <c r="D112" i="13"/>
  <c r="V114" i="13"/>
  <c r="AJ20" i="3" l="1"/>
  <c r="F125" i="3"/>
  <c r="S124" i="3"/>
  <c r="C114" i="13" s="1"/>
  <c r="H127" i="3"/>
  <c r="T126" i="3"/>
  <c r="U116" i="13" s="1"/>
  <c r="W115" i="13"/>
  <c r="V115" i="13"/>
  <c r="E113" i="13"/>
  <c r="D113" i="13"/>
  <c r="AJ21" i="3" l="1"/>
  <c r="H128" i="3"/>
  <c r="T127" i="3"/>
  <c r="U117" i="13" s="1"/>
  <c r="F126" i="3"/>
  <c r="S125" i="3"/>
  <c r="C115" i="13" s="1"/>
  <c r="W116" i="13"/>
  <c r="E114" i="13"/>
  <c r="D114" i="13"/>
  <c r="V116" i="13"/>
  <c r="AJ22" i="3" l="1"/>
  <c r="F127" i="3"/>
  <c r="S126" i="3"/>
  <c r="C116" i="13" s="1"/>
  <c r="H129" i="3"/>
  <c r="T128" i="3"/>
  <c r="U118" i="13" s="1"/>
  <c r="W117" i="13"/>
  <c r="E115" i="13"/>
  <c r="D115" i="13"/>
  <c r="V117" i="13"/>
  <c r="AJ23" i="3" l="1"/>
  <c r="H130" i="3"/>
  <c r="T129" i="3"/>
  <c r="U119" i="13" s="1"/>
  <c r="F128" i="3"/>
  <c r="S127" i="3"/>
  <c r="C117" i="13" s="1"/>
  <c r="W118" i="13"/>
  <c r="V118" i="13"/>
  <c r="E116" i="13"/>
  <c r="D116" i="13"/>
  <c r="AJ24" i="3" l="1"/>
  <c r="F129" i="3"/>
  <c r="S128" i="3"/>
  <c r="C118" i="13" s="1"/>
  <c r="H131" i="3"/>
  <c r="T130" i="3"/>
  <c r="U120" i="13" s="1"/>
  <c r="V119" i="13"/>
  <c r="W119" i="13"/>
  <c r="E117" i="13"/>
  <c r="D117" i="13"/>
  <c r="AJ25" i="3" l="1"/>
  <c r="H132" i="3"/>
  <c r="T131" i="3"/>
  <c r="U121" i="13" s="1"/>
  <c r="F130" i="3"/>
  <c r="S129" i="3"/>
  <c r="C119" i="13" s="1"/>
  <c r="W120" i="13"/>
  <c r="E118" i="13"/>
  <c r="D118" i="13"/>
  <c r="V120" i="13"/>
  <c r="AJ26" i="3" l="1"/>
  <c r="F131" i="3"/>
  <c r="S130" i="3"/>
  <c r="C120" i="13" s="1"/>
  <c r="T132" i="3"/>
  <c r="U122" i="13" s="1"/>
  <c r="W122" i="13"/>
  <c r="V122" i="13"/>
  <c r="W121" i="13"/>
  <c r="V121" i="13"/>
  <c r="D119" i="13"/>
  <c r="E119" i="13"/>
  <c r="AJ27" i="3" l="1"/>
  <c r="F132" i="3"/>
  <c r="S131" i="3"/>
  <c r="C121" i="13" s="1"/>
  <c r="D120" i="13"/>
  <c r="E120" i="13"/>
  <c r="AJ28" i="3" l="1"/>
  <c r="S132" i="3"/>
  <c r="C122" i="13" s="1"/>
  <c r="E122" i="13"/>
  <c r="D122" i="13"/>
  <c r="E121" i="13"/>
  <c r="D121" i="13"/>
  <c r="AJ29" i="3" l="1"/>
  <c r="AJ30" i="3" l="1"/>
  <c r="AJ31" i="3" l="1"/>
  <c r="AJ32" i="3" l="1"/>
  <c r="AJ33" i="3" l="1"/>
  <c r="AJ34" i="3" l="1"/>
  <c r="AJ35" i="3" l="1"/>
  <c r="AJ36" i="3" l="1"/>
  <c r="AJ37" i="3" l="1"/>
  <c r="AJ38" i="3" l="1"/>
  <c r="AJ39" i="3" l="1"/>
  <c r="AJ40" i="3" l="1"/>
  <c r="AJ41" i="3" l="1"/>
  <c r="AJ42" i="3" l="1"/>
  <c r="AJ43" i="3" l="1"/>
  <c r="AJ44" i="3" l="1"/>
  <c r="AJ45" i="3" l="1"/>
  <c r="AJ46" i="3" l="1"/>
  <c r="AJ47" i="3" l="1"/>
  <c r="AJ48" i="3" l="1"/>
  <c r="AJ49" i="3" l="1"/>
  <c r="AJ50" i="3" l="1"/>
  <c r="AJ51" i="3" l="1"/>
  <c r="AJ52" i="3" l="1"/>
  <c r="AJ53" i="3" l="1"/>
  <c r="AJ54" i="3" l="1"/>
  <c r="AJ55" i="3" l="1"/>
  <c r="AJ56" i="3" l="1"/>
  <c r="AJ57" i="3" l="1"/>
  <c r="AJ58" i="3" l="1"/>
  <c r="AJ59" i="3" l="1"/>
  <c r="AJ60" i="3" l="1"/>
  <c r="AJ61" i="3" l="1"/>
  <c r="AJ62" i="3" l="1"/>
  <c r="AJ63" i="3" l="1"/>
  <c r="AJ67" i="3" l="1"/>
  <c r="AJ68" i="3" l="1"/>
  <c r="AJ69" i="3" l="1"/>
  <c r="AJ70" i="3" l="1"/>
  <c r="AJ71" i="3" l="1"/>
  <c r="AJ72" i="3" l="1"/>
  <c r="AJ73" i="3" l="1"/>
  <c r="AJ74" i="3" l="1"/>
  <c r="AJ75" i="3" l="1"/>
  <c r="AJ76" i="3" l="1"/>
  <c r="AJ77" i="3" l="1"/>
  <c r="AJ78" i="3" l="1"/>
  <c r="AJ79" i="3" l="1"/>
  <c r="AJ80" i="3" l="1"/>
  <c r="AJ81" i="3" l="1"/>
  <c r="AJ82" i="3" l="1"/>
  <c r="AJ83" i="3" l="1"/>
  <c r="AJ84" i="3" l="1"/>
  <c r="AJ85" i="3" l="1"/>
  <c r="AJ86" i="3" l="1"/>
  <c r="AJ87" i="3" l="1"/>
  <c r="AJ88" i="3" l="1"/>
  <c r="AJ89" i="3"/>
  <c r="AJ90" i="3" l="1"/>
  <c r="AJ91" i="3"/>
  <c r="AJ92" i="3" l="1"/>
  <c r="AJ93" i="3"/>
  <c r="AJ94" i="3" l="1"/>
  <c r="AJ95" i="3" l="1"/>
  <c r="AJ96" i="3" l="1"/>
  <c r="AJ97" i="3" l="1"/>
  <c r="AJ98" i="3" l="1"/>
  <c r="AJ99" i="3" l="1"/>
  <c r="AJ100" i="3" l="1"/>
  <c r="AJ101" i="3" l="1"/>
  <c r="AJ102" i="3" l="1"/>
  <c r="AJ103" i="3" l="1"/>
  <c r="AJ104" i="3" l="1"/>
  <c r="AJ105" i="3" l="1"/>
  <c r="AJ106" i="3" l="1"/>
  <c r="AJ107" i="3" l="1"/>
  <c r="AJ108" i="3" l="1"/>
  <c r="AJ109" i="3" l="1"/>
  <c r="AJ110" i="3" l="1"/>
  <c r="AJ111" i="3" l="1"/>
  <c r="AJ112" i="3" l="1"/>
  <c r="AJ113" i="3" l="1"/>
  <c r="AJ114" i="3" l="1"/>
  <c r="AN5" i="3" l="1"/>
  <c r="AK9" i="3" s="1"/>
  <c r="AN9" i="3" l="1"/>
  <c r="X17" i="16" l="1"/>
  <c r="AB17" i="16" s="1"/>
  <c r="X17" i="19" l="1"/>
  <c r="AA17" i="16"/>
  <c r="AC17" i="19"/>
  <c r="U18" i="16"/>
  <c r="AF17" i="16"/>
  <c r="Y17" i="16"/>
  <c r="Z17" i="16"/>
  <c r="V18" i="16" l="1"/>
  <c r="W18" i="16"/>
  <c r="X18" i="16"/>
  <c r="AB18" i="16" s="1"/>
  <c r="U19" i="16" l="1"/>
  <c r="AC18" i="19"/>
  <c r="X18" i="19"/>
  <c r="AA18" i="16"/>
  <c r="Y18" i="16"/>
  <c r="AF18" i="16"/>
  <c r="Z18" i="16"/>
  <c r="V19" i="16" l="1"/>
  <c r="W19" i="16"/>
  <c r="X19" i="16"/>
  <c r="AB19" i="16" s="1"/>
  <c r="AA19" i="16"/>
  <c r="Y19" i="16"/>
  <c r="Z19" i="16" l="1"/>
  <c r="X19" i="19"/>
  <c r="AF19" i="16"/>
  <c r="AC19" i="19"/>
  <c r="U20" i="16"/>
  <c r="X20" i="16"/>
  <c r="Y20" i="16" l="1"/>
  <c r="AB20" i="16"/>
  <c r="V20" i="16"/>
  <c r="W20" i="16"/>
  <c r="X20" i="19"/>
  <c r="Z20" i="16"/>
  <c r="AF20" i="16"/>
  <c r="AA20" i="16"/>
  <c r="AC20" i="19"/>
  <c r="U21" i="16" l="1"/>
  <c r="V21" i="16" l="1"/>
  <c r="W21" i="16"/>
  <c r="X21" i="16"/>
  <c r="AB21" i="16" s="1"/>
  <c r="AC21" i="19" l="1"/>
  <c r="X21" i="19"/>
  <c r="Y21" i="16"/>
  <c r="Z21" i="16"/>
  <c r="AA21" i="16"/>
  <c r="AF21" i="16"/>
  <c r="U22" i="16"/>
  <c r="V22" i="16" l="1"/>
  <c r="U23" i="16" s="1"/>
  <c r="W22" i="16"/>
  <c r="X22" i="16"/>
  <c r="AB22" i="16" s="1"/>
  <c r="X23" i="16" l="1"/>
  <c r="V23" i="16"/>
  <c r="U24" i="16" s="1"/>
  <c r="W23" i="16"/>
  <c r="Y22" i="16"/>
  <c r="AF22" i="16"/>
  <c r="AA22" i="16"/>
  <c r="Z22" i="16"/>
  <c r="X22" i="19"/>
  <c r="AC22" i="19"/>
  <c r="Y23" i="16" l="1"/>
  <c r="AB23" i="16"/>
  <c r="AF23" i="16"/>
  <c r="AA23" i="16"/>
  <c r="X23" i="19"/>
  <c r="AC23" i="19"/>
  <c r="Z23" i="16"/>
  <c r="V24" i="16"/>
  <c r="X25" i="16" s="1"/>
  <c r="AB25" i="16" s="1"/>
  <c r="W24" i="16"/>
  <c r="X24" i="16"/>
  <c r="AB24" i="16" s="1"/>
  <c r="U25" i="16" l="1"/>
  <c r="AA24" i="16"/>
  <c r="AF24" i="16"/>
  <c r="Y24" i="16"/>
  <c r="Z24" i="16"/>
  <c r="X24" i="19"/>
  <c r="AC24" i="19"/>
  <c r="AF25" i="16"/>
  <c r="Y25" i="16"/>
  <c r="Z25" i="16"/>
  <c r="AC25" i="19"/>
  <c r="X25" i="19"/>
  <c r="AA25" i="16"/>
  <c r="V25" i="16" l="1"/>
  <c r="X26" i="16" s="1"/>
  <c r="AB26" i="16" s="1"/>
  <c r="W25" i="16"/>
  <c r="U26" i="16" l="1"/>
  <c r="Y26" i="16"/>
  <c r="AA26" i="16"/>
  <c r="X26" i="19"/>
  <c r="AF26" i="16"/>
  <c r="AC26" i="19"/>
  <c r="Z26" i="16"/>
  <c r="V26" i="16" l="1"/>
  <c r="X27" i="16" s="1"/>
  <c r="AB27" i="16" s="1"/>
  <c r="W26" i="16"/>
  <c r="U27" i="16" l="1"/>
  <c r="AF27" i="16"/>
  <c r="X27" i="19"/>
  <c r="AC27" i="19"/>
  <c r="Z27" i="16"/>
  <c r="Y27" i="16"/>
  <c r="AA27" i="16"/>
  <c r="V27" i="16" l="1"/>
  <c r="X28" i="16" s="1"/>
  <c r="AB28" i="16" s="1"/>
  <c r="W27" i="16"/>
  <c r="U28" i="16" l="1"/>
  <c r="Y28" i="16"/>
  <c r="AC28" i="19"/>
  <c r="X28" i="19"/>
  <c r="AF28" i="16"/>
  <c r="Z28" i="16"/>
  <c r="AA28" i="16"/>
  <c r="V28" i="16" l="1"/>
  <c r="X29" i="16" s="1"/>
  <c r="AB29" i="16" s="1"/>
  <c r="W28" i="16"/>
  <c r="U29" i="16" l="1"/>
  <c r="Z29" i="16"/>
  <c r="AA29" i="16"/>
  <c r="Y29" i="16"/>
  <c r="AF29" i="16"/>
  <c r="X29" i="19"/>
  <c r="AC29" i="19"/>
  <c r="V29" i="16" l="1"/>
  <c r="U30" i="16" s="1"/>
  <c r="W29" i="16"/>
  <c r="V30" i="16" l="1"/>
  <c r="W30" i="16"/>
  <c r="X30" i="16"/>
  <c r="AB30" i="16" s="1"/>
  <c r="X30" i="19" l="1"/>
  <c r="AA30" i="16"/>
  <c r="AF30" i="16"/>
  <c r="Z30" i="16"/>
  <c r="AC30" i="19"/>
  <c r="Y30" i="16"/>
  <c r="U31" i="16"/>
  <c r="V31" i="16" l="1"/>
  <c r="W31" i="16"/>
  <c r="X31" i="16"/>
  <c r="X31" i="19" l="1"/>
  <c r="AB31" i="16"/>
  <c r="AA31" i="16"/>
  <c r="Z31" i="16"/>
  <c r="Y31" i="16"/>
  <c r="AF31" i="16"/>
  <c r="AC31" i="19"/>
  <c r="U32" i="16"/>
  <c r="V32" i="16" l="1"/>
  <c r="W32" i="16"/>
  <c r="X32" i="16"/>
  <c r="AB32" i="16" s="1"/>
  <c r="AF32" i="16" l="1"/>
  <c r="X32" i="19"/>
  <c r="AC32" i="19"/>
  <c r="Z32" i="16"/>
  <c r="Y32" i="16"/>
  <c r="AA32" i="16"/>
  <c r="U33" i="16"/>
  <c r="V33" i="16" l="1"/>
  <c r="W33" i="16"/>
  <c r="X33" i="16"/>
  <c r="Z33" i="16" s="1"/>
  <c r="AC33" i="19" l="1"/>
  <c r="AB33" i="16"/>
  <c r="AF33" i="16"/>
  <c r="X33" i="19"/>
  <c r="Y33" i="16"/>
  <c r="AA33" i="16"/>
  <c r="U34" i="16"/>
  <c r="V34" i="16" l="1"/>
  <c r="W34" i="16"/>
  <c r="X34" i="16"/>
  <c r="AB34" i="16" s="1"/>
  <c r="U35" i="16" l="1"/>
  <c r="AA34" i="16"/>
  <c r="X34" i="19"/>
  <c r="AC34" i="19"/>
  <c r="AF34" i="16"/>
  <c r="Y34" i="16"/>
  <c r="Z34" i="16"/>
  <c r="V35" i="16" l="1"/>
  <c r="W35" i="16"/>
  <c r="X35" i="16"/>
  <c r="AF35" i="16" l="1"/>
  <c r="AB35" i="16"/>
  <c r="AA35" i="16"/>
  <c r="Y35" i="16"/>
  <c r="X35" i="19"/>
  <c r="Z35" i="16"/>
  <c r="AC35" i="19"/>
  <c r="U36" i="16"/>
  <c r="V36" i="16" l="1"/>
  <c r="W36" i="16"/>
  <c r="X36" i="16"/>
  <c r="Y36" i="16" s="1"/>
  <c r="AA36" i="16" l="1"/>
  <c r="Z36" i="16"/>
  <c r="AC36" i="19"/>
  <c r="AB36" i="16"/>
  <c r="AF36" i="16"/>
  <c r="X37" i="16" l="1"/>
  <c r="AB37" i="16" s="1"/>
  <c r="U37" i="16"/>
  <c r="V37" i="16" l="1"/>
  <c r="X38" i="16" s="1"/>
  <c r="AB38" i="16" s="1"/>
  <c r="W37" i="16"/>
  <c r="Y37" i="16"/>
  <c r="AC37" i="19"/>
  <c r="AF37" i="16"/>
  <c r="AA37" i="16"/>
  <c r="Z37" i="16"/>
  <c r="U38" i="16" l="1"/>
  <c r="AC38" i="19"/>
  <c r="AF38" i="16"/>
  <c r="AA38" i="16"/>
  <c r="Z38" i="16"/>
  <c r="Y38" i="16"/>
  <c r="V38" i="16" l="1"/>
  <c r="X39" i="16" s="1"/>
  <c r="AB39" i="16" s="1"/>
  <c r="W38" i="16"/>
  <c r="U39" i="16" l="1"/>
  <c r="Z39" i="16"/>
  <c r="AA39" i="16"/>
  <c r="AC39" i="19"/>
  <c r="AF39" i="16"/>
  <c r="Y39" i="16"/>
  <c r="V39" i="16" l="1"/>
  <c r="X40" i="16" s="1"/>
  <c r="AB40" i="16" s="1"/>
  <c r="W39" i="16"/>
  <c r="U40" i="16" l="1"/>
  <c r="AF40" i="16"/>
  <c r="AC40" i="19"/>
  <c r="AA40" i="16"/>
  <c r="Z40" i="16"/>
  <c r="Y40" i="16"/>
  <c r="V40" i="16" l="1"/>
  <c r="X41" i="16" s="1"/>
  <c r="AB41" i="16" s="1"/>
  <c r="W40" i="16"/>
  <c r="U41" i="16" l="1"/>
  <c r="AA41" i="16"/>
  <c r="Z41" i="16"/>
  <c r="AC41" i="19"/>
  <c r="Y41" i="16"/>
  <c r="AF41" i="16"/>
  <c r="V41" i="16" l="1"/>
  <c r="X42" i="16" s="1"/>
  <c r="AB42" i="16" s="1"/>
  <c r="W41" i="16"/>
  <c r="U42" i="16" l="1"/>
  <c r="AC42" i="19"/>
  <c r="Z42" i="16"/>
  <c r="AA42" i="16"/>
  <c r="AF42" i="16"/>
  <c r="Y42" i="16"/>
  <c r="V42" i="16" l="1"/>
  <c r="X43" i="16" s="1"/>
  <c r="AB43" i="16" s="1"/>
  <c r="W42" i="16"/>
  <c r="U43" i="16" l="1"/>
  <c r="AF43" i="16"/>
  <c r="Y43" i="16"/>
  <c r="Z43" i="16"/>
  <c r="AC43" i="19"/>
  <c r="AA43" i="16"/>
  <c r="V43" i="16" l="1"/>
  <c r="X44" i="16" s="1"/>
  <c r="AB44" i="16" s="1"/>
  <c r="W43" i="16"/>
  <c r="U44" i="16" l="1"/>
  <c r="AC44" i="19"/>
  <c r="Z44" i="16"/>
  <c r="AF44" i="16"/>
  <c r="AA44" i="16"/>
  <c r="Y44" i="16"/>
  <c r="V44" i="16" l="1"/>
  <c r="X45" i="16" s="1"/>
  <c r="AB45" i="16" s="1"/>
  <c r="W44" i="16"/>
  <c r="U45" i="16" l="1"/>
  <c r="AC45" i="19"/>
  <c r="AA45" i="16"/>
  <c r="Z45" i="16"/>
  <c r="AF45" i="16"/>
  <c r="Y45" i="16"/>
  <c r="V45" i="16" l="1"/>
  <c r="X46" i="16" s="1"/>
  <c r="AB46" i="16" s="1"/>
  <c r="W45" i="16"/>
  <c r="U46" i="16" l="1"/>
  <c r="AA46" i="16"/>
  <c r="AF46" i="16"/>
  <c r="AC46" i="19"/>
  <c r="Y46" i="16"/>
  <c r="Z46" i="16"/>
  <c r="V46" i="16" l="1"/>
  <c r="X47" i="16" s="1"/>
  <c r="AB47" i="16" s="1"/>
  <c r="W46" i="16"/>
  <c r="U47" i="16" l="1"/>
  <c r="AF47" i="16"/>
  <c r="Z47" i="16"/>
  <c r="AC47" i="19"/>
  <c r="Y47" i="16"/>
  <c r="AA47" i="16"/>
  <c r="V47" i="16" l="1"/>
  <c r="X48" i="16" s="1"/>
  <c r="AB48" i="16" s="1"/>
  <c r="W47" i="16"/>
  <c r="U48" i="16" l="1"/>
  <c r="AC48" i="19"/>
  <c r="AF48" i="16"/>
  <c r="Y48" i="16"/>
  <c r="Z48" i="16"/>
  <c r="AA48" i="16"/>
  <c r="V48" i="16" l="1"/>
  <c r="X49" i="16" s="1"/>
  <c r="AB49" i="16" s="1"/>
  <c r="W48" i="16"/>
  <c r="U49" i="16" l="1"/>
  <c r="AC49" i="19"/>
  <c r="AF49" i="16"/>
  <c r="Z49" i="16"/>
  <c r="AA49" i="16"/>
  <c r="Y49" i="16"/>
  <c r="V49" i="16" l="1"/>
  <c r="X50" i="16" s="1"/>
  <c r="AB50" i="16" s="1"/>
  <c r="W49" i="16"/>
  <c r="U50" i="16" l="1"/>
  <c r="AA50" i="16"/>
  <c r="AC50" i="19"/>
  <c r="Z50" i="16"/>
  <c r="Y50" i="16"/>
  <c r="AF50" i="16"/>
  <c r="V50" i="16" l="1"/>
  <c r="U51" i="16" s="1"/>
  <c r="W50" i="16"/>
  <c r="V51" i="16" l="1"/>
  <c r="W51" i="16"/>
  <c r="X51" i="16"/>
  <c r="Z51" i="16" l="1"/>
  <c r="AB51" i="16"/>
  <c r="AC51" i="19"/>
  <c r="AA51" i="16"/>
  <c r="AF51" i="16"/>
  <c r="Y51" i="16"/>
  <c r="U52" i="16"/>
  <c r="V52" i="16" l="1"/>
  <c r="W52" i="16"/>
  <c r="X52" i="16"/>
  <c r="AB52" i="16" s="1"/>
  <c r="AC52" i="19" l="1"/>
  <c r="AA52" i="16"/>
  <c r="AF52" i="16"/>
  <c r="Y52" i="16"/>
  <c r="Z52" i="16"/>
  <c r="U53" i="16"/>
  <c r="W53" i="16" s="1"/>
  <c r="V53" i="16" l="1"/>
  <c r="X54" i="16" s="1"/>
  <c r="AB54" i="16" s="1"/>
  <c r="X53" i="16"/>
  <c r="AB53" i="16" s="1"/>
  <c r="AC53" i="19" l="1"/>
  <c r="AF53" i="16"/>
  <c r="Z53" i="16"/>
  <c r="Y53" i="16"/>
  <c r="AA53" i="16"/>
  <c r="U54" i="16"/>
  <c r="V54" i="16" l="1"/>
  <c r="W54" i="16"/>
  <c r="Y54" i="16"/>
  <c r="Z54" i="16"/>
  <c r="AF54" i="16"/>
  <c r="AC54" i="19"/>
  <c r="AA54" i="16"/>
  <c r="X55" i="16" l="1"/>
  <c r="U55" i="16"/>
  <c r="W55" i="16" s="1"/>
  <c r="Z55" i="16" l="1"/>
  <c r="AF55" i="16"/>
  <c r="AC55" i="19"/>
  <c r="AA55" i="16"/>
  <c r="Y55" i="16"/>
  <c r="V55" i="16"/>
  <c r="X56" i="16" s="1"/>
  <c r="U56" i="16" l="1"/>
  <c r="AC56" i="19"/>
  <c r="Z56" i="16"/>
  <c r="AA56" i="16"/>
  <c r="AF56" i="16"/>
  <c r="Y56" i="16"/>
  <c r="V56" i="16" l="1"/>
  <c r="X57" i="16" s="1"/>
  <c r="W56" i="16"/>
  <c r="U57" i="16" l="1"/>
  <c r="AA57" i="16"/>
  <c r="AF57" i="16"/>
  <c r="Z57" i="16"/>
  <c r="Y57" i="16"/>
  <c r="AC57" i="19"/>
  <c r="V57" i="16" l="1"/>
  <c r="X58" i="16" s="1"/>
  <c r="AB58" i="16" s="1"/>
  <c r="W57" i="16"/>
  <c r="U58" i="16" l="1"/>
  <c r="AF58" i="16"/>
  <c r="Z58" i="16"/>
  <c r="AC58" i="19"/>
  <c r="Y58" i="16"/>
  <c r="AA58" i="16"/>
  <c r="V58" i="16" l="1"/>
  <c r="X59" i="16" s="1"/>
  <c r="AB59" i="16" s="1"/>
  <c r="W58" i="16"/>
  <c r="U59" i="16" l="1"/>
  <c r="AC59" i="19"/>
  <c r="Z59" i="16"/>
  <c r="Y59" i="16"/>
  <c r="AF59" i="16"/>
  <c r="AA59" i="16"/>
  <c r="V59" i="16" l="1"/>
  <c r="X60" i="16" s="1"/>
  <c r="AB60" i="16" s="1"/>
  <c r="W59" i="16"/>
  <c r="U60" i="16" l="1"/>
  <c r="Y60" i="16"/>
  <c r="AC60" i="19"/>
  <c r="AF60" i="16"/>
  <c r="Z60" i="16"/>
  <c r="AA60" i="16"/>
  <c r="V60" i="16" l="1"/>
  <c r="X61" i="16" s="1"/>
  <c r="AB61" i="16" s="1"/>
  <c r="W60" i="16"/>
  <c r="U61" i="16" l="1"/>
  <c r="AC61" i="19"/>
  <c r="Z61" i="16"/>
  <c r="AF61" i="16"/>
  <c r="Y61" i="16"/>
  <c r="AA61" i="16"/>
  <c r="V61" i="16" l="1"/>
  <c r="X62" i="16" s="1"/>
  <c r="AB62" i="16" s="1"/>
  <c r="W61" i="16"/>
  <c r="U62" i="16" l="1"/>
  <c r="AF62" i="16"/>
  <c r="Y62" i="16"/>
  <c r="AC62" i="19"/>
  <c r="Z62" i="16"/>
  <c r="AA62" i="16"/>
  <c r="V62" i="16" l="1"/>
  <c r="U63" i="16" s="1"/>
  <c r="W62" i="16"/>
  <c r="V63" i="16" l="1"/>
  <c r="X64" i="16" s="1"/>
  <c r="AB64" i="16" s="1"/>
  <c r="W63" i="16"/>
  <c r="X63" i="16"/>
  <c r="AB63" i="16" s="1"/>
  <c r="AA63" i="16" l="1"/>
  <c r="AC63" i="19"/>
  <c r="Y63" i="16"/>
  <c r="Z63" i="16"/>
  <c r="AF63" i="16"/>
  <c r="U64" i="16"/>
  <c r="AF64" i="16"/>
  <c r="Z64" i="16"/>
  <c r="Y64" i="16"/>
  <c r="AC64" i="19"/>
  <c r="AA64" i="16"/>
  <c r="V64" i="16" l="1"/>
  <c r="X65" i="16" s="1"/>
  <c r="AB65" i="16" s="1"/>
  <c r="W64" i="16"/>
  <c r="U65" i="16" l="1"/>
  <c r="Y65" i="16"/>
  <c r="AC65" i="19"/>
  <c r="AF65" i="16"/>
  <c r="Z65" i="16"/>
  <c r="AA65" i="16"/>
  <c r="V65" i="16" l="1"/>
  <c r="X66" i="16" s="1"/>
  <c r="AB66" i="16" s="1"/>
  <c r="W65" i="16"/>
  <c r="AC66" i="19" l="1"/>
  <c r="Z66" i="16"/>
  <c r="AA66" i="16"/>
  <c r="Y66" i="16"/>
  <c r="U66" i="16"/>
  <c r="V66" i="16" s="1"/>
  <c r="X67" i="16" s="1"/>
  <c r="AB67" i="16" s="1"/>
  <c r="AF66" i="16"/>
  <c r="W66" i="16"/>
  <c r="U67" i="16" l="1"/>
  <c r="AF67" i="16"/>
  <c r="AC67" i="19"/>
  <c r="AA67" i="16"/>
  <c r="Y67" i="16"/>
  <c r="Z67" i="16"/>
  <c r="V67" i="16" l="1"/>
  <c r="W67" i="16"/>
  <c r="W21" i="19"/>
  <c r="V21" i="19" l="1"/>
  <c r="AG21" i="19"/>
  <c r="U21" i="19"/>
  <c r="V20" i="19"/>
  <c r="U20" i="19"/>
  <c r="AG20" i="19"/>
  <c r="Q22" i="19" l="1"/>
  <c r="R22" i="19" l="1"/>
  <c r="T23" i="19" s="1"/>
  <c r="S22" i="19"/>
  <c r="AG22" i="19"/>
  <c r="W22" i="19"/>
  <c r="U22" i="19"/>
  <c r="V22" i="19"/>
  <c r="Q23" i="19" l="1"/>
  <c r="AG23" i="19"/>
  <c r="R23" i="19" l="1"/>
  <c r="T24" i="19" s="1"/>
  <c r="S23" i="19"/>
  <c r="U23" i="19"/>
  <c r="W23" i="19"/>
  <c r="V23" i="19"/>
  <c r="Q24" i="19" l="1"/>
  <c r="AG24" i="19"/>
  <c r="W24" i="19"/>
  <c r="V24" i="19"/>
  <c r="U24" i="19"/>
  <c r="R24" i="19" l="1"/>
  <c r="T25" i="19" s="1"/>
  <c r="S24" i="19"/>
  <c r="Q25" i="19" l="1"/>
  <c r="R25" i="19" l="1"/>
  <c r="T26" i="19" s="1"/>
  <c r="AG25" i="19"/>
  <c r="W25" i="19"/>
  <c r="U25" i="19"/>
  <c r="V25" i="19"/>
  <c r="S25" i="19"/>
  <c r="W26" i="19" l="1"/>
  <c r="U26" i="19"/>
  <c r="AG26" i="19"/>
  <c r="V26" i="19"/>
  <c r="Q26" i="19"/>
  <c r="S26" i="19" l="1"/>
  <c r="R26" i="19"/>
  <c r="T27" i="19" s="1"/>
  <c r="Q27" i="19"/>
  <c r="R27" i="19" l="1"/>
  <c r="T28" i="19" s="1"/>
  <c r="S27" i="19"/>
  <c r="V27" i="19"/>
  <c r="W27" i="19"/>
  <c r="AG27" i="19"/>
  <c r="U27" i="19"/>
  <c r="U28" i="19" l="1"/>
  <c r="V28" i="19"/>
  <c r="W28" i="19"/>
  <c r="AG28" i="19"/>
  <c r="Q28" i="19"/>
  <c r="R28" i="19" l="1"/>
  <c r="T29" i="19" s="1"/>
  <c r="S28" i="19"/>
  <c r="Q29" i="19" l="1"/>
  <c r="R29" i="19" l="1"/>
  <c r="T30" i="19" s="1"/>
  <c r="W29" i="19"/>
  <c r="AG29" i="19"/>
  <c r="V29" i="19"/>
  <c r="U29" i="19"/>
  <c r="S29" i="19"/>
  <c r="U30" i="19" l="1"/>
  <c r="AG30" i="19"/>
  <c r="W30" i="19"/>
  <c r="V30" i="19"/>
  <c r="Q30" i="19"/>
  <c r="S30" i="19" l="1"/>
  <c r="R30" i="19"/>
  <c r="T31" i="19" s="1"/>
  <c r="V31" i="19" l="1"/>
  <c r="W31" i="19"/>
  <c r="U31" i="19"/>
  <c r="AG31" i="19"/>
  <c r="Q31" i="19"/>
  <c r="R31" i="19" l="1"/>
  <c r="T32" i="19" s="1"/>
  <c r="S31" i="19"/>
  <c r="W32" i="19" l="1"/>
  <c r="U32" i="19"/>
  <c r="AG32" i="19"/>
  <c r="V32" i="19"/>
  <c r="Q32" i="19"/>
  <c r="R32" i="19" l="1"/>
  <c r="T33" i="19" s="1"/>
  <c r="S32" i="19"/>
  <c r="W33" i="19" l="1"/>
  <c r="U33" i="19"/>
  <c r="AG33" i="19"/>
  <c r="V33" i="19"/>
  <c r="Q33" i="19"/>
  <c r="R33" i="19" l="1"/>
  <c r="T34" i="19" s="1"/>
  <c r="S33" i="19"/>
  <c r="V34" i="19" l="1"/>
  <c r="W34" i="19"/>
  <c r="AG34" i="19"/>
  <c r="U34" i="19"/>
  <c r="Q34" i="19"/>
  <c r="R34" i="19" l="1"/>
  <c r="T35" i="19" s="1"/>
  <c r="S34" i="19"/>
  <c r="W35" i="19" l="1"/>
  <c r="U35" i="19"/>
  <c r="AG35" i="19"/>
  <c r="V35" i="19"/>
  <c r="Q35" i="19"/>
  <c r="R35" i="19" l="1"/>
  <c r="T36" i="19" s="1"/>
  <c r="S35" i="19"/>
  <c r="W36" i="19" l="1"/>
  <c r="V36" i="19"/>
  <c r="AG36" i="19"/>
  <c r="U36" i="19"/>
  <c r="Q36" i="19"/>
  <c r="R36" i="19" l="1"/>
  <c r="T37" i="19" s="1"/>
  <c r="S36" i="19"/>
  <c r="Q37" i="19" l="1"/>
  <c r="R37" i="19" l="1"/>
  <c r="T38" i="19" s="1"/>
  <c r="V37" i="19"/>
  <c r="U37" i="19"/>
  <c r="W37" i="19"/>
  <c r="AG37" i="19"/>
  <c r="S37" i="19"/>
  <c r="W38" i="19" l="1"/>
  <c r="AG38" i="19"/>
  <c r="V38" i="19"/>
  <c r="U38" i="19"/>
  <c r="Q38" i="19"/>
  <c r="R38" i="19" l="1"/>
  <c r="T39" i="19" s="1"/>
  <c r="S38" i="19"/>
  <c r="U39" i="19" l="1"/>
  <c r="W39" i="19"/>
  <c r="AG39" i="19"/>
  <c r="V39" i="19"/>
  <c r="Q39" i="19"/>
  <c r="R39" i="19" l="1"/>
  <c r="T40" i="19" s="1"/>
  <c r="S39" i="19"/>
  <c r="W40" i="19" l="1"/>
  <c r="V40" i="19"/>
  <c r="U40" i="19"/>
  <c r="AG40" i="19"/>
  <c r="Q40" i="19"/>
  <c r="R40" i="19" l="1"/>
  <c r="T41" i="19" s="1"/>
  <c r="S40" i="19"/>
  <c r="Q41" i="19" l="1"/>
  <c r="R41" i="19" l="1"/>
  <c r="T42" i="19" s="1"/>
  <c r="V41" i="19"/>
  <c r="U41" i="19"/>
  <c r="AG41" i="19"/>
  <c r="W41" i="19"/>
  <c r="S41" i="19"/>
  <c r="W42" i="19" l="1"/>
  <c r="AG42" i="19"/>
  <c r="U42" i="19"/>
  <c r="V42" i="19"/>
  <c r="Q42" i="19"/>
  <c r="R42" i="19" l="1"/>
  <c r="T43" i="19" s="1"/>
  <c r="S42" i="19"/>
  <c r="Q43" i="19" l="1"/>
  <c r="R43" i="19" l="1"/>
  <c r="T44" i="19" s="1"/>
  <c r="S43" i="19"/>
  <c r="W43" i="19"/>
  <c r="U43" i="19"/>
  <c r="AG43" i="19"/>
  <c r="V43" i="19"/>
  <c r="Q44" i="19" l="1"/>
  <c r="R44" i="19" l="1"/>
  <c r="T45" i="19" s="1"/>
  <c r="S44" i="19"/>
  <c r="W44" i="19"/>
  <c r="U44" i="19"/>
  <c r="AG44" i="19"/>
  <c r="V44" i="19"/>
  <c r="Q45" i="19" l="1"/>
  <c r="R45" i="19" l="1"/>
  <c r="T46" i="19" s="1"/>
  <c r="S45" i="19"/>
  <c r="W45" i="19"/>
  <c r="U45" i="19"/>
  <c r="V45" i="19"/>
  <c r="AG45" i="19"/>
  <c r="Q46" i="19" l="1"/>
  <c r="R46" i="19" l="1"/>
  <c r="T47" i="19" s="1"/>
  <c r="S46" i="19"/>
  <c r="W46" i="19"/>
  <c r="AG46" i="19"/>
  <c r="U46" i="19"/>
  <c r="V46" i="19"/>
  <c r="W47" i="19" l="1"/>
  <c r="V47" i="19"/>
  <c r="AG47" i="19"/>
  <c r="U47" i="19"/>
  <c r="Q47" i="19"/>
  <c r="R47" i="19" l="1"/>
  <c r="T48" i="19" s="1"/>
  <c r="S47" i="19"/>
  <c r="AG48" i="19" l="1"/>
  <c r="U48" i="19"/>
  <c r="W48" i="19"/>
  <c r="V48" i="19"/>
  <c r="Q48" i="19"/>
  <c r="R48" i="19" l="1"/>
  <c r="T49" i="19" s="1"/>
  <c r="S48" i="19"/>
  <c r="Q49" i="19" l="1"/>
  <c r="R49" i="19" l="1"/>
  <c r="T50" i="19" s="1"/>
  <c r="S49" i="19"/>
  <c r="W49" i="19"/>
  <c r="V49" i="19"/>
  <c r="AG49" i="19"/>
  <c r="U49" i="19"/>
  <c r="V50" i="19" l="1"/>
  <c r="U50" i="19"/>
  <c r="AG50" i="19"/>
  <c r="W50" i="19"/>
  <c r="Q50" i="19"/>
  <c r="R50" i="19" l="1"/>
  <c r="T51" i="19" s="1"/>
  <c r="S50" i="19"/>
  <c r="V51" i="19" l="1"/>
  <c r="AG51" i="19"/>
  <c r="U51" i="19"/>
  <c r="W51" i="19"/>
  <c r="Q51" i="19"/>
  <c r="R51" i="19" l="1"/>
  <c r="T52" i="19" s="1"/>
  <c r="S51" i="19"/>
  <c r="W52" i="19" l="1"/>
  <c r="U52" i="19"/>
  <c r="AG52" i="19"/>
  <c r="V52" i="19"/>
  <c r="Q52" i="19"/>
  <c r="R52" i="19" l="1"/>
  <c r="T53" i="19" s="1"/>
  <c r="S52" i="19"/>
  <c r="W53" i="19" l="1"/>
  <c r="U53" i="19"/>
  <c r="AG53" i="19"/>
  <c r="V53" i="19"/>
  <c r="Q53" i="19"/>
  <c r="R53" i="19" l="1"/>
  <c r="T54" i="19" s="1"/>
  <c r="S53" i="19"/>
  <c r="Q54" i="19" l="1"/>
  <c r="R54" i="19" l="1"/>
  <c r="T55" i="19" s="1"/>
  <c r="S54" i="19"/>
  <c r="W54" i="19"/>
  <c r="V54" i="19"/>
  <c r="U54" i="19"/>
  <c r="AG54" i="19"/>
  <c r="Q55" i="19" l="1"/>
  <c r="R55" i="19" s="1"/>
  <c r="W55" i="19"/>
  <c r="AG55" i="19"/>
  <c r="V55" i="19"/>
  <c r="U55" i="19"/>
  <c r="S55" i="19" l="1"/>
  <c r="Q56" i="19"/>
  <c r="R56" i="19" s="1"/>
  <c r="T56" i="19"/>
  <c r="W56" i="19" s="1"/>
  <c r="V56" i="19"/>
  <c r="U56" i="19"/>
  <c r="AG56" i="19"/>
  <c r="S56" i="19" l="1"/>
  <c r="T57" i="19"/>
  <c r="Q57" i="19"/>
  <c r="R57" i="19" s="1"/>
  <c r="Q58" i="19" s="1"/>
  <c r="W57" i="19"/>
  <c r="V57" i="19"/>
  <c r="U57" i="19"/>
  <c r="AG57" i="19"/>
  <c r="S57" i="19"/>
  <c r="T58" i="19" l="1"/>
  <c r="R58" i="19"/>
  <c r="T59" i="19" s="1"/>
  <c r="W58" i="19"/>
  <c r="U58" i="19"/>
  <c r="V58" i="19"/>
  <c r="AG58" i="19"/>
  <c r="Q59" i="19"/>
  <c r="S58" i="19"/>
  <c r="R59" i="19" l="1"/>
  <c r="T60" i="19" s="1"/>
  <c r="W59" i="19"/>
  <c r="AG59" i="19"/>
  <c r="U59" i="19"/>
  <c r="V59" i="19"/>
  <c r="Q60" i="19"/>
  <c r="S59" i="19"/>
  <c r="R60" i="19" l="1"/>
  <c r="T61" i="19" s="1"/>
  <c r="W60" i="19"/>
  <c r="V60" i="19"/>
  <c r="AG60" i="19"/>
  <c r="U60" i="19"/>
  <c r="Q61" i="19"/>
  <c r="S60" i="19"/>
  <c r="R61" i="19" l="1"/>
  <c r="T62" i="19" s="1"/>
  <c r="W61" i="19"/>
  <c r="U61" i="19"/>
  <c r="V61" i="19"/>
  <c r="AG61" i="19"/>
  <c r="S61" i="19"/>
  <c r="Q62" i="19"/>
  <c r="R62" i="19" l="1"/>
  <c r="T63" i="19" s="1"/>
  <c r="W62" i="19"/>
  <c r="V62" i="19"/>
  <c r="U62" i="19"/>
  <c r="AG62" i="19"/>
  <c r="S62" i="19"/>
  <c r="Q63" i="19"/>
  <c r="R63" i="19" l="1"/>
  <c r="T64" i="19" s="1"/>
  <c r="S63" i="19"/>
  <c r="Q64" i="19"/>
  <c r="W63" i="19"/>
  <c r="AG63" i="19"/>
  <c r="U63" i="19"/>
  <c r="V63" i="19"/>
  <c r="R64" i="19" l="1"/>
  <c r="T65" i="19" s="1"/>
  <c r="S64" i="19"/>
  <c r="Q65" i="19"/>
  <c r="W64" i="19"/>
  <c r="AG64" i="19"/>
  <c r="V64" i="19"/>
  <c r="U64" i="19"/>
  <c r="R65" i="19" l="1"/>
  <c r="T66" i="19" s="1"/>
  <c r="S65" i="19"/>
  <c r="Q66" i="19"/>
  <c r="W65" i="19"/>
  <c r="U65" i="19"/>
  <c r="AG65" i="19"/>
  <c r="V65" i="19"/>
  <c r="R66" i="19" l="1"/>
  <c r="T67" i="19" s="1"/>
  <c r="W66" i="19"/>
  <c r="AG66" i="19"/>
  <c r="U66" i="19"/>
  <c r="V66" i="19"/>
  <c r="S66" i="19"/>
  <c r="Q67" i="19"/>
  <c r="R67" i="19" l="1"/>
  <c r="T68" i="19" s="1"/>
  <c r="S67" i="19"/>
  <c r="W67" i="19"/>
  <c r="AG67" i="19"/>
  <c r="V67" i="19"/>
  <c r="U67" i="19"/>
  <c r="Q68" i="19" l="1"/>
  <c r="R68" i="19" s="1"/>
  <c r="W68" i="19"/>
  <c r="U68" i="19"/>
  <c r="AG68" i="19"/>
  <c r="V68" i="19"/>
  <c r="S68" i="19" l="1"/>
  <c r="T69" i="19"/>
  <c r="Q69" i="19"/>
  <c r="S69" i="19" s="1"/>
  <c r="W69" i="19"/>
  <c r="V69" i="19"/>
  <c r="AG69" i="19"/>
  <c r="U69" i="19"/>
  <c r="R69" i="19" l="1"/>
  <c r="T70" i="19" l="1"/>
  <c r="Q70" i="19"/>
  <c r="R70" i="19" l="1"/>
  <c r="S70" i="19"/>
  <c r="W70" i="19"/>
  <c r="V70" i="19"/>
  <c r="AG70" i="19"/>
  <c r="U70" i="19"/>
  <c r="T71" i="19" l="1"/>
  <c r="Q71" i="19"/>
  <c r="R71" i="19" l="1"/>
  <c r="T72" i="19" s="1"/>
  <c r="S71" i="19"/>
  <c r="Q72" i="19"/>
  <c r="W71" i="19"/>
  <c r="V71" i="19"/>
  <c r="U71" i="19"/>
  <c r="AG71" i="19"/>
  <c r="S72" i="19" l="1"/>
  <c r="R72" i="19"/>
  <c r="T73" i="19" s="1"/>
  <c r="AG72" i="19"/>
  <c r="W72" i="19"/>
  <c r="U72" i="19"/>
  <c r="V72" i="19"/>
  <c r="W73" i="19" l="1"/>
  <c r="V73" i="19"/>
  <c r="AG73" i="19"/>
  <c r="U73" i="19"/>
  <c r="Q73" i="19"/>
  <c r="R73" i="19" l="1"/>
  <c r="Q74" i="19" s="1"/>
  <c r="S73" i="19"/>
  <c r="T74" i="19" l="1"/>
  <c r="R74" i="19"/>
  <c r="T75" i="19" s="1"/>
  <c r="S74" i="19"/>
  <c r="Q75" i="19"/>
  <c r="AG74" i="19"/>
  <c r="U74" i="19"/>
  <c r="V74" i="19"/>
  <c r="W74" i="19"/>
  <c r="R75" i="19" l="1"/>
  <c r="T76" i="19" s="1"/>
  <c r="S75" i="19"/>
  <c r="Q76" i="19"/>
  <c r="U75" i="19"/>
  <c r="W75" i="19"/>
  <c r="AG75" i="19"/>
  <c r="V75" i="19"/>
  <c r="S76" i="19" l="1"/>
  <c r="R76" i="19"/>
  <c r="Q77" i="19" s="1"/>
  <c r="W76" i="19"/>
  <c r="V76" i="19"/>
  <c r="AG76" i="19"/>
  <c r="U76" i="19"/>
  <c r="S77" i="19" l="1"/>
  <c r="R77" i="19"/>
  <c r="T78" i="19" s="1"/>
  <c r="Q78" i="19"/>
  <c r="T77" i="19"/>
  <c r="U78" i="19" l="1"/>
  <c r="W78" i="19"/>
  <c r="V78" i="19"/>
  <c r="AG78" i="19"/>
  <c r="W77" i="19"/>
  <c r="U77" i="19"/>
  <c r="AG77" i="19"/>
  <c r="V77" i="19"/>
  <c r="S78" i="19"/>
  <c r="R78" i="19"/>
  <c r="T79" i="19" s="1"/>
  <c r="Q79" i="19" l="1"/>
  <c r="S79" i="19" s="1"/>
  <c r="AG79" i="19"/>
  <c r="U79" i="19"/>
  <c r="W79" i="19"/>
  <c r="V79" i="19"/>
  <c r="R79" i="19" l="1"/>
  <c r="T80" i="19" l="1"/>
  <c r="Q80" i="19"/>
  <c r="S80" i="19" l="1"/>
  <c r="R80" i="19"/>
  <c r="Q81" i="19"/>
  <c r="AG80" i="19"/>
  <c r="V80" i="19"/>
  <c r="U80" i="19"/>
  <c r="W80" i="19"/>
  <c r="R81" i="19" l="1"/>
  <c r="S81" i="19"/>
  <c r="T81" i="19"/>
  <c r="W81" i="19" l="1"/>
  <c r="U81" i="19"/>
  <c r="AG81" i="19"/>
  <c r="V81" i="19"/>
  <c r="T82" i="19"/>
  <c r="Q82" i="19"/>
  <c r="S82" i="19" l="1"/>
  <c r="R82" i="19"/>
  <c r="AG82" i="19"/>
  <c r="U82" i="19"/>
  <c r="W82" i="19"/>
  <c r="V82" i="19"/>
  <c r="Q83" i="19"/>
  <c r="S83" i="19" s="1"/>
  <c r="R83" i="19" l="1"/>
  <c r="T84" i="19" s="1"/>
  <c r="Q84" i="19"/>
  <c r="T83" i="19"/>
  <c r="W84" i="19"/>
  <c r="U84" i="19"/>
  <c r="V84" i="19"/>
  <c r="AG84" i="19"/>
  <c r="S84" i="19"/>
  <c r="R84" i="19"/>
  <c r="T85" i="19" s="1"/>
  <c r="Q85" i="19"/>
  <c r="U83" i="19" l="1"/>
  <c r="W83" i="19"/>
  <c r="AG83" i="19"/>
  <c r="V83" i="19"/>
  <c r="AG85" i="19"/>
  <c r="W85" i="19"/>
  <c r="U85" i="19"/>
  <c r="V85" i="19"/>
  <c r="S85" i="19"/>
  <c r="R85" i="19"/>
  <c r="Q86" i="19" s="1"/>
  <c r="T86" i="19" l="1"/>
  <c r="U86" i="19" s="1"/>
  <c r="V86" i="19"/>
  <c r="AG86" i="19"/>
  <c r="S86" i="19"/>
  <c r="R86" i="19"/>
  <c r="Q87" i="19" s="1"/>
  <c r="T87" i="19" l="1"/>
  <c r="W86" i="19"/>
  <c r="R87" i="19"/>
  <c r="T88" i="19" s="1"/>
  <c r="S87" i="19"/>
  <c r="Q88" i="19"/>
  <c r="AG87" i="19"/>
  <c r="U87" i="19"/>
  <c r="W87" i="19"/>
  <c r="V87" i="19"/>
  <c r="S88" i="19" l="1"/>
  <c r="R88" i="19"/>
  <c r="Q89" i="19"/>
  <c r="U88" i="19"/>
  <c r="V88" i="19"/>
  <c r="AG88" i="19"/>
  <c r="W88" i="19"/>
  <c r="T89" i="19" l="1"/>
  <c r="S89" i="19"/>
  <c r="R89" i="19"/>
  <c r="T90" i="19" s="1"/>
  <c r="Q90" i="19"/>
  <c r="AG89" i="19"/>
  <c r="W89" i="19"/>
  <c r="U89" i="19"/>
  <c r="V89" i="19"/>
  <c r="R90" i="19" l="1"/>
  <c r="S90" i="19"/>
  <c r="Q91" i="19"/>
  <c r="W90" i="19"/>
  <c r="V90" i="19"/>
  <c r="AG90" i="19"/>
  <c r="U90" i="19"/>
  <c r="T91" i="19" l="1"/>
  <c r="S91" i="19"/>
  <c r="R91" i="19"/>
  <c r="AG91" i="19"/>
  <c r="U91" i="19"/>
  <c r="W91" i="19"/>
  <c r="V91" i="19"/>
  <c r="T92" i="19" l="1"/>
  <c r="Q92" i="19"/>
  <c r="R92" i="19" l="1"/>
  <c r="T93" i="19" s="1"/>
  <c r="S92" i="19"/>
  <c r="W92" i="19"/>
  <c r="AG92" i="19"/>
  <c r="V92" i="19"/>
  <c r="U92" i="19"/>
  <c r="Q93" i="19" l="1"/>
  <c r="R93" i="19" s="1"/>
  <c r="W93" i="19"/>
  <c r="U93" i="19"/>
  <c r="V93" i="19"/>
  <c r="AG93" i="19"/>
  <c r="S93" i="19" l="1"/>
  <c r="T94" i="19"/>
  <c r="Q94" i="19"/>
  <c r="S94" i="19" l="1"/>
  <c r="R94" i="19"/>
  <c r="U94" i="19"/>
  <c r="AG94" i="19"/>
  <c r="V94" i="19"/>
  <c r="W94" i="19"/>
  <c r="T95" i="19" l="1"/>
  <c r="Q95" i="19"/>
  <c r="R95" i="19" l="1"/>
  <c r="Q96" i="19" s="1"/>
  <c r="S95" i="19"/>
  <c r="W95" i="19"/>
  <c r="U95" i="19"/>
  <c r="AG95" i="19"/>
  <c r="V95" i="19"/>
  <c r="T96" i="19" l="1"/>
  <c r="R96" i="19"/>
  <c r="Q97" i="19" s="1"/>
  <c r="R97" i="19" s="1"/>
  <c r="T98" i="19" s="1"/>
  <c r="S96" i="19"/>
  <c r="W96" i="19"/>
  <c r="AG96" i="19"/>
  <c r="V96" i="19"/>
  <c r="U96" i="19"/>
  <c r="S97" i="19" l="1"/>
  <c r="T97" i="19"/>
  <c r="W97" i="19"/>
  <c r="AG97" i="19"/>
  <c r="V97" i="19"/>
  <c r="U97" i="19"/>
  <c r="V98" i="19"/>
  <c r="W98" i="19"/>
  <c r="U98" i="19"/>
  <c r="AG98" i="19"/>
  <c r="Q98" i="19"/>
  <c r="R98" i="19" l="1"/>
  <c r="S98" i="19"/>
  <c r="Q99" i="19"/>
  <c r="T99" i="19" l="1"/>
  <c r="R99" i="19"/>
  <c r="T100" i="19" s="1"/>
  <c r="S99" i="19"/>
  <c r="W99" i="19"/>
  <c r="U99" i="19"/>
  <c r="AG99" i="19"/>
  <c r="V99" i="19"/>
  <c r="W100" i="19" l="1"/>
  <c r="U100" i="19"/>
  <c r="V100" i="19"/>
  <c r="AG100" i="19"/>
  <c r="Q100" i="19"/>
  <c r="R100" i="19" l="1"/>
  <c r="S100" i="19"/>
  <c r="T101" i="19" l="1"/>
  <c r="Q101" i="19"/>
  <c r="R101" i="19" s="1"/>
  <c r="T102" i="19" s="1"/>
  <c r="W101" i="19"/>
  <c r="AG101" i="19"/>
  <c r="U101" i="19"/>
  <c r="V101" i="19"/>
  <c r="S101" i="19" l="1"/>
  <c r="W102" i="19"/>
  <c r="V102" i="19"/>
  <c r="AG102" i="19"/>
  <c r="U102" i="19"/>
  <c r="Q102" i="19"/>
  <c r="R102" i="19" l="1"/>
  <c r="S102" i="19"/>
  <c r="T103" i="19" l="1"/>
  <c r="W103" i="19" s="1"/>
  <c r="V103" i="19"/>
  <c r="AG103" i="19"/>
  <c r="U103" i="19"/>
  <c r="Q103" i="19"/>
  <c r="R103" i="19" l="1"/>
  <c r="S103" i="19"/>
  <c r="Q104" i="19"/>
  <c r="T104" i="19" l="1"/>
  <c r="R104" i="19"/>
  <c r="T105" i="19" s="1"/>
  <c r="S104" i="19"/>
  <c r="W104" i="19"/>
  <c r="AG104" i="19"/>
  <c r="U104" i="19"/>
  <c r="V104" i="19"/>
  <c r="AJ11" i="19" l="1"/>
  <c r="Q105" i="19"/>
  <c r="R105" i="19" s="1"/>
  <c r="AB104" i="19" s="1"/>
  <c r="AI8" i="19"/>
  <c r="AJ8" i="19"/>
  <c r="AK8" i="19"/>
  <c r="W105" i="19"/>
  <c r="AI11" i="19" s="1"/>
  <c r="V105" i="19"/>
  <c r="AG105" i="19"/>
  <c r="U105" i="19"/>
  <c r="T106" i="19" l="1"/>
  <c r="V106" i="19" s="1"/>
  <c r="AB31" i="19"/>
  <c r="AB51" i="19"/>
  <c r="AB46" i="19"/>
  <c r="AB56" i="19"/>
  <c r="AB33" i="19"/>
  <c r="AB34" i="19"/>
  <c r="AB65" i="19"/>
  <c r="AB45" i="19"/>
  <c r="AB39" i="19"/>
  <c r="AB18" i="19"/>
  <c r="AB55" i="19"/>
  <c r="AB57" i="19"/>
  <c r="AB50" i="19"/>
  <c r="AB69" i="19"/>
  <c r="AB59" i="19"/>
  <c r="AB32" i="19"/>
  <c r="AB27" i="19"/>
  <c r="AB73" i="19"/>
  <c r="AB19" i="19"/>
  <c r="AB16" i="19"/>
  <c r="AB64" i="19"/>
  <c r="AB25" i="19"/>
  <c r="AB82" i="19"/>
  <c r="AB70" i="19"/>
  <c r="AB74" i="19"/>
  <c r="AB62" i="19"/>
  <c r="AB79" i="19"/>
  <c r="AB78" i="19"/>
  <c r="AB38" i="19"/>
  <c r="AB53" i="19"/>
  <c r="AB37" i="19"/>
  <c r="AB52" i="19"/>
  <c r="AB48" i="19"/>
  <c r="AB26" i="19"/>
  <c r="AB17" i="19"/>
  <c r="AB61" i="19"/>
  <c r="AB54" i="19"/>
  <c r="AB22" i="19"/>
  <c r="AB58" i="19"/>
  <c r="AB21" i="19"/>
  <c r="AB23" i="19"/>
  <c r="AB43" i="19"/>
  <c r="AB35" i="19"/>
  <c r="AB30" i="19"/>
  <c r="AB71" i="19"/>
  <c r="AB40" i="19"/>
  <c r="AB20" i="19"/>
  <c r="AB49" i="19"/>
  <c r="AB60" i="19"/>
  <c r="AB24" i="19"/>
  <c r="AB77" i="19"/>
  <c r="AB76" i="19"/>
  <c r="AB36" i="19"/>
  <c r="AB47" i="19"/>
  <c r="AB66" i="19"/>
  <c r="AB72" i="19"/>
  <c r="AB44" i="19"/>
  <c r="AB41" i="19"/>
  <c r="AB42" i="19"/>
  <c r="AB68" i="19"/>
  <c r="AB28" i="19"/>
  <c r="AB80" i="19"/>
  <c r="AB63" i="19"/>
  <c r="AB75" i="19"/>
  <c r="AB29" i="19"/>
  <c r="AB67" i="19"/>
  <c r="AB85" i="19"/>
  <c r="AB84" i="19"/>
  <c r="AB81" i="19"/>
  <c r="AB83" i="19"/>
  <c r="AB87" i="19"/>
  <c r="AB86" i="19"/>
  <c r="AB88" i="19"/>
  <c r="AB89" i="19"/>
  <c r="AB90" i="19"/>
  <c r="AB93" i="19"/>
  <c r="AB92" i="19"/>
  <c r="AB91" i="19"/>
  <c r="AB94" i="19"/>
  <c r="AB95" i="19"/>
  <c r="AB98" i="19"/>
  <c r="AB97" i="19"/>
  <c r="AB96" i="19"/>
  <c r="AB99" i="19"/>
  <c r="AB100" i="19"/>
  <c r="AB103" i="19"/>
  <c r="AB101" i="19"/>
  <c r="AB102" i="19"/>
  <c r="AB105" i="19"/>
  <c r="S105" i="19"/>
  <c r="Q106" i="19"/>
  <c r="S106" i="19" s="1"/>
  <c r="U106" i="19" l="1"/>
  <c r="AG106" i="19"/>
  <c r="R106" i="19"/>
  <c r="C106" i="19"/>
  <c r="AG118" i="19"/>
  <c r="C118" i="19" s="1"/>
  <c r="E106" i="19"/>
  <c r="E118" i="19"/>
  <c r="D106" i="19"/>
  <c r="D118" i="19"/>
  <c r="T107" i="19" l="1"/>
  <c r="AB106" i="19"/>
  <c r="AG107" i="19"/>
  <c r="V107" i="19"/>
  <c r="U107" i="19"/>
  <c r="P107" i="19" l="1"/>
  <c r="AG119" i="19"/>
  <c r="C119" i="19" s="1"/>
  <c r="C107" i="19"/>
  <c r="E119" i="19"/>
  <c r="D119" i="19"/>
  <c r="E107" i="19"/>
  <c r="D107" i="19"/>
  <c r="Q107" i="19" l="1"/>
  <c r="R107" i="19" s="1"/>
  <c r="T108" i="19" l="1"/>
  <c r="AB107" i="19"/>
  <c r="S107" i="19"/>
  <c r="P108" i="19"/>
  <c r="Q108" i="19" s="1"/>
  <c r="V108" i="19"/>
  <c r="U108" i="19"/>
  <c r="AG108" i="19"/>
  <c r="AG120" i="19" l="1"/>
  <c r="C120" i="19" s="1"/>
  <c r="C108" i="19"/>
  <c r="S108" i="19"/>
  <c r="R108" i="19"/>
  <c r="D120" i="19"/>
  <c r="E120" i="19"/>
  <c r="D108" i="19"/>
  <c r="E108" i="19"/>
  <c r="T109" i="19" l="1"/>
  <c r="AB108" i="19"/>
  <c r="P109" i="19"/>
  <c r="Q109" i="19" s="1"/>
  <c r="AG109" i="19"/>
  <c r="U109" i="19"/>
  <c r="V109" i="19"/>
  <c r="C109" i="19" l="1"/>
  <c r="AG121" i="19"/>
  <c r="C121" i="19" s="1"/>
  <c r="S109" i="19"/>
  <c r="R109" i="19"/>
  <c r="D109" i="19"/>
  <c r="E109" i="19"/>
  <c r="D121" i="19"/>
  <c r="E121" i="19"/>
  <c r="T110" i="19" l="1"/>
  <c r="P110" i="19" s="1"/>
  <c r="Q110" i="19" s="1"/>
  <c r="AB109" i="19"/>
  <c r="V110" i="19" l="1"/>
  <c r="U110" i="19"/>
  <c r="AG110" i="19"/>
  <c r="C110" i="19" s="1"/>
  <c r="S110" i="19"/>
  <c r="R110" i="19"/>
  <c r="D110" i="19"/>
  <c r="E110" i="19"/>
  <c r="AG122" i="19" l="1"/>
  <c r="C122" i="19" s="1"/>
  <c r="T111" i="19"/>
  <c r="AB110" i="19"/>
  <c r="P111" i="19"/>
  <c r="Q111" i="19" s="1"/>
  <c r="V111" i="19"/>
  <c r="U111" i="19"/>
  <c r="AG111" i="19"/>
  <c r="E122" i="19"/>
  <c r="D122" i="19"/>
  <c r="C111" i="19" l="1"/>
  <c r="AG123" i="19"/>
  <c r="C123" i="19" s="1"/>
  <c r="S111" i="19"/>
  <c r="R111" i="19"/>
  <c r="E111" i="19"/>
  <c r="D111" i="19"/>
  <c r="E123" i="19"/>
  <c r="D123" i="19"/>
  <c r="T112" i="19" l="1"/>
  <c r="AB111" i="19"/>
  <c r="P112" i="19"/>
  <c r="Q112" i="19" s="1"/>
  <c r="U112" i="19"/>
  <c r="V112" i="19"/>
  <c r="AG112" i="19"/>
  <c r="C112" i="19" s="1"/>
  <c r="E112" i="19"/>
  <c r="D112" i="19"/>
  <c r="S112" i="19" l="1"/>
  <c r="R112" i="19"/>
  <c r="T113" i="19" l="1"/>
  <c r="AB112" i="19"/>
  <c r="P113" i="19"/>
  <c r="Q113" i="19" s="1"/>
  <c r="AG113" i="19"/>
  <c r="C113" i="19" s="1"/>
  <c r="V113" i="19"/>
  <c r="U113" i="19"/>
  <c r="D113" i="19"/>
  <c r="E113" i="19"/>
  <c r="S113" i="19" l="1"/>
  <c r="R113" i="19"/>
  <c r="T114" i="19" l="1"/>
  <c r="AB113" i="19"/>
  <c r="P114" i="19"/>
  <c r="Q114" i="19" s="1"/>
  <c r="AG114" i="19"/>
  <c r="C114" i="19" s="1"/>
  <c r="V114" i="19"/>
  <c r="U114" i="19"/>
  <c r="E114" i="19"/>
  <c r="D114" i="19"/>
  <c r="S114" i="19" l="1"/>
  <c r="R114" i="19"/>
  <c r="T115" i="19" l="1"/>
  <c r="AB114" i="19"/>
  <c r="P115" i="19"/>
  <c r="Q115" i="19" s="1"/>
  <c r="V115" i="19"/>
  <c r="AG115" i="19"/>
  <c r="C115" i="19" s="1"/>
  <c r="U115" i="19"/>
  <c r="E115" i="19"/>
  <c r="D115" i="19"/>
  <c r="S115" i="19" l="1"/>
  <c r="R115" i="19"/>
  <c r="T116" i="19" l="1"/>
  <c r="AB115" i="19"/>
  <c r="P116" i="19"/>
  <c r="AG116" i="19"/>
  <c r="C116" i="19" s="1"/>
  <c r="U116" i="19"/>
  <c r="V116" i="19"/>
  <c r="D116" i="19"/>
  <c r="E116" i="19"/>
  <c r="Q116" i="19" l="1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5" i="19"/>
  <c r="X54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U68" i="16"/>
  <c r="X68" i="16"/>
  <c r="R116" i="19" l="1"/>
  <c r="T117" i="19" s="1"/>
  <c r="AA68" i="16"/>
  <c r="AB68" i="16"/>
  <c r="S116" i="19"/>
  <c r="AB116" i="19"/>
  <c r="V68" i="16"/>
  <c r="X69" i="16" s="1"/>
  <c r="W68" i="16"/>
  <c r="AC68" i="19"/>
  <c r="AF68" i="16"/>
  <c r="X68" i="19"/>
  <c r="Y68" i="16"/>
  <c r="Z68" i="16"/>
  <c r="P117" i="19" l="1"/>
  <c r="U117" i="19"/>
  <c r="AN4" i="19" s="1"/>
  <c r="AN7" i="19" s="1"/>
  <c r="V117" i="19"/>
  <c r="AO4" i="19" s="1"/>
  <c r="AG117" i="19"/>
  <c r="C117" i="19" s="1"/>
  <c r="Z69" i="16"/>
  <c r="AB69" i="16"/>
  <c r="AA69" i="16"/>
  <c r="AF69" i="16"/>
  <c r="X69" i="19"/>
  <c r="AC69" i="19"/>
  <c r="Y69" i="16"/>
  <c r="U69" i="16"/>
  <c r="V69" i="16" s="1"/>
  <c r="U70" i="16" s="1"/>
  <c r="D117" i="19"/>
  <c r="E117" i="19"/>
  <c r="Q117" i="19" l="1"/>
  <c r="W69" i="16"/>
  <c r="V70" i="16"/>
  <c r="U71" i="16" s="1"/>
  <c r="W70" i="16"/>
  <c r="X70" i="16"/>
  <c r="AB70" i="16" s="1"/>
  <c r="R117" i="19" l="1"/>
  <c r="AB117" i="19" s="1"/>
  <c r="AK11" i="19" s="1"/>
  <c r="S117" i="19"/>
  <c r="V71" i="16"/>
  <c r="U72" i="16" s="1"/>
  <c r="W71" i="16"/>
  <c r="Y70" i="16"/>
  <c r="Z70" i="16"/>
  <c r="AA70" i="16"/>
  <c r="X70" i="19"/>
  <c r="AC70" i="19"/>
  <c r="AF70" i="16"/>
  <c r="X71" i="16"/>
  <c r="AB71" i="16" s="1"/>
  <c r="T118" i="19" l="1"/>
  <c r="X72" i="16"/>
  <c r="AB72" i="16" s="1"/>
  <c r="V72" i="16"/>
  <c r="U73" i="16" s="1"/>
  <c r="W72" i="16"/>
  <c r="X72" i="19"/>
  <c r="AF72" i="16"/>
  <c r="Z72" i="16"/>
  <c r="Y72" i="16"/>
  <c r="AC72" i="19"/>
  <c r="AA72" i="16"/>
  <c r="AA71" i="16"/>
  <c r="Z71" i="16"/>
  <c r="Y71" i="16"/>
  <c r="X71" i="19"/>
  <c r="AC71" i="19"/>
  <c r="AF71" i="16"/>
  <c r="U118" i="19" l="1"/>
  <c r="P118" i="19"/>
  <c r="V118" i="19"/>
  <c r="V73" i="16"/>
  <c r="X74" i="16" s="1"/>
  <c r="AB74" i="16" s="1"/>
  <c r="W73" i="16"/>
  <c r="U74" i="16"/>
  <c r="X73" i="16"/>
  <c r="AB73" i="16" s="1"/>
  <c r="Q118" i="19" l="1"/>
  <c r="R118" i="19" s="1"/>
  <c r="V74" i="16"/>
  <c r="U75" i="16" s="1"/>
  <c r="W74" i="16"/>
  <c r="AA73" i="16"/>
  <c r="Y73" i="16"/>
  <c r="AF73" i="16"/>
  <c r="Z73" i="16"/>
  <c r="X73" i="19"/>
  <c r="AC73" i="19"/>
  <c r="AF74" i="16"/>
  <c r="Y74" i="16"/>
  <c r="AC74" i="19"/>
  <c r="Z74" i="16"/>
  <c r="AA74" i="16"/>
  <c r="X74" i="19"/>
  <c r="S118" i="19" l="1"/>
  <c r="X75" i="16"/>
  <c r="V75" i="16"/>
  <c r="U76" i="16" s="1"/>
  <c r="W75" i="16"/>
  <c r="X75" i="19" l="1"/>
  <c r="AB75" i="16"/>
  <c r="AF75" i="16"/>
  <c r="AA75" i="16"/>
  <c r="Z75" i="16"/>
  <c r="Y75" i="16"/>
  <c r="AC75" i="19"/>
  <c r="V76" i="16"/>
  <c r="U77" i="16" s="1"/>
  <c r="W76" i="16"/>
  <c r="X76" i="16"/>
  <c r="AB76" i="16" s="1"/>
  <c r="V77" i="16" l="1"/>
  <c r="U78" i="16" s="1"/>
  <c r="W77" i="16"/>
  <c r="X77" i="16"/>
  <c r="AB77" i="16" s="1"/>
  <c r="Z76" i="16"/>
  <c r="AC76" i="19"/>
  <c r="AA76" i="16"/>
  <c r="X76" i="19"/>
  <c r="Y76" i="16"/>
  <c r="AF76" i="16"/>
  <c r="V78" i="16" l="1"/>
  <c r="X79" i="16" s="1"/>
  <c r="AB79" i="16" s="1"/>
  <c r="W78" i="16"/>
  <c r="Z77" i="16"/>
  <c r="AA77" i="16"/>
  <c r="Y77" i="16"/>
  <c r="X77" i="19"/>
  <c r="AF77" i="16"/>
  <c r="AC77" i="19"/>
  <c r="X78" i="16"/>
  <c r="AB78" i="16" s="1"/>
  <c r="AF79" i="16" l="1"/>
  <c r="AA79" i="16"/>
  <c r="X79" i="19"/>
  <c r="Z79" i="16"/>
  <c r="Y79" i="16"/>
  <c r="AC79" i="19"/>
  <c r="U79" i="16"/>
  <c r="Z78" i="16"/>
  <c r="AC78" i="19"/>
  <c r="X78" i="19"/>
  <c r="AA78" i="16"/>
  <c r="AF78" i="16"/>
  <c r="Y78" i="16"/>
  <c r="V79" i="16" l="1"/>
  <c r="X80" i="16" s="1"/>
  <c r="AB80" i="16" s="1"/>
  <c r="W79" i="16"/>
  <c r="U80" i="16" l="1"/>
  <c r="V80" i="16" s="1"/>
  <c r="X81" i="16" s="1"/>
  <c r="AB81" i="16" s="1"/>
  <c r="AA80" i="16"/>
  <c r="X80" i="19"/>
  <c r="Z80" i="16"/>
  <c r="Y80" i="16"/>
  <c r="AC80" i="19"/>
  <c r="AF80" i="16"/>
  <c r="W80" i="16" l="1"/>
  <c r="U81" i="16"/>
  <c r="AC81" i="19"/>
  <c r="Y81" i="16"/>
  <c r="Z81" i="16"/>
  <c r="X81" i="19"/>
  <c r="AA81" i="16"/>
  <c r="AF81" i="16"/>
  <c r="V81" i="16" l="1"/>
  <c r="U82" i="16" s="1"/>
  <c r="W81" i="16"/>
  <c r="X82" i="16" l="1"/>
  <c r="V82" i="16"/>
  <c r="W82" i="16"/>
  <c r="AA82" i="16" l="1"/>
  <c r="AB82" i="16"/>
  <c r="X82" i="19"/>
  <c r="AF82" i="16"/>
  <c r="Y82" i="16"/>
  <c r="Z82" i="16"/>
  <c r="AC82" i="19"/>
  <c r="X83" i="16"/>
  <c r="AB83" i="16" s="1"/>
  <c r="U83" i="16"/>
  <c r="X83" i="19" l="1"/>
  <c r="AA83" i="16"/>
  <c r="Z83" i="16"/>
  <c r="AF83" i="16"/>
  <c r="AC83" i="19"/>
  <c r="Y83" i="16"/>
  <c r="V83" i="16"/>
  <c r="U84" i="16" s="1"/>
  <c r="W83" i="16"/>
  <c r="X84" i="16" l="1"/>
  <c r="V84" i="16"/>
  <c r="X85" i="16" s="1"/>
  <c r="W84" i="16"/>
  <c r="Y85" i="16" l="1"/>
  <c r="AB85" i="16"/>
  <c r="X84" i="19"/>
  <c r="AB84" i="16"/>
  <c r="AC84" i="19"/>
  <c r="Z84" i="16"/>
  <c r="Y84" i="16"/>
  <c r="AA84" i="16"/>
  <c r="AF84" i="16"/>
  <c r="AF85" i="16"/>
  <c r="AA85" i="16"/>
  <c r="X85" i="19"/>
  <c r="Z85" i="16"/>
  <c r="U85" i="16"/>
  <c r="AC85" i="19"/>
  <c r="V85" i="16" l="1"/>
  <c r="W85" i="16"/>
  <c r="X86" i="16" l="1"/>
  <c r="AB86" i="16" s="1"/>
  <c r="U86" i="16"/>
  <c r="V86" i="16" l="1"/>
  <c r="X87" i="16" s="1"/>
  <c r="AB87" i="16" s="1"/>
  <c r="W86" i="16"/>
  <c r="Y86" i="16"/>
  <c r="AA86" i="16"/>
  <c r="Z86" i="16"/>
  <c r="AF86" i="16"/>
  <c r="AC86" i="19"/>
  <c r="X86" i="19"/>
  <c r="U87" i="16" l="1"/>
  <c r="V87" i="16" s="1"/>
  <c r="X88" i="16" s="1"/>
  <c r="AB88" i="16" s="1"/>
  <c r="Y87" i="16"/>
  <c r="AF87" i="16"/>
  <c r="Z87" i="16"/>
  <c r="AC87" i="19"/>
  <c r="X87" i="19"/>
  <c r="AA87" i="16"/>
  <c r="W87" i="16" l="1"/>
  <c r="U88" i="16"/>
  <c r="V88" i="16" s="1"/>
  <c r="AF88" i="16"/>
  <c r="AC88" i="19"/>
  <c r="Z88" i="16"/>
  <c r="AA88" i="16"/>
  <c r="X88" i="19"/>
  <c r="Y88" i="16"/>
  <c r="W88" i="16" l="1"/>
  <c r="X89" i="16"/>
  <c r="AB89" i="16" s="1"/>
  <c r="U89" i="16"/>
  <c r="V89" i="16" s="1"/>
  <c r="X90" i="16" s="1"/>
  <c r="AB90" i="16" s="1"/>
  <c r="AA89" i="16"/>
  <c r="AF89" i="16"/>
  <c r="AC89" i="19"/>
  <c r="Y89" i="16"/>
  <c r="Z89" i="16"/>
  <c r="W89" i="16"/>
  <c r="X89" i="19" l="1"/>
  <c r="U90" i="16"/>
  <c r="W90" i="16" s="1"/>
  <c r="AF90" i="16"/>
  <c r="Y90" i="16"/>
  <c r="Z90" i="16"/>
  <c r="AC90" i="19"/>
  <c r="X90" i="19"/>
  <c r="AA90" i="16"/>
  <c r="V90" i="16" l="1"/>
  <c r="X91" i="16" s="1"/>
  <c r="AC91" i="19" s="1"/>
  <c r="AA91" i="16" l="1"/>
  <c r="Z91" i="16"/>
  <c r="AB91" i="16"/>
  <c r="AF91" i="16"/>
  <c r="X91" i="19"/>
  <c r="Y91" i="16"/>
  <c r="U91" i="16"/>
  <c r="V91" i="16" s="1"/>
  <c r="X92" i="16" s="1"/>
  <c r="AC92" i="19" s="1"/>
  <c r="AF92" i="16" l="1"/>
  <c r="X92" i="19"/>
  <c r="AA92" i="16"/>
  <c r="AB92" i="16"/>
  <c r="W91" i="16"/>
  <c r="Y92" i="16"/>
  <c r="Z92" i="16"/>
  <c r="U92" i="16"/>
  <c r="V92" i="16" l="1"/>
  <c r="X93" i="16" s="1"/>
  <c r="AB93" i="16" s="1"/>
  <c r="W92" i="16"/>
  <c r="U93" i="16" l="1"/>
  <c r="V93" i="16" s="1"/>
  <c r="U94" i="16" s="1"/>
  <c r="V94" i="16" s="1"/>
  <c r="U95" i="16" s="1"/>
  <c r="V95" i="16" s="1"/>
  <c r="AC93" i="19"/>
  <c r="AA93" i="16"/>
  <c r="X93" i="19"/>
  <c r="Z93" i="16"/>
  <c r="AF93" i="16"/>
  <c r="Y93" i="16"/>
  <c r="X95" i="16" l="1"/>
  <c r="AB95" i="16" s="1"/>
  <c r="W93" i="16"/>
  <c r="W94" i="16"/>
  <c r="X94" i="16"/>
  <c r="AB94" i="16" s="1"/>
  <c r="X95" i="19"/>
  <c r="AC95" i="19"/>
  <c r="Z95" i="16"/>
  <c r="AA95" i="16"/>
  <c r="AF95" i="16"/>
  <c r="Y95" i="16"/>
  <c r="W95" i="16"/>
  <c r="AA94" i="16"/>
  <c r="X96" i="16"/>
  <c r="X96" i="19" s="1"/>
  <c r="U96" i="16"/>
  <c r="V96" i="16" s="1"/>
  <c r="U97" i="16" s="1"/>
  <c r="AA96" i="16"/>
  <c r="AC96" i="19"/>
  <c r="AF96" i="16" l="1"/>
  <c r="Z96" i="16"/>
  <c r="W96" i="16"/>
  <c r="AC94" i="19"/>
  <c r="Y94" i="16"/>
  <c r="Z94" i="16"/>
  <c r="AF94" i="16"/>
  <c r="X94" i="19"/>
  <c r="Y96" i="16"/>
  <c r="AB96" i="16"/>
  <c r="V97" i="16"/>
  <c r="U98" i="16" s="1"/>
  <c r="W97" i="16"/>
  <c r="X97" i="16"/>
  <c r="AB97" i="16" s="1"/>
  <c r="X98" i="16" l="1"/>
  <c r="AB98" i="16" s="1"/>
  <c r="Y97" i="16"/>
  <c r="AA97" i="16"/>
  <c r="Z97" i="16"/>
  <c r="AC97" i="19"/>
  <c r="X97" i="19"/>
  <c r="AF97" i="16"/>
  <c r="Y98" i="16"/>
  <c r="AF98" i="16"/>
  <c r="AC98" i="19"/>
  <c r="Z98" i="16"/>
  <c r="AA98" i="16"/>
  <c r="X98" i="19"/>
  <c r="V98" i="16"/>
  <c r="X99" i="16" s="1"/>
  <c r="AB99" i="16" s="1"/>
  <c r="W98" i="16"/>
  <c r="U99" i="16" l="1"/>
  <c r="X99" i="19"/>
  <c r="Y99" i="16"/>
  <c r="AA99" i="16"/>
  <c r="AF99" i="16"/>
  <c r="AC99" i="19"/>
  <c r="Z99" i="16"/>
  <c r="V99" i="16"/>
  <c r="X100" i="16" s="1"/>
  <c r="AB100" i="16" s="1"/>
  <c r="W99" i="16"/>
  <c r="U100" i="16" l="1"/>
  <c r="V100" i="16" s="1"/>
  <c r="U101" i="16" s="1"/>
  <c r="AF100" i="16"/>
  <c r="AC100" i="19"/>
  <c r="X100" i="19"/>
  <c r="Z100" i="16"/>
  <c r="AA100" i="16"/>
  <c r="Y100" i="16"/>
  <c r="X101" i="16" l="1"/>
  <c r="AB101" i="16" s="1"/>
  <c r="W100" i="16"/>
  <c r="V101" i="16"/>
  <c r="U102" i="16" s="1"/>
  <c r="W101" i="16"/>
  <c r="AC101" i="19"/>
  <c r="Y101" i="16"/>
  <c r="Z101" i="16"/>
  <c r="AF101" i="16"/>
  <c r="X101" i="19" l="1"/>
  <c r="AA101" i="16"/>
  <c r="X102" i="16"/>
  <c r="AB102" i="16" s="1"/>
  <c r="V102" i="16"/>
  <c r="U103" i="16" s="1"/>
  <c r="W102" i="16"/>
  <c r="AA102" i="16" l="1"/>
  <c r="AF102" i="16"/>
  <c r="Y102" i="16"/>
  <c r="X102" i="19"/>
  <c r="Z102" i="16"/>
  <c r="AC102" i="19"/>
  <c r="X103" i="16"/>
  <c r="AC103" i="19" s="1"/>
  <c r="W103" i="16"/>
  <c r="V103" i="16"/>
  <c r="U104" i="16" s="1"/>
  <c r="X103" i="19"/>
  <c r="Y103" i="16"/>
  <c r="Z103" i="16"/>
  <c r="AA103" i="16" l="1"/>
  <c r="AB103" i="16"/>
  <c r="AF103" i="16"/>
  <c r="V104" i="16"/>
  <c r="U105" i="16" s="1"/>
  <c r="W104" i="16"/>
  <c r="X104" i="16"/>
  <c r="AB104" i="16" l="1"/>
  <c r="AF104" i="16"/>
  <c r="X105" i="16"/>
  <c r="X105" i="19" s="1"/>
  <c r="AA104" i="16"/>
  <c r="AC104" i="19"/>
  <c r="Z104" i="16"/>
  <c r="Y104" i="16"/>
  <c r="X104" i="19"/>
  <c r="AK7" i="16"/>
  <c r="Y105" i="16"/>
  <c r="AC105" i="19"/>
  <c r="Z105" i="16"/>
  <c r="V105" i="16"/>
  <c r="X106" i="16" s="1"/>
  <c r="AF106" i="16" s="1"/>
  <c r="W105" i="16"/>
  <c r="AB105" i="16" l="1"/>
  <c r="AF105" i="16"/>
  <c r="AA105" i="16"/>
  <c r="AB106" i="16"/>
  <c r="AJ7" i="16" s="1"/>
  <c r="AA106" i="16"/>
  <c r="Y106" i="16"/>
  <c r="Z106" i="16"/>
  <c r="AC106" i="19"/>
  <c r="AC118" i="19" s="1"/>
  <c r="U106" i="16"/>
  <c r="V106" i="16" s="1"/>
  <c r="X107" i="16" s="1"/>
  <c r="T107" i="16" l="1"/>
  <c r="U107" i="16" s="1"/>
  <c r="W107" i="16" s="1"/>
  <c r="AF107" i="16"/>
  <c r="AF119" i="16" s="1"/>
  <c r="AH7" i="16"/>
  <c r="AI7" i="16"/>
  <c r="AC107" i="19"/>
  <c r="AC119" i="19" s="1"/>
  <c r="W106" i="16"/>
  <c r="C107" i="16"/>
  <c r="C119" i="16"/>
  <c r="D107" i="16"/>
  <c r="D119" i="16"/>
  <c r="E107" i="16"/>
  <c r="E119" i="16"/>
  <c r="V107" i="16" l="1"/>
  <c r="X108" i="16" s="1"/>
  <c r="T108" i="16" l="1"/>
  <c r="AF108" i="16"/>
  <c r="AC108" i="19"/>
  <c r="AC120" i="19" s="1"/>
  <c r="C108" i="16" l="1"/>
  <c r="AF120" i="16"/>
  <c r="C120" i="16" s="1"/>
  <c r="U108" i="16"/>
  <c r="V108" i="16" s="1"/>
  <c r="X109" i="16" s="1"/>
  <c r="E108" i="16"/>
  <c r="D108" i="16"/>
  <c r="E120" i="16"/>
  <c r="D120" i="16"/>
  <c r="T109" i="16" l="1"/>
  <c r="AF109" i="16"/>
  <c r="W108" i="16"/>
  <c r="AC109" i="19"/>
  <c r="AC121" i="19" s="1"/>
  <c r="AF121" i="16" l="1"/>
  <c r="C121" i="16" s="1"/>
  <c r="C109" i="16"/>
  <c r="U109" i="16"/>
  <c r="V109" i="16" s="1"/>
  <c r="X110" i="16" s="1"/>
  <c r="D109" i="16"/>
  <c r="E109" i="16"/>
  <c r="E121" i="16"/>
  <c r="T110" i="16" l="1"/>
  <c r="AF110" i="16"/>
  <c r="W109" i="16"/>
  <c r="AC110" i="19"/>
  <c r="AC122" i="19" s="1"/>
  <c r="D121" i="16"/>
  <c r="C110" i="16" l="1"/>
  <c r="AF122" i="16"/>
  <c r="C122" i="16" s="1"/>
  <c r="U110" i="16"/>
  <c r="W110" i="16" s="1"/>
  <c r="D110" i="16"/>
  <c r="D122" i="16"/>
  <c r="E110" i="16"/>
  <c r="E122" i="16"/>
  <c r="V110" i="16" l="1"/>
  <c r="X111" i="16" s="1"/>
  <c r="T111" i="16" l="1"/>
  <c r="AF111" i="16"/>
  <c r="AC111" i="19"/>
  <c r="AC123" i="19" s="1"/>
  <c r="AF123" i="16" l="1"/>
  <c r="C123" i="16" s="1"/>
  <c r="C111" i="16"/>
  <c r="U111" i="16"/>
  <c r="V111" i="16" s="1"/>
  <c r="X112" i="16" s="1"/>
  <c r="E123" i="16"/>
  <c r="D123" i="16"/>
  <c r="E111" i="16"/>
  <c r="D111" i="16"/>
  <c r="T112" i="16" l="1"/>
  <c r="AF112" i="16"/>
  <c r="C112" i="16" s="1"/>
  <c r="W111" i="16"/>
  <c r="AC112" i="19"/>
  <c r="E112" i="16"/>
  <c r="D112" i="16"/>
  <c r="U112" i="16" l="1"/>
  <c r="W112" i="16" s="1"/>
  <c r="V112" i="16" l="1"/>
  <c r="X113" i="16" s="1"/>
  <c r="T113" i="16" l="1"/>
  <c r="AF113" i="16"/>
  <c r="C113" i="16" s="1"/>
  <c r="AC113" i="19"/>
  <c r="E113" i="16"/>
  <c r="D113" i="16"/>
  <c r="U113" i="16" l="1"/>
  <c r="V113" i="16" s="1"/>
  <c r="X114" i="16" s="1"/>
  <c r="T114" i="16" l="1"/>
  <c r="AF114" i="16"/>
  <c r="C114" i="16" s="1"/>
  <c r="W113" i="16"/>
  <c r="AC114" i="19"/>
  <c r="E114" i="16"/>
  <c r="D114" i="16"/>
  <c r="U114" i="16" l="1"/>
  <c r="V114" i="16" s="1"/>
  <c r="X115" i="16" s="1"/>
  <c r="T115" i="16" l="1"/>
  <c r="AF115" i="16"/>
  <c r="C115" i="16" s="1"/>
  <c r="W114" i="16"/>
  <c r="AC115" i="19"/>
  <c r="D115" i="16"/>
  <c r="E115" i="16"/>
  <c r="U115" i="16" l="1"/>
  <c r="W115" i="16" s="1"/>
  <c r="V115" i="16" l="1"/>
  <c r="X116" i="16" s="1"/>
  <c r="T116" i="16" l="1"/>
  <c r="AF116" i="16"/>
  <c r="C116" i="16" s="1"/>
  <c r="AC116" i="19"/>
  <c r="E116" i="16"/>
  <c r="D116" i="16"/>
  <c r="U116" i="16" l="1"/>
  <c r="W116" i="16" s="1"/>
  <c r="V116" i="16" l="1"/>
  <c r="X117" i="16" s="1"/>
  <c r="T117" i="16" l="1"/>
  <c r="AF117" i="16"/>
  <c r="C117" i="16" s="1"/>
  <c r="AC117" i="19"/>
  <c r="AN4" i="16"/>
  <c r="AN6" i="16" s="1"/>
  <c r="AO4" i="16"/>
  <c r="D117" i="16"/>
  <c r="E117" i="16"/>
  <c r="U117" i="16" l="1"/>
  <c r="V117" i="16" l="1"/>
  <c r="X118" i="16" s="1"/>
  <c r="AF118" i="16" s="1"/>
  <c r="C118" i="16" s="1"/>
  <c r="W117" i="16"/>
  <c r="E118" i="16"/>
  <c r="D118" i="16"/>
  <c r="T118" i="16" l="1"/>
  <c r="U118" i="16" l="1"/>
  <c r="W118" i="16" s="1"/>
  <c r="V118" i="16" l="1"/>
  <c r="X119" i="16" s="1"/>
  <c r="T119" i="16" s="1"/>
  <c r="U119" i="16" l="1"/>
  <c r="V119" i="16" s="1"/>
  <c r="X120" i="16" s="1"/>
  <c r="T120" i="16" s="1"/>
  <c r="W119" i="16" l="1"/>
  <c r="U120" i="16"/>
  <c r="V120" i="16" s="1"/>
  <c r="X121" i="16" s="1"/>
  <c r="T121" i="16" s="1"/>
  <c r="W120" i="16" l="1"/>
  <c r="U121" i="16"/>
  <c r="V121" i="16" s="1"/>
  <c r="X122" i="16" s="1"/>
  <c r="T122" i="16" s="1"/>
  <c r="W121" i="16" l="1"/>
  <c r="U122" i="16"/>
  <c r="V122" i="16" l="1"/>
  <c r="X123" i="16" s="1"/>
  <c r="T123" i="16" s="1"/>
  <c r="W122" i="16"/>
  <c r="U123" i="16" l="1"/>
  <c r="V123" i="16" s="1"/>
  <c r="W123" i="16" l="1"/>
</calcChain>
</file>

<file path=xl/sharedStrings.xml><?xml version="1.0" encoding="utf-8"?>
<sst xmlns="http://schemas.openxmlformats.org/spreadsheetml/2006/main" count="652" uniqueCount="204">
  <si>
    <t/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</si>
  <si>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</si>
  <si>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</si>
  <si>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</si>
  <si>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</si>
  <si>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</si>
  <si>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</si>
  <si>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</si>
  <si>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</si>
  <si>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</si>
  <si>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</si>
  <si>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</si>
  <si>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</si>
  <si>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Step 2</t>
  </si>
  <si>
    <t>Step 3</t>
  </si>
  <si>
    <t>sum =</t>
  </si>
  <si>
    <t>Step 5</t>
  </si>
  <si>
    <t>Step 6</t>
  </si>
  <si>
    <t>Table 2: Calculating seasonal rations and seasonal factors</t>
  </si>
  <si>
    <t xml:space="preserve">Table 1: Decomposing International Tourist Arrivals </t>
  </si>
  <si>
    <t>Seasonally adjusted world arrivals</t>
  </si>
  <si>
    <t>Table 1: Simple moving averages</t>
  </si>
  <si>
    <t>Step 1 - Calculate seasonally adjusted figures using decomposition (see Decomposition Worksheet)</t>
  </si>
  <si>
    <t>Step 2 - Create 3 month Moving average</t>
  </si>
  <si>
    <t>Step 3 - Create 6 month Moving average</t>
  </si>
  <si>
    <t>Step 4 - Create 12 month Moving average</t>
  </si>
  <si>
    <t>3 Month</t>
  </si>
  <si>
    <t>6 Month</t>
  </si>
  <si>
    <t>12 Month</t>
  </si>
  <si>
    <t>Step 1 - Calculate seasonally adjusted figures using decomposition (see Decomposition Worksheet)/ Remove any stationarity through differencing</t>
  </si>
  <si>
    <t>Step 2 - initialize the model (for simplicity we use the first actual value - you could also use an SMA forecast)</t>
  </si>
  <si>
    <t>Table 3: Single Exponential Smoothing</t>
  </si>
  <si>
    <t>Smoothing parameter (alpha) =</t>
  </si>
  <si>
    <t>Step 4 - Calculate the SES forecast (column D)</t>
  </si>
  <si>
    <t>Step 1 - Adjust for seasonality through decomposition</t>
  </si>
  <si>
    <t>Step 2 - Check for stationarity with scatterplot</t>
  </si>
  <si>
    <t>Step 3 - remove stationarity using differencing</t>
  </si>
  <si>
    <t>Table 3: Differencing</t>
  </si>
  <si>
    <t>Step 3 - decide upon the value of your smoothing parameter (this could be the value that produces the smallest MAPE - see text for details)</t>
  </si>
  <si>
    <t>Moving mean</t>
  </si>
  <si>
    <t>First Difference</t>
  </si>
  <si>
    <t>NB. A stationary mean is essential for use in complex forecasting methods such as ARMA, ARIMA and exponential smoothing</t>
  </si>
  <si>
    <t>NB. In the below example we use only a proportion of the data to avoid the necessity for using a differenced dataset. This is done for added clarity</t>
  </si>
  <si>
    <t>Step 2 - Calculate model Ft = At-1</t>
  </si>
  <si>
    <t xml:space="preserve">Step 3 - Calculate Model 2 - Ft = At-1 * (At-1/ At-2) </t>
  </si>
  <si>
    <t>NB. Similar models can be applied to raw data (see Handbook text for details)</t>
  </si>
  <si>
    <t xml:space="preserve">Seasonally adjusted </t>
  </si>
  <si>
    <t>SAF</t>
  </si>
  <si>
    <t>Step 5 - Re-convert seasonally adjusted forecasts back into "real" data by multiplying with the seasonal adjustment factor (SAF)</t>
  </si>
  <si>
    <t>Step 5 - Calculate the seasonal adjustment factor (SAF) by multiplying the seasonal factor by the adjustment factor (= 12/sum of the raw seasonal factors)</t>
  </si>
  <si>
    <t>Step 6 - Calculate the seasonally adjusted series by dividing the monthly values (column C) by the seasonal adjustment factor (SAF)</t>
  </si>
  <si>
    <t>Time period</t>
  </si>
  <si>
    <t>Stage 1</t>
  </si>
  <si>
    <t>Stage 2</t>
  </si>
  <si>
    <t>Stage 3</t>
  </si>
  <si>
    <t>Stage 1 - Calculate the 12 month moving average (column D - below)</t>
  </si>
  <si>
    <t>Stage 2 - Calculate the centred 12-month moving average (column E - below). This is the average of the first two values in column D</t>
  </si>
  <si>
    <t>Stage 3 - Calculate the seasonal ratios (Column F - below). This is the actual value divided by the centred 12-month moving average</t>
  </si>
  <si>
    <t>Stage 5 (SAF)</t>
  </si>
  <si>
    <t>Stage 4</t>
  </si>
  <si>
    <t>Stage 5</t>
  </si>
  <si>
    <t>Step 1</t>
  </si>
  <si>
    <t>Step 4</t>
  </si>
  <si>
    <t>Recode time periods into a simple time series (e.g. 1, 2, 3, 4…)</t>
  </si>
  <si>
    <t>Highlight time period column and tourist arrival columns of data and double-click on chart wizard. Choose scatetr graph</t>
  </si>
  <si>
    <t>Label x and y axes and click finish</t>
  </si>
  <si>
    <t>Double-click on y-axis (vertical axis) and rescale as appropriate</t>
  </si>
  <si>
    <t>Right-click on any data point, choose "add trendline", "Linear", "options" and tick box labelled "Display equation on chart"</t>
  </si>
  <si>
    <t>Use equation to calculate the tourist arrivals for the next time period</t>
  </si>
  <si>
    <t>Seasonally adjusted example below</t>
  </si>
  <si>
    <t>Step 4 - Calculate raw seasonal factor (Column AF table 2). This is the average of the monthly seasonal ratios</t>
  </si>
  <si>
    <t>mes</t>
  </si>
  <si>
    <t>SUM de Turistas CABA</t>
  </si>
  <si>
    <t>Tiempo</t>
  </si>
  <si>
    <t>Turistas CABA sin efecto de pademia</t>
  </si>
  <si>
    <t>Raw data</t>
  </si>
  <si>
    <t>Previsión(SUM de Turistas CABA)</t>
  </si>
  <si>
    <t>Límite de confianza inferior(SUM de Turistas CABA)</t>
  </si>
  <si>
    <t>Límite de confianza superior(SUM de Turistas CABA)</t>
  </si>
  <si>
    <t>MAPE</t>
  </si>
  <si>
    <t>ERROR</t>
  </si>
  <si>
    <t>Decomposition</t>
  </si>
  <si>
    <t>Cambio i.a.</t>
  </si>
  <si>
    <t>Dummy 1 si i.a. &gt;0,5</t>
  </si>
  <si>
    <t>Dummy 1 si x&gt;desvest</t>
  </si>
  <si>
    <t>Media móvil</t>
  </si>
  <si>
    <t xml:space="preserve">Datos suavizados en pandemia con media móvil 6 meses </t>
  </si>
  <si>
    <t>Data</t>
  </si>
  <si>
    <t>Moving mean of first difference</t>
  </si>
  <si>
    <t>Ecuación de SES</t>
  </si>
  <si>
    <t>t</t>
  </si>
  <si>
    <t>Forecast 1</t>
  </si>
  <si>
    <t>Forecast 3</t>
  </si>
  <si>
    <t>Forecast 2</t>
  </si>
  <si>
    <t>month Recoded</t>
  </si>
  <si>
    <t>Seasonally adjusted arrivals</t>
  </si>
  <si>
    <t>Raw Data with trend and cycle (coefficient, equation)</t>
  </si>
  <si>
    <t>Coeficiente</t>
  </si>
  <si>
    <t>Raíz de los MSE</t>
  </si>
  <si>
    <t>TSS</t>
  </si>
  <si>
    <t>SSR</t>
  </si>
  <si>
    <t>R^2</t>
  </si>
  <si>
    <t>R^2:</t>
  </si>
  <si>
    <t>R^2 es no decreciente en complejidad</t>
  </si>
  <si>
    <t>α</t>
  </si>
  <si>
    <t>Dummy si MAPE&gt;100% = 1</t>
  </si>
  <si>
    <t>Forecast 4</t>
  </si>
  <si>
    <t>MAPE Forecast 1</t>
  </si>
  <si>
    <t>Smooth MAPE Forecast 1</t>
  </si>
  <si>
    <t>Smooth MAPE Forecast 4</t>
  </si>
  <si>
    <t>Smooth MAPE Forecast 3</t>
  </si>
  <si>
    <t>Smooth MAPE Forecast 2</t>
  </si>
  <si>
    <t>MAPE Forecast 2</t>
  </si>
  <si>
    <t>MAPE Forecast 3</t>
  </si>
  <si>
    <t>MAPE Forecast 4</t>
  </si>
  <si>
    <t>Receptive tourism</t>
  </si>
  <si>
    <t>y = -567,72x + 203157</t>
  </si>
  <si>
    <t>Sin descompocisión</t>
  </si>
  <si>
    <t>Con descomposición</t>
  </si>
  <si>
    <t xml:space="preserve">Single Exponential Smoothing Model with different smoothing parameter </t>
  </si>
  <si>
    <t>Single Exponential Smoothing Model with different smoothing parameter</t>
  </si>
  <si>
    <t>Mean absolute percentage error (MAPE)</t>
  </si>
  <si>
    <t>Comparación entre α y MAPE suavizado promedio</t>
  </si>
  <si>
    <t>Smoothing parameter (α)</t>
  </si>
  <si>
    <t xml:space="preserve">Error de predicción absoluto </t>
  </si>
  <si>
    <t>DIFERENCIA EN CICLO ESTACIONAL</t>
  </si>
  <si>
    <t>Errores (de ciclo) medios al cuadrado (MSE)</t>
  </si>
  <si>
    <t>Mínimo MAPE</t>
  </si>
  <si>
    <t>Absolute prediction error (APE) para junio 2024</t>
  </si>
  <si>
    <t>Mínimo APE</t>
  </si>
  <si>
    <t>Máximo APE</t>
  </si>
  <si>
    <t>Máximo MAPE</t>
  </si>
  <si>
    <t>Fecha</t>
  </si>
  <si>
    <t>MSE</t>
  </si>
  <si>
    <t>MAE</t>
  </si>
  <si>
    <t>gamma</t>
  </si>
  <si>
    <t>beta</t>
  </si>
  <si>
    <t>alpha</t>
  </si>
  <si>
    <t>pred</t>
  </si>
  <si>
    <t>y</t>
  </si>
  <si>
    <t>e^2</t>
  </si>
  <si>
    <t>|e|</t>
  </si>
  <si>
    <t>s</t>
  </si>
  <si>
    <t>v</t>
  </si>
  <si>
    <t>u</t>
  </si>
  <si>
    <t>qtr</t>
  </si>
  <si>
    <t>Seasonal</t>
  </si>
  <si>
    <t>Trend</t>
  </si>
  <si>
    <t>Level</t>
  </si>
  <si>
    <t>Holt-Winters</t>
  </si>
  <si>
    <t>Este Exponential Triple Smoothing utiliza componente multiplicativo</t>
  </si>
  <si>
    <t>beta (β)</t>
  </si>
  <si>
    <r>
      <t>alpha (</t>
    </r>
    <r>
      <rPr>
        <sz val="9"/>
        <rFont val="Calibri"/>
        <family val="2"/>
      </rPr>
      <t>α</t>
    </r>
    <r>
      <rPr>
        <sz val="9"/>
        <rFont val="Arial Narrow"/>
        <family val="2"/>
      </rPr>
      <t>)</t>
    </r>
  </si>
  <si>
    <t>gamma (γ)</t>
  </si>
  <si>
    <t>Otros métodos</t>
  </si>
  <si>
    <t>Mes</t>
  </si>
  <si>
    <t>R2</t>
  </si>
  <si>
    <t>Var_y</t>
  </si>
  <si>
    <t>Var_res</t>
  </si>
  <si>
    <t>Valor ajustado</t>
  </si>
  <si>
    <t>Suma Var_y</t>
  </si>
  <si>
    <t>Suma Var_res</t>
  </si>
  <si>
    <t>APE = Absolute Predict error</t>
  </si>
  <si>
    <t>APE</t>
  </si>
  <si>
    <t>Mean absolute predict Error</t>
  </si>
  <si>
    <t>APE 1 Serie Descompuesta</t>
  </si>
  <si>
    <t>APE 2 Serie Descompuesta</t>
  </si>
  <si>
    <t>APE 3 Serie Descompuesta</t>
  </si>
  <si>
    <t>APE 4 Serie Descompuesta</t>
  </si>
  <si>
    <t>Serie Descompuesta</t>
  </si>
  <si>
    <t>FORECAST</t>
  </si>
  <si>
    <t xml:space="preserve">Error de predicción promedio absoluto </t>
  </si>
  <si>
    <t>APE Forecast 2</t>
  </si>
  <si>
    <t>APE Forecast 3</t>
  </si>
  <si>
    <t>APE Forecast 4</t>
  </si>
  <si>
    <t>Mean absolute predict error (MAE Predict)</t>
  </si>
  <si>
    <t>Mínimo MAE Predict</t>
  </si>
  <si>
    <t>MAE predict</t>
  </si>
  <si>
    <t>MAPE orignal</t>
  </si>
  <si>
    <t>MAPE suavizado pandamia</t>
  </si>
  <si>
    <t>LINEAL MODEL</t>
  </si>
  <si>
    <t>MAE puntual</t>
  </si>
  <si>
    <t>MAE puntual junio 2024</t>
  </si>
  <si>
    <t>Columna1</t>
  </si>
  <si>
    <t>t2</t>
  </si>
  <si>
    <t>pred3</t>
  </si>
  <si>
    <t>https://www.itl.nist.gov/div898/handbook/pmc/section4/pmc435.htm</t>
  </si>
  <si>
    <t>Columna2</t>
  </si>
  <si>
    <t>"Actual" Seasonal Values</t>
  </si>
  <si>
    <t>Absolute prediction error (APE) para julio 2024</t>
  </si>
  <si>
    <t>MAE puntual julio 2024</t>
  </si>
  <si>
    <t>Modelo</t>
  </si>
  <si>
    <t>APE julio 2024</t>
  </si>
  <si>
    <t>Lineal</t>
  </si>
  <si>
    <t>Single Exponential Smoothing (SES) with seasonal component 𝛼=1</t>
  </si>
  <si>
    <t>Exponential Triple Smoothing (ETS) 𝛼=0,99; 𝛽=0,99; 𝛾=0</t>
  </si>
  <si>
    <t xml:space="preserve">ARIMA(1,2,3)(1,1,1,12) </t>
  </si>
  <si>
    <t>ARIMA(1,2,3) (0, 1, 0, 12)</t>
  </si>
  <si>
    <t xml:space="preserve">ARIMA(0,1,0) (0, 1, 0, 12) </t>
  </si>
  <si>
    <t xml:space="preserve">ARIMA(2, 1, 1)(0, 1, 0, 12) </t>
  </si>
  <si>
    <t>Cantidad de turistas (datos reales hasta febrero 2020)</t>
  </si>
  <si>
    <t>Previsión tomando datos reales hasta febrero 2020 y ficticios hasta julio 2024</t>
  </si>
  <si>
    <t>y =1250,8482x + 191629,15</t>
  </si>
  <si>
    <t>Columna3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</si>
</sst>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"/>
    <numFmt numFmtId="166" formatCode="0.0"/>
  </numFmts>
  <fonts count="21" x14ac:knownFonts="1">
    <font>
      <sz val="9"/>
      <name val="Arial Narrow"/>
    </font>
    <font>
      <sz val="9"/>
      <name val="Arial Narrow"/>
    </font>
    <font>
      <sz val="8"/>
      <name val="Arial Narrow"/>
    </font>
    <font>
      <b/>
      <sz val="9"/>
      <name val="Arial Narrow"/>
      <family val="2"/>
    </font>
    <font>
      <b/>
      <sz val="12"/>
      <name val="Arial Narrow"/>
      <family val="2"/>
    </font>
    <font>
      <sz val="12"/>
      <name val="Arial Narrow"/>
    </font>
    <font>
      <sz val="9"/>
      <name val="Arial Narrow"/>
      <family val="2"/>
    </font>
    <font>
      <sz val="12"/>
      <name val="Arial"/>
      <family val="2"/>
    </font>
    <font>
      <sz val="11"/>
      <name val="Arial Narrow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0"/>
      <name val="Arial Narrow"/>
      <family val="2"/>
    </font>
    <font>
      <sz val="9"/>
      <color rgb="FFFF0000"/>
      <name val="Arial Narrow"/>
      <family val="2"/>
    </font>
    <font>
      <sz val="8"/>
      <name val="Arial Narrow"/>
      <family val="2"/>
    </font>
    <font>
      <sz val="9"/>
      <name val="Calibri"/>
      <family val="2"/>
    </font>
    <font>
      <u/>
      <sz val="9"/>
      <color theme="10"/>
      <name val="Arial Narrow"/>
      <family val="2"/>
    </font>
    <font>
      <sz val="11"/>
      <name val="Arial Narrow"/>
      <family val="2"/>
    </font>
    <font>
      <b/>
      <sz val="9"/>
      <color theme="0"/>
      <name val="Arial Narrow"/>
    </font>
    <font>
      <sz val="9"/>
      <color theme="1"/>
      <name val="Arial Narrow"/>
    </font>
  </fonts>
  <fills count="12">
    <fill>
      <patternFill patternType="none"/>
    </fill>
    <fill>
      <patternFill patternType="gray125"/>
    </fill>
    <fill>
      <patternFill patternType="solid">
        <fgColor rgb="FFD8DEE8"/>
        <bgColor indexed="64"/>
      </patternFill>
    </fill>
    <fill>
      <patternFill patternType="solid">
        <fgColor rgb="FF657BA3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rgb="FF657BA3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62">
    <xf numFmtId="0" fontId="0" fillId="0" borderId="0" xfId="0"/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5" fillId="0" borderId="0" xfId="0" applyFont="1"/>
    <xf numFmtId="1" fontId="3" fillId="0" borderId="0" xfId="0" applyNumberFormat="1" applyFont="1"/>
    <xf numFmtId="3" fontId="6" fillId="0" borderId="0" xfId="0" applyNumberFormat="1" applyFont="1"/>
    <xf numFmtId="0" fontId="7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right" wrapText="1"/>
    </xf>
    <xf numFmtId="164" fontId="0" fillId="0" borderId="0" xfId="0" applyNumberFormat="1" applyFill="1" applyBorder="1"/>
    <xf numFmtId="0" fontId="0" fillId="0" borderId="0" xfId="0" applyFill="1" applyBorder="1"/>
    <xf numFmtId="164" fontId="0" fillId="0" borderId="0" xfId="0" applyNumberFormat="1" applyBorder="1"/>
    <xf numFmtId="0" fontId="0" fillId="0" borderId="0" xfId="0" applyBorder="1"/>
    <xf numFmtId="3" fontId="0" fillId="0" borderId="0" xfId="0" applyNumberFormat="1" applyBorder="1"/>
    <xf numFmtId="1" fontId="0" fillId="0" borderId="0" xfId="0" applyNumberFormat="1" applyBorder="1"/>
    <xf numFmtId="164" fontId="6" fillId="0" borderId="0" xfId="0" applyNumberFormat="1" applyFont="1" applyFill="1" applyBorder="1" applyAlignment="1">
      <alignment horizontal="center" wrapText="1"/>
    </xf>
    <xf numFmtId="3" fontId="0" fillId="0" borderId="0" xfId="0" applyNumberFormat="1" applyFill="1" applyBorder="1"/>
    <xf numFmtId="165" fontId="6" fillId="0" borderId="0" xfId="0" applyNumberFormat="1" applyFont="1" applyFill="1" applyBorder="1" applyAlignment="1">
      <alignment horizontal="center" wrapText="1"/>
    </xf>
    <xf numFmtId="164" fontId="1" fillId="0" borderId="0" xfId="0" applyNumberFormat="1" applyFont="1"/>
    <xf numFmtId="0" fontId="3" fillId="0" borderId="0" xfId="0" applyFont="1" applyFill="1"/>
    <xf numFmtId="3" fontId="3" fillId="0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0" fontId="8" fillId="0" borderId="0" xfId="0" applyFont="1"/>
    <xf numFmtId="0" fontId="9" fillId="2" borderId="1" xfId="0" applyFont="1" applyFill="1" applyBorder="1" applyAlignment="1">
      <alignment wrapText="1"/>
    </xf>
    <xf numFmtId="0" fontId="10" fillId="3" borderId="1" xfId="0" applyFont="1" applyFill="1" applyBorder="1" applyAlignment="1">
      <alignment vertical="center"/>
    </xf>
    <xf numFmtId="17" fontId="0" fillId="4" borderId="2" xfId="0" applyNumberFormat="1" applyFill="1" applyBorder="1" applyAlignment="1">
      <alignment horizontal="right" wrapText="1"/>
    </xf>
    <xf numFmtId="0" fontId="0" fillId="5" borderId="0" xfId="0" applyFill="1" applyAlignment="1">
      <alignment horizontal="right" wrapText="1"/>
    </xf>
    <xf numFmtId="0" fontId="0" fillId="5" borderId="3" xfId="0" applyFill="1" applyBorder="1" applyAlignment="1">
      <alignment horizontal="right" wrapText="1"/>
    </xf>
    <xf numFmtId="17" fontId="0" fillId="0" borderId="0" xfId="0" applyNumberFormat="1"/>
    <xf numFmtId="2" fontId="0" fillId="0" borderId="0" xfId="0" applyNumberFormat="1"/>
    <xf numFmtId="0" fontId="6" fillId="0" borderId="0" xfId="0" applyFont="1"/>
    <xf numFmtId="1" fontId="0" fillId="5" borderId="0" xfId="0" applyNumberFormat="1" applyFill="1" applyBorder="1" applyAlignment="1">
      <alignment horizontal="right" wrapText="1"/>
    </xf>
    <xf numFmtId="0" fontId="0" fillId="0" borderId="0" xfId="0" applyAlignment="1">
      <alignment wrapText="1"/>
    </xf>
    <xf numFmtId="166" fontId="6" fillId="0" borderId="0" xfId="0" applyNumberFormat="1" applyFont="1"/>
    <xf numFmtId="9" fontId="0" fillId="0" borderId="0" xfId="1" applyFont="1"/>
    <xf numFmtId="0" fontId="0" fillId="0" borderId="0" xfId="0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6" fillId="0" borderId="9" xfId="0" applyFont="1" applyBorder="1"/>
    <xf numFmtId="0" fontId="0" fillId="0" borderId="10" xfId="0" applyBorder="1"/>
    <xf numFmtId="0" fontId="6" fillId="0" borderId="0" xfId="0" applyFont="1" applyAlignment="1">
      <alignment horizontal="center"/>
    </xf>
    <xf numFmtId="0" fontId="0" fillId="0" borderId="12" xfId="0" applyBorder="1"/>
    <xf numFmtId="0" fontId="0" fillId="0" borderId="0" xfId="1" applyNumberFormat="1" applyFont="1"/>
    <xf numFmtId="9" fontId="0" fillId="0" borderId="0" xfId="1" applyNumberFormat="1" applyFont="1"/>
    <xf numFmtId="0" fontId="0" fillId="0" borderId="5" xfId="0" applyBorder="1"/>
    <xf numFmtId="0" fontId="0" fillId="0" borderId="6" xfId="0" applyBorder="1"/>
    <xf numFmtId="0" fontId="0" fillId="0" borderId="9" xfId="0" applyBorder="1"/>
    <xf numFmtId="17" fontId="3" fillId="4" borderId="2" xfId="0" applyNumberFormat="1" applyFont="1" applyFill="1" applyBorder="1" applyAlignment="1">
      <alignment horizontal="right" wrapText="1"/>
    </xf>
    <xf numFmtId="166" fontId="4" fillId="0" borderId="12" xfId="0" applyNumberFormat="1" applyFont="1" applyBorder="1"/>
    <xf numFmtId="166" fontId="4" fillId="0" borderId="13" xfId="0" applyNumberFormat="1" applyFont="1" applyBorder="1"/>
    <xf numFmtId="166" fontId="4" fillId="0" borderId="14" xfId="0" applyNumberFormat="1" applyFont="1" applyBorder="1"/>
    <xf numFmtId="0" fontId="6" fillId="0" borderId="13" xfId="0" applyFont="1" applyBorder="1" applyAlignment="1">
      <alignment horizontal="center"/>
    </xf>
    <xf numFmtId="166" fontId="0" fillId="0" borderId="5" xfId="0" applyNumberFormat="1" applyBorder="1"/>
    <xf numFmtId="10" fontId="0" fillId="0" borderId="4" xfId="0" applyNumberFormat="1" applyBorder="1"/>
    <xf numFmtId="0" fontId="6" fillId="0" borderId="4" xfId="0" applyFont="1" applyBorder="1"/>
    <xf numFmtId="0" fontId="6" fillId="0" borderId="12" xfId="0" applyFont="1" applyBorder="1"/>
    <xf numFmtId="0" fontId="0" fillId="0" borderId="4" xfId="0" applyBorder="1"/>
    <xf numFmtId="0" fontId="0" fillId="0" borderId="13" xfId="0" applyBorder="1"/>
    <xf numFmtId="0" fontId="6" fillId="0" borderId="14" xfId="0" applyFont="1" applyBorder="1"/>
    <xf numFmtId="0" fontId="3" fillId="0" borderId="0" xfId="0" applyFont="1" applyAlignment="1">
      <alignment wrapText="1"/>
    </xf>
    <xf numFmtId="1" fontId="0" fillId="0" borderId="4" xfId="0" applyNumberFormat="1" applyBorder="1"/>
    <xf numFmtId="0" fontId="6" fillId="0" borderId="0" xfId="0" applyFont="1" applyBorder="1"/>
    <xf numFmtId="1" fontId="0" fillId="0" borderId="6" xfId="0" applyNumberFormat="1" applyBorder="1"/>
    <xf numFmtId="1" fontId="0" fillId="0" borderId="15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4" xfId="0" applyBorder="1"/>
    <xf numFmtId="0" fontId="0" fillId="0" borderId="13" xfId="0" applyBorder="1" applyAlignment="1">
      <alignment horizontal="center"/>
    </xf>
    <xf numFmtId="0" fontId="11" fillId="0" borderId="0" xfId="0" applyFont="1"/>
    <xf numFmtId="0" fontId="13" fillId="6" borderId="16" xfId="0" applyFont="1" applyFill="1" applyBorder="1"/>
    <xf numFmtId="17" fontId="12" fillId="7" borderId="17" xfId="0" applyNumberFormat="1" applyFont="1" applyFill="1" applyBorder="1"/>
    <xf numFmtId="17" fontId="12" fillId="8" borderId="17" xfId="0" applyNumberFormat="1" applyFont="1" applyFill="1" applyBorder="1"/>
    <xf numFmtId="3" fontId="12" fillId="7" borderId="18" xfId="0" applyNumberFormat="1" applyFont="1" applyFill="1" applyBorder="1"/>
    <xf numFmtId="3" fontId="12" fillId="8" borderId="18" xfId="0" applyNumberFormat="1" applyFont="1" applyFill="1" applyBorder="1"/>
    <xf numFmtId="0" fontId="14" fillId="0" borderId="0" xfId="0" applyFont="1" applyAlignment="1">
      <alignment horizontal="right"/>
    </xf>
    <xf numFmtId="0" fontId="0" fillId="9" borderId="0" xfId="0" applyFill="1" applyAlignment="1">
      <alignment horizontal="right"/>
    </xf>
    <xf numFmtId="1" fontId="0" fillId="0" borderId="12" xfId="0" applyNumberFormat="1" applyBorder="1"/>
    <xf numFmtId="0" fontId="0" fillId="0" borderId="21" xfId="0" applyBorder="1"/>
    <xf numFmtId="0" fontId="0" fillId="0" borderId="22" xfId="0" applyBorder="1"/>
    <xf numFmtId="0" fontId="9" fillId="0" borderId="4" xfId="0" applyFont="1" applyBorder="1" applyAlignment="1">
      <alignment horizontal="center"/>
    </xf>
    <xf numFmtId="0" fontId="13" fillId="6" borderId="20" xfId="0" applyFont="1" applyFill="1" applyBorder="1" applyAlignment="1">
      <alignment horizontal="center"/>
    </xf>
    <xf numFmtId="10" fontId="0" fillId="0" borderId="0" xfId="0" applyNumberFormat="1" applyBorder="1"/>
    <xf numFmtId="0" fontId="6" fillId="0" borderId="7" xfId="0" applyFont="1" applyBorder="1"/>
    <xf numFmtId="3" fontId="0" fillId="0" borderId="4" xfId="0" applyNumberFormat="1" applyBorder="1"/>
    <xf numFmtId="3" fontId="6" fillId="0" borderId="8" xfId="0" applyNumberFormat="1" applyFont="1" applyBorder="1"/>
    <xf numFmtId="3" fontId="6" fillId="0" borderId="10" xfId="0" applyNumberFormat="1" applyFont="1" applyBorder="1"/>
    <xf numFmtId="0" fontId="6" fillId="0" borderId="13" xfId="0" applyFont="1" applyBorder="1"/>
    <xf numFmtId="3" fontId="0" fillId="0" borderId="6" xfId="0" applyNumberFormat="1" applyBorder="1"/>
    <xf numFmtId="10" fontId="0" fillId="0" borderId="8" xfId="0" applyNumberFormat="1" applyBorder="1"/>
    <xf numFmtId="3" fontId="0" fillId="0" borderId="10" xfId="0" applyNumberFormat="1" applyBorder="1"/>
    <xf numFmtId="0" fontId="0" fillId="0" borderId="13" xfId="0" applyBorder="1" applyAlignment="1">
      <alignment horizontal="center"/>
    </xf>
    <xf numFmtId="9" fontId="0" fillId="0" borderId="4" xfId="1" applyFont="1" applyBorder="1"/>
    <xf numFmtId="0" fontId="6" fillId="0" borderId="0" xfId="0" applyFont="1" applyBorder="1" applyAlignment="1">
      <alignment horizontal="center"/>
    </xf>
    <xf numFmtId="3" fontId="18" fillId="0" borderId="4" xfId="0" applyNumberFormat="1" applyFont="1" applyBorder="1"/>
    <xf numFmtId="1" fontId="18" fillId="0" borderId="4" xfId="0" applyNumberFormat="1" applyFont="1" applyBorder="1"/>
    <xf numFmtId="0" fontId="18" fillId="0" borderId="4" xfId="0" applyFont="1" applyBorder="1"/>
    <xf numFmtId="3" fontId="0" fillId="0" borderId="0" xfId="0" applyNumberFormat="1" applyAlignment="1">
      <alignment horizontal="right"/>
    </xf>
    <xf numFmtId="0" fontId="0" fillId="10" borderId="0" xfId="0" applyFill="1"/>
    <xf numFmtId="0" fontId="17" fillId="0" borderId="0" xfId="2"/>
    <xf numFmtId="3" fontId="14" fillId="0" borderId="0" xfId="0" applyNumberFormat="1" applyFont="1" applyAlignment="1">
      <alignment horizontal="right"/>
    </xf>
    <xf numFmtId="1" fontId="0" fillId="10" borderId="0" xfId="0" applyNumberFormat="1" applyFill="1"/>
    <xf numFmtId="9" fontId="18" fillId="0" borderId="4" xfId="1" applyFont="1" applyBorder="1"/>
    <xf numFmtId="4" fontId="12" fillId="7" borderId="0" xfId="0" applyNumberFormat="1" applyFont="1" applyFill="1" applyBorder="1"/>
    <xf numFmtId="4" fontId="12" fillId="8" borderId="0" xfId="0" applyNumberFormat="1" applyFont="1" applyFill="1" applyBorder="1"/>
    <xf numFmtId="4" fontId="0" fillId="0" borderId="0" xfId="0" applyNumberFormat="1"/>
    <xf numFmtId="9" fontId="12" fillId="7" borderId="0" xfId="1" applyFont="1" applyFill="1" applyBorder="1"/>
    <xf numFmtId="9" fontId="12" fillId="8" borderId="0" xfId="1" applyFont="1" applyFill="1" applyBorder="1"/>
    <xf numFmtId="0" fontId="6" fillId="0" borderId="12" xfId="0" quotePrefix="1" applyFont="1" applyBorder="1"/>
    <xf numFmtId="1" fontId="6" fillId="0" borderId="0" xfId="0" applyNumberFormat="1" applyFont="1"/>
    <xf numFmtId="3" fontId="0" fillId="5" borderId="0" xfId="0" applyNumberFormat="1" applyFill="1" applyAlignment="1">
      <alignment horizontal="right" wrapText="1"/>
    </xf>
    <xf numFmtId="1" fontId="0" fillId="5" borderId="7" xfId="0" applyNumberFormat="1" applyFill="1" applyBorder="1" applyAlignment="1">
      <alignment horizontal="right" wrapText="1"/>
    </xf>
    <xf numFmtId="1" fontId="0" fillId="5" borderId="9" xfId="0" applyNumberFormat="1" applyFill="1" applyBorder="1" applyAlignment="1">
      <alignment horizontal="right" wrapText="1"/>
    </xf>
    <xf numFmtId="1" fontId="0" fillId="5" borderId="19" xfId="0" applyNumberFormat="1" applyFill="1" applyBorder="1" applyAlignment="1">
      <alignment horizontal="right" wrapText="1"/>
    </xf>
    <xf numFmtId="9" fontId="6" fillId="0" borderId="0" xfId="0" applyNumberFormat="1" applyFont="1"/>
    <xf numFmtId="10" fontId="6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9" fillId="6" borderId="27" xfId="0" applyFont="1" applyFill="1" applyBorder="1"/>
    <xf numFmtId="0" fontId="19" fillId="6" borderId="16" xfId="0" applyFont="1" applyFill="1" applyBorder="1"/>
    <xf numFmtId="0" fontId="19" fillId="6" borderId="23" xfId="0" applyFont="1" applyFill="1" applyBorder="1"/>
    <xf numFmtId="17" fontId="20" fillId="7" borderId="17" xfId="0" applyNumberFormat="1" applyFont="1" applyFill="1" applyBorder="1"/>
    <xf numFmtId="17" fontId="20" fillId="8" borderId="17" xfId="0" applyNumberFormat="1" applyFont="1" applyFill="1" applyBorder="1"/>
    <xf numFmtId="0" fontId="20" fillId="8" borderId="25" xfId="0" applyFont="1" applyFill="1" applyBorder="1"/>
    <xf numFmtId="11" fontId="0" fillId="0" borderId="0" xfId="0" applyNumberFormat="1"/>
    <xf numFmtId="2" fontId="20" fillId="8" borderId="18" xfId="0" applyNumberFormat="1" applyFont="1" applyFill="1" applyBorder="1"/>
    <xf numFmtId="2" fontId="20" fillId="8" borderId="24" xfId="0" applyNumberFormat="1" applyFont="1" applyFill="1" applyBorder="1"/>
    <xf numFmtId="0" fontId="19" fillId="6" borderId="0" xfId="0" applyFont="1" applyFill="1" applyBorder="1"/>
    <xf numFmtId="0" fontId="19" fillId="6" borderId="29" xfId="0" applyFont="1" applyFill="1" applyBorder="1"/>
    <xf numFmtId="17" fontId="20" fillId="7" borderId="30" xfId="0" applyNumberFormat="1" applyFont="1" applyFill="1" applyBorder="1"/>
    <xf numFmtId="0" fontId="20" fillId="7" borderId="28" xfId="0" applyFont="1" applyFill="1" applyBorder="1"/>
    <xf numFmtId="17" fontId="20" fillId="8" borderId="30" xfId="0" applyNumberFormat="1" applyFont="1" applyFill="1" applyBorder="1"/>
    <xf numFmtId="0" fontId="20" fillId="7" borderId="25" xfId="0" applyFont="1" applyFill="1" applyBorder="1"/>
    <xf numFmtId="11" fontId="20" fillId="7" borderId="25" xfId="0" applyNumberFormat="1" applyFont="1" applyFill="1" applyBorder="1"/>
    <xf numFmtId="0" fontId="20" fillId="10" borderId="25" xfId="0" applyFont="1" applyFill="1" applyBorder="1"/>
    <xf numFmtId="17" fontId="20" fillId="7" borderId="31" xfId="0" applyNumberFormat="1" applyFont="1" applyFill="1" applyBorder="1"/>
    <xf numFmtId="17" fontId="20" fillId="7" borderId="28" xfId="0" applyNumberFormat="1" applyFont="1" applyFill="1" applyBorder="1"/>
    <xf numFmtId="17" fontId="20" fillId="8" borderId="25" xfId="0" applyNumberFormat="1" applyFont="1" applyFill="1" applyBorder="1"/>
    <xf numFmtId="17" fontId="20" fillId="7" borderId="25" xfId="0" applyNumberFormat="1" applyFont="1" applyFill="1" applyBorder="1"/>
    <xf numFmtId="0" fontId="0" fillId="11" borderId="0" xfId="0" applyFill="1"/>
    <xf numFmtId="10" fontId="0" fillId="0" borderId="0" xfId="1" applyNumberFormat="1" applyFont="1"/>
    <xf numFmtId="17" fontId="20" fillId="8" borderId="26" xfId="0" applyNumberFormat="1" applyFont="1" applyFill="1" applyBorder="1"/>
  </cellXfs>
  <cellStyles count="3">
    <cellStyle name="Hipervínculo" xfId="2" builtinId="8"/>
    <cellStyle name="Normal" xfId="0" builtinId="0"/>
    <cellStyle name="Porcentaje" xfId="1" builtinId="5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scheme val="none"/>
      </font>
      <numFmt numFmtId="22" formatCode="mmm\-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 Narrow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scheme val="none"/>
      </font>
      <numFmt numFmtId="22" formatCode="mmm\-yy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22" formatCode="mmm\-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</dxf>
    <dxf>
      <numFmt numFmtId="2" formatCode="0.00"/>
    </dxf>
    <dxf>
      <numFmt numFmtId="2" formatCode="0.00"/>
    </dxf>
    <dxf>
      <numFmt numFmtId="22" formatCode="mmm\-yy"/>
    </dxf>
    <dxf>
      <numFmt numFmtId="2" formatCode="0.00"/>
    </dxf>
    <dxf>
      <numFmt numFmtId="2" formatCode="0.00"/>
    </dxf>
    <dxf>
      <numFmt numFmtId="22" formatCode="mmm\-yy"/>
    </dxf>
    <dxf>
      <numFmt numFmtId="2" formatCode="0.00"/>
    </dxf>
    <dxf>
      <numFmt numFmtId="2" formatCode="0.00"/>
    </dxf>
    <dxf>
      <numFmt numFmtId="22" formatCode="mmm\-yy"/>
    </dxf>
    <dxf>
      <numFmt numFmtId="2" formatCode="0.00"/>
    </dxf>
    <dxf>
      <numFmt numFmtId="2" formatCode="0.00"/>
    </dxf>
    <dxf>
      <numFmt numFmtId="22" formatCode="mmm\-yy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" formatCode="0"/>
    </dxf>
    <dxf>
      <numFmt numFmtId="22" formatCode="mmm\-yy"/>
    </dxf>
    <dxf>
      <numFmt numFmtId="2" formatCode="0.00"/>
    </dxf>
    <dxf>
      <numFmt numFmtId="2" formatCode="0.00"/>
    </dxf>
    <dxf>
      <numFmt numFmtId="22" formatCode="mmm\-yy"/>
    </dxf>
    <dxf>
      <numFmt numFmtId="0" formatCode="General"/>
    </dxf>
    <dxf>
      <numFmt numFmtId="3" formatCode="#,##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22" formatCode="mmm\-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Arial Narrow"/>
        <family val="2"/>
        <scheme val="none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Arial Narrow"/>
        <family val="2"/>
        <scheme val="none"/>
      </font>
      <alignment horizontal="right" vertical="bottom" textRotation="0" wrapText="0" indent="0" justifyLastLine="0" shrinkToFit="0" readingOrder="0"/>
    </dxf>
    <dxf>
      <numFmt numFmtId="4" formatCode="#,##0.00"/>
    </dxf>
    <dxf>
      <alignment horizontal="center" vertical="bottom" textRotation="0" wrapText="0" indent="0" justifyLastLine="0" shrinkToFit="0" readingOrder="0"/>
    </dxf>
    <dxf>
      <numFmt numFmtId="3" formatCode="#,##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22" formatCode="mmm\-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2" formatCode="mmm\-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57327209098863"/>
                  <c:y val="8.4785287255759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Data!$A$2:$A$100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Data!$C$2:$C$100</c:f>
              <c:numCache>
                <c:formatCode>General</c:formatCode>
                <c:ptCount val="99"/>
                <c:pt idx="0">
                  <c:v>248684</c:v>
                </c:pt>
                <c:pt idx="1">
                  <c:v>211731</c:v>
                </c:pt>
                <c:pt idx="2">
                  <c:v>210862</c:v>
                </c:pt>
                <c:pt idx="3">
                  <c:v>182419</c:v>
                </c:pt>
                <c:pt idx="4">
                  <c:v>176403</c:v>
                </c:pt>
                <c:pt idx="5">
                  <c:v>160586</c:v>
                </c:pt>
                <c:pt idx="6">
                  <c:v>205385</c:v>
                </c:pt>
                <c:pt idx="7">
                  <c:v>188354</c:v>
                </c:pt>
                <c:pt idx="8">
                  <c:v>187990</c:v>
                </c:pt>
                <c:pt idx="9">
                  <c:v>204246</c:v>
                </c:pt>
                <c:pt idx="10">
                  <c:v>230713</c:v>
                </c:pt>
                <c:pt idx="11">
                  <c:v>242419</c:v>
                </c:pt>
                <c:pt idx="12">
                  <c:v>246675</c:v>
                </c:pt>
                <c:pt idx="13">
                  <c:v>208332</c:v>
                </c:pt>
                <c:pt idx="14">
                  <c:v>215957</c:v>
                </c:pt>
                <c:pt idx="15">
                  <c:v>200426</c:v>
                </c:pt>
                <c:pt idx="16">
                  <c:v>179443</c:v>
                </c:pt>
                <c:pt idx="17">
                  <c:v>167766</c:v>
                </c:pt>
                <c:pt idx="18">
                  <c:v>211456</c:v>
                </c:pt>
                <c:pt idx="19">
                  <c:v>193354</c:v>
                </c:pt>
                <c:pt idx="20">
                  <c:v>199160</c:v>
                </c:pt>
                <c:pt idx="21">
                  <c:v>224240</c:v>
                </c:pt>
                <c:pt idx="22">
                  <c:v>243719</c:v>
                </c:pt>
                <c:pt idx="23">
                  <c:v>255410</c:v>
                </c:pt>
                <c:pt idx="24">
                  <c:v>275610</c:v>
                </c:pt>
                <c:pt idx="25">
                  <c:v>214691</c:v>
                </c:pt>
                <c:pt idx="26">
                  <c:v>220918</c:v>
                </c:pt>
                <c:pt idx="27">
                  <c:v>202846</c:v>
                </c:pt>
                <c:pt idx="28">
                  <c:v>184649</c:v>
                </c:pt>
                <c:pt idx="29">
                  <c:v>167422</c:v>
                </c:pt>
                <c:pt idx="30">
                  <c:v>215459</c:v>
                </c:pt>
                <c:pt idx="31">
                  <c:v>203628</c:v>
                </c:pt>
                <c:pt idx="32">
                  <c:v>216132</c:v>
                </c:pt>
                <c:pt idx="33">
                  <c:v>227543</c:v>
                </c:pt>
                <c:pt idx="34">
                  <c:v>261261</c:v>
                </c:pt>
                <c:pt idx="35">
                  <c:v>293385</c:v>
                </c:pt>
                <c:pt idx="36">
                  <c:v>321304</c:v>
                </c:pt>
                <c:pt idx="37">
                  <c:v>237633</c:v>
                </c:pt>
                <c:pt idx="38">
                  <c:v>261862</c:v>
                </c:pt>
                <c:pt idx="39">
                  <c:v>239694</c:v>
                </c:pt>
                <c:pt idx="40">
                  <c:v>209733</c:v>
                </c:pt>
                <c:pt idx="41">
                  <c:v>197587</c:v>
                </c:pt>
                <c:pt idx="42">
                  <c:v>244027</c:v>
                </c:pt>
                <c:pt idx="43">
                  <c:v>216649</c:v>
                </c:pt>
                <c:pt idx="44">
                  <c:v>225687</c:v>
                </c:pt>
                <c:pt idx="45">
                  <c:v>225655</c:v>
                </c:pt>
                <c:pt idx="46">
                  <c:v>247326</c:v>
                </c:pt>
                <c:pt idx="47">
                  <c:v>306382</c:v>
                </c:pt>
                <c:pt idx="48">
                  <c:v>308471</c:v>
                </c:pt>
                <c:pt idx="49">
                  <c:v>255005</c:v>
                </c:pt>
                <c:pt idx="50">
                  <c:v>118614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495</c:v>
                </c:pt>
                <c:pt idx="55">
                  <c:v>890</c:v>
                </c:pt>
                <c:pt idx="56">
                  <c:v>1392</c:v>
                </c:pt>
                <c:pt idx="57">
                  <c:v>1829</c:v>
                </c:pt>
                <c:pt idx="58">
                  <c:v>3897</c:v>
                </c:pt>
                <c:pt idx="59">
                  <c:v>7865</c:v>
                </c:pt>
                <c:pt idx="60">
                  <c:v>8229</c:v>
                </c:pt>
                <c:pt idx="61">
                  <c:v>3648</c:v>
                </c:pt>
                <c:pt idx="62">
                  <c:v>5784</c:v>
                </c:pt>
                <c:pt idx="63">
                  <c:v>4959</c:v>
                </c:pt>
                <c:pt idx="64">
                  <c:v>3361</c:v>
                </c:pt>
                <c:pt idx="65">
                  <c:v>2643</c:v>
                </c:pt>
                <c:pt idx="66">
                  <c:v>2004</c:v>
                </c:pt>
                <c:pt idx="67">
                  <c:v>1883</c:v>
                </c:pt>
                <c:pt idx="68">
                  <c:v>1959</c:v>
                </c:pt>
                <c:pt idx="69">
                  <c:v>9770</c:v>
                </c:pt>
                <c:pt idx="70">
                  <c:v>35285</c:v>
                </c:pt>
                <c:pt idx="71">
                  <c:v>53384</c:v>
                </c:pt>
                <c:pt idx="72">
                  <c:v>65077</c:v>
                </c:pt>
                <c:pt idx="73">
                  <c:v>54803</c:v>
                </c:pt>
                <c:pt idx="74">
                  <c:v>86454</c:v>
                </c:pt>
                <c:pt idx="75">
                  <c:v>117027</c:v>
                </c:pt>
                <c:pt idx="76">
                  <c:v>112595</c:v>
                </c:pt>
                <c:pt idx="77">
                  <c:v>104309</c:v>
                </c:pt>
                <c:pt idx="78">
                  <c:v>147686</c:v>
                </c:pt>
                <c:pt idx="79">
                  <c:v>143140</c:v>
                </c:pt>
                <c:pt idx="80">
                  <c:v>147480</c:v>
                </c:pt>
                <c:pt idx="81">
                  <c:v>165092</c:v>
                </c:pt>
                <c:pt idx="82">
                  <c:v>196077</c:v>
                </c:pt>
                <c:pt idx="83">
                  <c:v>183609</c:v>
                </c:pt>
                <c:pt idx="84">
                  <c:v>239235</c:v>
                </c:pt>
                <c:pt idx="85">
                  <c:v>205935</c:v>
                </c:pt>
                <c:pt idx="86">
                  <c:v>221206</c:v>
                </c:pt>
                <c:pt idx="87">
                  <c:v>222626</c:v>
                </c:pt>
                <c:pt idx="88">
                  <c:v>196288</c:v>
                </c:pt>
                <c:pt idx="89">
                  <c:v>199427</c:v>
                </c:pt>
                <c:pt idx="90">
                  <c:v>263563</c:v>
                </c:pt>
                <c:pt idx="91">
                  <c:v>236928</c:v>
                </c:pt>
                <c:pt idx="92">
                  <c:v>239336</c:v>
                </c:pt>
                <c:pt idx="93">
                  <c:v>262043</c:v>
                </c:pt>
                <c:pt idx="94">
                  <c:v>311342</c:v>
                </c:pt>
                <c:pt idx="95">
                  <c:v>274711</c:v>
                </c:pt>
                <c:pt idx="96">
                  <c:v>327427</c:v>
                </c:pt>
                <c:pt idx="97">
                  <c:v>256687</c:v>
                </c:pt>
                <c:pt idx="98">
                  <c:v>278366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7-42CF-84FB-EC629D27F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99840"/>
        <c:axId val="463301152"/>
      </c:scatterChart>
      <c:valAx>
        <c:axId val="4632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3301152"/>
        <c:crosses val="autoZero"/>
        <c:crossBetween val="midCat"/>
      </c:valAx>
      <c:valAx>
        <c:axId val="4633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32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0" i="0" baseline="0">
                <a:effectLst/>
              </a:rPr>
              <a:t>Turismo Receptivo</a:t>
            </a:r>
            <a:endParaRPr lang="es-A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741559478978169E-2"/>
          <c:y val="4.8926180654931387E-2"/>
          <c:w val="0.87213054889877895"/>
          <c:h val="0.78179798985893711"/>
        </c:manualLayout>
      </c:layout>
      <c:lineChart>
        <c:grouping val="standard"/>
        <c:varyColors val="0"/>
        <c:ser>
          <c:idx val="0"/>
          <c:order val="0"/>
          <c:tx>
            <c:strRef>
              <c:f>'Single Exponential Smoothing P.'!$BD$2</c:f>
              <c:strCache>
                <c:ptCount val="1"/>
                <c:pt idx="0">
                  <c:v>SUM de Turistas CABA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'Single Exponential Smoothing P.'!$BC$3:$BC$122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'Single Exponential Smoothing P.'!$BD$3:$BD$122</c:f>
              <c:numCache>
                <c:formatCode>#,##0</c:formatCode>
                <c:ptCount val="120"/>
                <c:pt idx="0">
                  <c:v>248684</c:v>
                </c:pt>
                <c:pt idx="1">
                  <c:v>211731</c:v>
                </c:pt>
                <c:pt idx="2">
                  <c:v>210862</c:v>
                </c:pt>
                <c:pt idx="3">
                  <c:v>182419</c:v>
                </c:pt>
                <c:pt idx="4">
                  <c:v>176403</c:v>
                </c:pt>
                <c:pt idx="5">
                  <c:v>160586</c:v>
                </c:pt>
                <c:pt idx="6">
                  <c:v>205385</c:v>
                </c:pt>
                <c:pt idx="7">
                  <c:v>188354</c:v>
                </c:pt>
                <c:pt idx="8">
                  <c:v>187990</c:v>
                </c:pt>
                <c:pt idx="9">
                  <c:v>204246</c:v>
                </c:pt>
                <c:pt idx="10">
                  <c:v>230713</c:v>
                </c:pt>
                <c:pt idx="11">
                  <c:v>242419</c:v>
                </c:pt>
                <c:pt idx="12">
                  <c:v>246675</c:v>
                </c:pt>
                <c:pt idx="13">
                  <c:v>208332</c:v>
                </c:pt>
                <c:pt idx="14">
                  <c:v>215957</c:v>
                </c:pt>
                <c:pt idx="15">
                  <c:v>200426</c:v>
                </c:pt>
                <c:pt idx="16">
                  <c:v>179443</c:v>
                </c:pt>
                <c:pt idx="17">
                  <c:v>167766</c:v>
                </c:pt>
                <c:pt idx="18">
                  <c:v>211456</c:v>
                </c:pt>
                <c:pt idx="19">
                  <c:v>193354</c:v>
                </c:pt>
                <c:pt idx="20">
                  <c:v>199160</c:v>
                </c:pt>
                <c:pt idx="21">
                  <c:v>224240</c:v>
                </c:pt>
                <c:pt idx="22">
                  <c:v>243719</c:v>
                </c:pt>
                <c:pt idx="23">
                  <c:v>255410</c:v>
                </c:pt>
                <c:pt idx="24">
                  <c:v>275610</c:v>
                </c:pt>
                <c:pt idx="25">
                  <c:v>214691</c:v>
                </c:pt>
                <c:pt idx="26">
                  <c:v>220918</c:v>
                </c:pt>
                <c:pt idx="27">
                  <c:v>202846</c:v>
                </c:pt>
                <c:pt idx="28">
                  <c:v>184649</c:v>
                </c:pt>
                <c:pt idx="29">
                  <c:v>167422</c:v>
                </c:pt>
                <c:pt idx="30">
                  <c:v>215459</c:v>
                </c:pt>
                <c:pt idx="31">
                  <c:v>203628</c:v>
                </c:pt>
                <c:pt idx="32">
                  <c:v>216132</c:v>
                </c:pt>
                <c:pt idx="33">
                  <c:v>227543</c:v>
                </c:pt>
                <c:pt idx="34">
                  <c:v>261261</c:v>
                </c:pt>
                <c:pt idx="35">
                  <c:v>293385</c:v>
                </c:pt>
                <c:pt idx="36">
                  <c:v>321304</c:v>
                </c:pt>
                <c:pt idx="37">
                  <c:v>237633</c:v>
                </c:pt>
                <c:pt idx="38">
                  <c:v>261862</c:v>
                </c:pt>
                <c:pt idx="39">
                  <c:v>239694</c:v>
                </c:pt>
                <c:pt idx="40">
                  <c:v>209733</c:v>
                </c:pt>
                <c:pt idx="41">
                  <c:v>197587</c:v>
                </c:pt>
                <c:pt idx="42">
                  <c:v>244027</c:v>
                </c:pt>
                <c:pt idx="43">
                  <c:v>216649</c:v>
                </c:pt>
                <c:pt idx="44">
                  <c:v>225687</c:v>
                </c:pt>
                <c:pt idx="45">
                  <c:v>225655</c:v>
                </c:pt>
                <c:pt idx="46">
                  <c:v>247326</c:v>
                </c:pt>
                <c:pt idx="47">
                  <c:v>306382</c:v>
                </c:pt>
                <c:pt idx="48">
                  <c:v>308471</c:v>
                </c:pt>
                <c:pt idx="49">
                  <c:v>255005</c:v>
                </c:pt>
                <c:pt idx="50">
                  <c:v>118614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495</c:v>
                </c:pt>
                <c:pt idx="55">
                  <c:v>890</c:v>
                </c:pt>
                <c:pt idx="56">
                  <c:v>1392</c:v>
                </c:pt>
                <c:pt idx="57">
                  <c:v>1829</c:v>
                </c:pt>
                <c:pt idx="58">
                  <c:v>3897</c:v>
                </c:pt>
                <c:pt idx="59">
                  <c:v>7865</c:v>
                </c:pt>
                <c:pt idx="60">
                  <c:v>8229</c:v>
                </c:pt>
                <c:pt idx="61">
                  <c:v>3648</c:v>
                </c:pt>
                <c:pt idx="62">
                  <c:v>5784</c:v>
                </c:pt>
                <c:pt idx="63">
                  <c:v>4959</c:v>
                </c:pt>
                <c:pt idx="64">
                  <c:v>3361</c:v>
                </c:pt>
                <c:pt idx="65">
                  <c:v>2643</c:v>
                </c:pt>
                <c:pt idx="66">
                  <c:v>2004</c:v>
                </c:pt>
                <c:pt idx="67">
                  <c:v>1883</c:v>
                </c:pt>
                <c:pt idx="68">
                  <c:v>1959</c:v>
                </c:pt>
                <c:pt idx="69">
                  <c:v>9770</c:v>
                </c:pt>
                <c:pt idx="70">
                  <c:v>35285</c:v>
                </c:pt>
                <c:pt idx="71">
                  <c:v>53384</c:v>
                </c:pt>
                <c:pt idx="72">
                  <c:v>65077</c:v>
                </c:pt>
                <c:pt idx="73">
                  <c:v>54803</c:v>
                </c:pt>
                <c:pt idx="74">
                  <c:v>86454</c:v>
                </c:pt>
                <c:pt idx="75">
                  <c:v>117027</c:v>
                </c:pt>
                <c:pt idx="76">
                  <c:v>112595</c:v>
                </c:pt>
                <c:pt idx="77">
                  <c:v>104309</c:v>
                </c:pt>
                <c:pt idx="78">
                  <c:v>147686</c:v>
                </c:pt>
                <c:pt idx="79">
                  <c:v>143140</c:v>
                </c:pt>
                <c:pt idx="80">
                  <c:v>147480</c:v>
                </c:pt>
                <c:pt idx="81">
                  <c:v>165092</c:v>
                </c:pt>
                <c:pt idx="82">
                  <c:v>196077</c:v>
                </c:pt>
                <c:pt idx="83">
                  <c:v>183609</c:v>
                </c:pt>
                <c:pt idx="84">
                  <c:v>239235</c:v>
                </c:pt>
                <c:pt idx="85">
                  <c:v>205935</c:v>
                </c:pt>
                <c:pt idx="86">
                  <c:v>221206</c:v>
                </c:pt>
                <c:pt idx="87">
                  <c:v>222626</c:v>
                </c:pt>
                <c:pt idx="88">
                  <c:v>196288</c:v>
                </c:pt>
                <c:pt idx="89">
                  <c:v>199427</c:v>
                </c:pt>
                <c:pt idx="90">
                  <c:v>263563</c:v>
                </c:pt>
                <c:pt idx="91">
                  <c:v>236928</c:v>
                </c:pt>
                <c:pt idx="92">
                  <c:v>239336</c:v>
                </c:pt>
                <c:pt idx="93">
                  <c:v>262043</c:v>
                </c:pt>
                <c:pt idx="94">
                  <c:v>311342</c:v>
                </c:pt>
                <c:pt idx="95">
                  <c:v>274711</c:v>
                </c:pt>
                <c:pt idx="96">
                  <c:v>327427</c:v>
                </c:pt>
                <c:pt idx="97">
                  <c:v>256687</c:v>
                </c:pt>
                <c:pt idx="98">
                  <c:v>278366</c:v>
                </c:pt>
                <c:pt idx="99">
                  <c:v>224410</c:v>
                </c:pt>
                <c:pt idx="100">
                  <c:v>182803</c:v>
                </c:pt>
                <c:pt idx="101">
                  <c:v>169847</c:v>
                </c:pt>
                <c:pt idx="102">
                  <c:v>233105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A-4E7E-9E4A-25F259363566}"/>
            </c:ext>
          </c:extLst>
        </c:ser>
        <c:ser>
          <c:idx val="1"/>
          <c:order val="1"/>
          <c:tx>
            <c:strRef>
              <c:f>'Single Exponential Smoothing P.'!$BE$2</c:f>
              <c:strCache>
                <c:ptCount val="1"/>
                <c:pt idx="0">
                  <c:v>Previsión(SUM de Turistas CABA)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'Single Exponential Smoothing P.'!$BC$3:$BC$122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'Single Exponential Smoothing P.'!$BE$3:$BE$122</c:f>
              <c:numCache>
                <c:formatCode>General</c:formatCode>
                <c:ptCount val="120"/>
                <c:pt idx="102" formatCode="0">
                  <c:v>233105</c:v>
                </c:pt>
                <c:pt idx="103" formatCode="0">
                  <c:v>205943.90186849731</c:v>
                </c:pt>
                <c:pt idx="104" formatCode="0">
                  <c:v>222763.65024374175</c:v>
                </c:pt>
                <c:pt idx="105" formatCode="0">
                  <c:v>249492.28601523119</c:v>
                </c:pt>
                <c:pt idx="106" formatCode="0">
                  <c:v>318836.19402930932</c:v>
                </c:pt>
                <c:pt idx="107" formatCode="0">
                  <c:v>379024.46924812021</c:v>
                </c:pt>
                <c:pt idx="108" formatCode="0">
                  <c:v>414055.92845731764</c:v>
                </c:pt>
                <c:pt idx="109" formatCode="0">
                  <c:v>309346.79757662158</c:v>
                </c:pt>
                <c:pt idx="110" formatCode="0">
                  <c:v>311030.81165724737</c:v>
                </c:pt>
                <c:pt idx="111" formatCode="0">
                  <c:v>242673.8282549656</c:v>
                </c:pt>
                <c:pt idx="112" formatCode="0">
                  <c:v>198023.54684977458</c:v>
                </c:pt>
                <c:pt idx="113" formatCode="0">
                  <c:v>183490.56716263734</c:v>
                </c:pt>
                <c:pt idx="114" formatCode="0">
                  <c:v>233104.99999999997</c:v>
                </c:pt>
                <c:pt idx="115" formatCode="0">
                  <c:v>205943.90186849731</c:v>
                </c:pt>
                <c:pt idx="116" formatCode="0">
                  <c:v>222763.65024374175</c:v>
                </c:pt>
                <c:pt idx="117" formatCode="0">
                  <c:v>249492.28601523119</c:v>
                </c:pt>
                <c:pt idx="118" formatCode="0">
                  <c:v>318836.19402930932</c:v>
                </c:pt>
                <c:pt idx="119" formatCode="0">
                  <c:v>379024.46924812021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A-4E7E-9E4A-25F259363566}"/>
            </c:ext>
          </c:extLst>
        </c:ser>
        <c:ser>
          <c:idx val="2"/>
          <c:order val="2"/>
          <c:tx>
            <c:strRef>
              <c:f>'Single Exponential Smoothing P.'!$BF$2</c:f>
              <c:strCache>
                <c:ptCount val="1"/>
                <c:pt idx="0">
                  <c:v>Límite de confianza inferior(SUM de Turistas CABA)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'Single Exponential Smoothing P.'!$BC$3:$BC$122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'Single Exponential Smoothing P.'!$BF$3:$BF$122</c:f>
              <c:numCache>
                <c:formatCode>General</c:formatCode>
                <c:ptCount val="120"/>
                <c:pt idx="102" formatCode="0">
                  <c:v>233105</c:v>
                </c:pt>
                <c:pt idx="103" formatCode="0.00">
                  <c:v>113365.76636133564</c:v>
                </c:pt>
                <c:pt idx="104" formatCode="0.00">
                  <c:v>109360.14827295915</c:v>
                </c:pt>
                <c:pt idx="105" formatCode="0.00">
                  <c:v>118501.51946924216</c:v>
                </c:pt>
                <c:pt idx="106" formatCode="0.00">
                  <c:v>172325.44446985185</c:v>
                </c:pt>
                <c:pt idx="107" formatCode="0.00">
                  <c:v>218460.4032587829</c:v>
                </c:pt>
                <c:pt idx="108" formatCode="0.00">
                  <c:v>240548.44115128065</c:v>
                </c:pt>
                <c:pt idx="109" formatCode="0.00">
                  <c:v>123773.37569611851</c:v>
                </c:pt>
                <c:pt idx="110" formatCode="0.00">
                  <c:v>114107.55722073291</c:v>
                </c:pt>
                <c:pt idx="111" formatCode="0.00">
                  <c:v>34999.380094321998</c:v>
                </c:pt>
                <c:pt idx="112" formatCode="0.00">
                  <c:v>-19892.098138382018</c:v>
                </c:pt>
                <c:pt idx="113" formatCode="0.00">
                  <c:v>-44225.11620696215</c:v>
                </c:pt>
                <c:pt idx="114" formatCode="0.00">
                  <c:v>-4024.284070424852</c:v>
                </c:pt>
                <c:pt idx="115" formatCode="0.00">
                  <c:v>-40256.89350734232</c:v>
                </c:pt>
                <c:pt idx="116" formatCode="0.00">
                  <c:v>-32203.100277971098</c:v>
                </c:pt>
                <c:pt idx="117" formatCode="0.00">
                  <c:v>-13965.381602840469</c:v>
                </c:pt>
                <c:pt idx="118" formatCode="0.00">
                  <c:v>47136.84458503651</c:v>
                </c:pt>
                <c:pt idx="119" formatCode="0.00">
                  <c:v>99310.626122779329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A-4E7E-9E4A-25F259363566}"/>
            </c:ext>
          </c:extLst>
        </c:ser>
        <c:ser>
          <c:idx val="3"/>
          <c:order val="3"/>
          <c:tx>
            <c:strRef>
              <c:f>'Single Exponential Smoothing P.'!$BG$2</c:f>
              <c:strCache>
                <c:ptCount val="1"/>
                <c:pt idx="0">
                  <c:v>Límite de confianza superior(SUM de Turistas CABA)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'Single Exponential Smoothing P.'!$BC$3:$BC$122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'Single Exponential Smoothing P.'!$BG$3:$BG$122</c:f>
              <c:numCache>
                <c:formatCode>General</c:formatCode>
                <c:ptCount val="120"/>
                <c:pt idx="102" formatCode="0">
                  <c:v>233105</c:v>
                </c:pt>
                <c:pt idx="103" formatCode="0.00">
                  <c:v>298522.03737565898</c:v>
                </c:pt>
                <c:pt idx="104" formatCode="0.00">
                  <c:v>336167.15221452434</c:v>
                </c:pt>
                <c:pt idx="105" formatCode="0.00">
                  <c:v>380483.05256122025</c:v>
                </c:pt>
                <c:pt idx="106" formatCode="0.00">
                  <c:v>465346.94358876679</c:v>
                </c:pt>
                <c:pt idx="107" formatCode="0.00">
                  <c:v>539588.53523745749</c:v>
                </c:pt>
                <c:pt idx="108" formatCode="0.00">
                  <c:v>587563.41576335463</c:v>
                </c:pt>
                <c:pt idx="109" formatCode="0.00">
                  <c:v>494920.21945712465</c:v>
                </c:pt>
                <c:pt idx="110" formatCode="0.00">
                  <c:v>507954.06609376182</c:v>
                </c:pt>
                <c:pt idx="111" formatCode="0.00">
                  <c:v>450348.27641560917</c:v>
                </c:pt>
                <c:pt idx="112" formatCode="0.00">
                  <c:v>415939.19183793117</c:v>
                </c:pt>
                <c:pt idx="113" formatCode="0.00">
                  <c:v>411206.25053223682</c:v>
                </c:pt>
                <c:pt idx="114" formatCode="0.00">
                  <c:v>470234.28407042479</c:v>
                </c:pt>
                <c:pt idx="115" formatCode="0.00">
                  <c:v>452144.69724433695</c:v>
                </c:pt>
                <c:pt idx="116" formatCode="0.00">
                  <c:v>477730.40076545463</c:v>
                </c:pt>
                <c:pt idx="117" formatCode="0.00">
                  <c:v>512949.95363330282</c:v>
                </c:pt>
                <c:pt idx="118" formatCode="0.00">
                  <c:v>590535.54347358213</c:v>
                </c:pt>
                <c:pt idx="119" formatCode="0.00">
                  <c:v>658738.31237346109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3A-4E7E-9E4A-25F259363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48736"/>
        <c:axId val="562742504"/>
      </c:lineChart>
      <c:dateAx>
        <c:axId val="56274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2504"/>
        <c:crosses val="autoZero"/>
        <c:auto val="1"/>
        <c:lblOffset val="100"/>
        <c:baseTimeUnit val="months"/>
      </c:dateAx>
      <c:valAx>
        <c:axId val="562742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87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0" i="0" baseline="0">
                <a:effectLst/>
              </a:rPr>
              <a:t>Turismo Receptivo</a:t>
            </a:r>
            <a:endParaRPr lang="es-A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741559478978169E-2"/>
          <c:y val="4.8926180654931387E-2"/>
          <c:w val="0.87213054889877895"/>
          <c:h val="0.78179798985893711"/>
        </c:manualLayout>
      </c:layout>
      <c:lineChart>
        <c:grouping val="standard"/>
        <c:varyColors val="0"/>
        <c:ser>
          <c:idx val="0"/>
          <c:order val="0"/>
          <c:tx>
            <c:strRef>
              <c:f>'Simple Linear Regression Predic'!$B$2</c:f>
              <c:strCache>
                <c:ptCount val="1"/>
                <c:pt idx="0">
                  <c:v>SUM de Turistas CABA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mpd="sng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cat>
            <c:numRef>
              <c:f>'Simple Linear Regression Predic'!$A$3:$A$122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'Simple Linear Regression Predic'!$B$3:$B$122</c:f>
              <c:numCache>
                <c:formatCode>General</c:formatCode>
                <c:ptCount val="120"/>
                <c:pt idx="0">
                  <c:v>248684</c:v>
                </c:pt>
                <c:pt idx="1">
                  <c:v>211731</c:v>
                </c:pt>
                <c:pt idx="2">
                  <c:v>210862</c:v>
                </c:pt>
                <c:pt idx="3">
                  <c:v>182419</c:v>
                </c:pt>
                <c:pt idx="4">
                  <c:v>176403</c:v>
                </c:pt>
                <c:pt idx="5">
                  <c:v>160586</c:v>
                </c:pt>
                <c:pt idx="6">
                  <c:v>205385</c:v>
                </c:pt>
                <c:pt idx="7">
                  <c:v>188354</c:v>
                </c:pt>
                <c:pt idx="8">
                  <c:v>187990</c:v>
                </c:pt>
                <c:pt idx="9">
                  <c:v>204246</c:v>
                </c:pt>
                <c:pt idx="10">
                  <c:v>230713</c:v>
                </c:pt>
                <c:pt idx="11">
                  <c:v>242419</c:v>
                </c:pt>
                <c:pt idx="12">
                  <c:v>246675</c:v>
                </c:pt>
                <c:pt idx="13">
                  <c:v>208332</c:v>
                </c:pt>
                <c:pt idx="14">
                  <c:v>215957</c:v>
                </c:pt>
                <c:pt idx="15">
                  <c:v>200426</c:v>
                </c:pt>
                <c:pt idx="16">
                  <c:v>179443</c:v>
                </c:pt>
                <c:pt idx="17">
                  <c:v>167766</c:v>
                </c:pt>
                <c:pt idx="18">
                  <c:v>211456</c:v>
                </c:pt>
                <c:pt idx="19">
                  <c:v>193354</c:v>
                </c:pt>
                <c:pt idx="20">
                  <c:v>199160</c:v>
                </c:pt>
                <c:pt idx="21">
                  <c:v>224240</c:v>
                </c:pt>
                <c:pt idx="22">
                  <c:v>243719</c:v>
                </c:pt>
                <c:pt idx="23">
                  <c:v>255410</c:v>
                </c:pt>
                <c:pt idx="24">
                  <c:v>275610</c:v>
                </c:pt>
                <c:pt idx="25">
                  <c:v>214691</c:v>
                </c:pt>
                <c:pt idx="26">
                  <c:v>220918</c:v>
                </c:pt>
                <c:pt idx="27">
                  <c:v>202846</c:v>
                </c:pt>
                <c:pt idx="28">
                  <c:v>184649</c:v>
                </c:pt>
                <c:pt idx="29">
                  <c:v>167422</c:v>
                </c:pt>
                <c:pt idx="30">
                  <c:v>215459</c:v>
                </c:pt>
                <c:pt idx="31">
                  <c:v>203628</c:v>
                </c:pt>
                <c:pt idx="32">
                  <c:v>216132</c:v>
                </c:pt>
                <c:pt idx="33">
                  <c:v>227543</c:v>
                </c:pt>
                <c:pt idx="34">
                  <c:v>261261</c:v>
                </c:pt>
                <c:pt idx="35">
                  <c:v>293385</c:v>
                </c:pt>
                <c:pt idx="36">
                  <c:v>321304</c:v>
                </c:pt>
                <c:pt idx="37">
                  <c:v>237633</c:v>
                </c:pt>
                <c:pt idx="38">
                  <c:v>261862</c:v>
                </c:pt>
                <c:pt idx="39">
                  <c:v>239694</c:v>
                </c:pt>
                <c:pt idx="40">
                  <c:v>209733</c:v>
                </c:pt>
                <c:pt idx="41">
                  <c:v>197587</c:v>
                </c:pt>
                <c:pt idx="42">
                  <c:v>244027</c:v>
                </c:pt>
                <c:pt idx="43">
                  <c:v>216649</c:v>
                </c:pt>
                <c:pt idx="44">
                  <c:v>225687</c:v>
                </c:pt>
                <c:pt idx="45">
                  <c:v>225655</c:v>
                </c:pt>
                <c:pt idx="46">
                  <c:v>247326</c:v>
                </c:pt>
                <c:pt idx="47">
                  <c:v>306382</c:v>
                </c:pt>
                <c:pt idx="48">
                  <c:v>308471</c:v>
                </c:pt>
                <c:pt idx="49">
                  <c:v>255005</c:v>
                </c:pt>
                <c:pt idx="50">
                  <c:v>118614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495</c:v>
                </c:pt>
                <c:pt idx="55">
                  <c:v>890</c:v>
                </c:pt>
                <c:pt idx="56">
                  <c:v>1392</c:v>
                </c:pt>
                <c:pt idx="57">
                  <c:v>1829</c:v>
                </c:pt>
                <c:pt idx="58">
                  <c:v>3897</c:v>
                </c:pt>
                <c:pt idx="59">
                  <c:v>7865</c:v>
                </c:pt>
                <c:pt idx="60">
                  <c:v>8229</c:v>
                </c:pt>
                <c:pt idx="61">
                  <c:v>3648</c:v>
                </c:pt>
                <c:pt idx="62">
                  <c:v>5784</c:v>
                </c:pt>
                <c:pt idx="63">
                  <c:v>4959</c:v>
                </c:pt>
                <c:pt idx="64">
                  <c:v>3361</c:v>
                </c:pt>
                <c:pt idx="65">
                  <c:v>2643</c:v>
                </c:pt>
                <c:pt idx="66">
                  <c:v>2004</c:v>
                </c:pt>
                <c:pt idx="67">
                  <c:v>1883</c:v>
                </c:pt>
                <c:pt idx="68">
                  <c:v>1959</c:v>
                </c:pt>
                <c:pt idx="69">
                  <c:v>9770</c:v>
                </c:pt>
                <c:pt idx="70">
                  <c:v>35285</c:v>
                </c:pt>
                <c:pt idx="71">
                  <c:v>53384</c:v>
                </c:pt>
                <c:pt idx="72">
                  <c:v>65077</c:v>
                </c:pt>
                <c:pt idx="73">
                  <c:v>54803</c:v>
                </c:pt>
                <c:pt idx="74">
                  <c:v>86454</c:v>
                </c:pt>
                <c:pt idx="75">
                  <c:v>117027</c:v>
                </c:pt>
                <c:pt idx="76">
                  <c:v>112595</c:v>
                </c:pt>
                <c:pt idx="77">
                  <c:v>104309</c:v>
                </c:pt>
                <c:pt idx="78">
                  <c:v>147686</c:v>
                </c:pt>
                <c:pt idx="79">
                  <c:v>143140</c:v>
                </c:pt>
                <c:pt idx="80">
                  <c:v>147480</c:v>
                </c:pt>
                <c:pt idx="81">
                  <c:v>165092</c:v>
                </c:pt>
                <c:pt idx="82">
                  <c:v>196077</c:v>
                </c:pt>
                <c:pt idx="83">
                  <c:v>183609</c:v>
                </c:pt>
                <c:pt idx="84">
                  <c:v>239235</c:v>
                </c:pt>
                <c:pt idx="85">
                  <c:v>205935</c:v>
                </c:pt>
                <c:pt idx="86">
                  <c:v>221206</c:v>
                </c:pt>
                <c:pt idx="87">
                  <c:v>222626</c:v>
                </c:pt>
                <c:pt idx="88">
                  <c:v>196288</c:v>
                </c:pt>
                <c:pt idx="89">
                  <c:v>199427</c:v>
                </c:pt>
                <c:pt idx="90">
                  <c:v>263563</c:v>
                </c:pt>
                <c:pt idx="91">
                  <c:v>236928</c:v>
                </c:pt>
                <c:pt idx="92">
                  <c:v>239336</c:v>
                </c:pt>
                <c:pt idx="93">
                  <c:v>262043</c:v>
                </c:pt>
                <c:pt idx="94">
                  <c:v>311342</c:v>
                </c:pt>
                <c:pt idx="95">
                  <c:v>274711</c:v>
                </c:pt>
                <c:pt idx="96">
                  <c:v>327427</c:v>
                </c:pt>
                <c:pt idx="97">
                  <c:v>256687</c:v>
                </c:pt>
                <c:pt idx="98">
                  <c:v>278366</c:v>
                </c:pt>
                <c:pt idx="99">
                  <c:v>224410</c:v>
                </c:pt>
                <c:pt idx="100">
                  <c:v>182803</c:v>
                </c:pt>
                <c:pt idx="101">
                  <c:v>169847</c:v>
                </c:pt>
                <c:pt idx="102">
                  <c:v>233105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69-4ACB-B3D0-82BD377A7D13}"/>
            </c:ext>
          </c:extLst>
        </c:ser>
        <c:ser>
          <c:idx val="1"/>
          <c:order val="1"/>
          <c:tx>
            <c:strRef>
              <c:f>'Simple Linear Regression Predic'!$C$2</c:f>
              <c:strCache>
                <c:ptCount val="1"/>
                <c:pt idx="0">
                  <c:v>Previsión(SUM de Turistas CABA)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Linear Regression Predic'!$A$3:$A$122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'Simple Linear Regression Predic'!$C$3:$C$122</c:f>
              <c:numCache>
                <c:formatCode>General</c:formatCode>
                <c:ptCount val="120"/>
                <c:pt idx="102" formatCode="0">
                  <c:v>233104.99999999997</c:v>
                </c:pt>
                <c:pt idx="103" formatCode="0">
                  <c:v>127273.00426635912</c:v>
                </c:pt>
                <c:pt idx="104" formatCode="0">
                  <c:v>157373.68109237083</c:v>
                </c:pt>
                <c:pt idx="105" formatCode="0">
                  <c:v>171311.20924675299</c:v>
                </c:pt>
                <c:pt idx="106" formatCode="0">
                  <c:v>146363.33241386691</c:v>
                </c:pt>
                <c:pt idx="107" formatCode="0">
                  <c:v>170520.89242979808</c:v>
                </c:pt>
                <c:pt idx="108" formatCode="0">
                  <c:v>137182.58448285674</c:v>
                </c:pt>
                <c:pt idx="109" formatCode="0">
                  <c:v>117509.1200896368</c:v>
                </c:pt>
                <c:pt idx="110" formatCode="0">
                  <c:v>100764.33192118307</c:v>
                </c:pt>
                <c:pt idx="111" formatCode="0">
                  <c:v>89001.629900717424</c:v>
                </c:pt>
                <c:pt idx="112" formatCode="0">
                  <c:v>87263.781786629668</c:v>
                </c:pt>
                <c:pt idx="113" formatCode="0">
                  <c:v>107419.62520292136</c:v>
                </c:pt>
                <c:pt idx="114" formatCode="0">
                  <c:v>121757.86300328879</c:v>
                </c:pt>
                <c:pt idx="115" formatCode="0">
                  <c:v>150527.21159869235</c:v>
                </c:pt>
                <c:pt idx="116" formatCode="0">
                  <c:v>163828.8014021063</c:v>
                </c:pt>
                <c:pt idx="117" formatCode="0">
                  <c:v>139945.09534940214</c:v>
                </c:pt>
                <c:pt idx="118" formatCode="0">
                  <c:v>163013.38391862271</c:v>
                </c:pt>
                <c:pt idx="119" formatCode="0">
                  <c:v>131118.58793562278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69-4ACB-B3D0-82BD377A7D13}"/>
            </c:ext>
          </c:extLst>
        </c:ser>
        <c:ser>
          <c:idx val="2"/>
          <c:order val="2"/>
          <c:tx>
            <c:strRef>
              <c:f>'Simple Linear Regression Predic'!$D$2</c:f>
              <c:strCache>
                <c:ptCount val="1"/>
                <c:pt idx="0">
                  <c:v>Límite de confianza inferior(SUM de Turistas CABA)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'Simple Linear Regression Predic'!$A$3:$A$122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'Simple Linear Regression Predic'!$D$3:$D$122</c:f>
              <c:numCache>
                <c:formatCode>General</c:formatCode>
                <c:ptCount val="120"/>
                <c:pt idx="102">
                  <c:v>233105</c:v>
                </c:pt>
                <c:pt idx="103" formatCode="0.00">
                  <c:v>60759.909824367918</c:v>
                </c:pt>
                <c:pt idx="104" formatCode="0.00">
                  <c:v>63356.980953375765</c:v>
                </c:pt>
                <c:pt idx="105" formatCode="0.00">
                  <c:v>56145.538852859318</c:v>
                </c:pt>
                <c:pt idx="106" formatCode="0.00">
                  <c:v>13337.110273341445</c:v>
                </c:pt>
                <c:pt idx="107" formatCode="0.00">
                  <c:v>21733.523435902636</c:v>
                </c:pt>
                <c:pt idx="108" formatCode="0.00">
                  <c:v>-25876.474359925516</c:v>
                </c:pt>
                <c:pt idx="109" formatCode="0.00">
                  <c:v>-58694.486912799097</c:v>
                </c:pt>
                <c:pt idx="110" formatCode="0.00">
                  <c:v>-87692.701298683591</c:v>
                </c:pt>
                <c:pt idx="111" formatCode="0.00">
                  <c:v>-110981.60006312856</c:v>
                </c:pt>
                <c:pt idx="112" formatCode="0.00">
                  <c:v>-123637.70388587128</c:v>
                </c:pt>
                <c:pt idx="113" formatCode="0.00">
                  <c:v>-113882.19447849071</c:v>
                </c:pt>
                <c:pt idx="114" formatCode="0.00">
                  <c:v>-109496.27711330297</c:v>
                </c:pt>
                <c:pt idx="115" formatCode="0.00">
                  <c:v>-90286.806446627656</c:v>
                </c:pt>
                <c:pt idx="116" formatCode="0.00">
                  <c:v>-86197.689475340594</c:v>
                </c:pt>
                <c:pt idx="117" formatCode="0.00">
                  <c:v>-118983.56418662277</c:v>
                </c:pt>
                <c:pt idx="118" formatCode="0.00">
                  <c:v>-104538.13243105749</c:v>
                </c:pt>
                <c:pt idx="119" formatCode="0.00">
                  <c:v>-144802.67710957979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69-4ACB-B3D0-82BD377A7D13}"/>
            </c:ext>
          </c:extLst>
        </c:ser>
        <c:ser>
          <c:idx val="3"/>
          <c:order val="3"/>
          <c:tx>
            <c:strRef>
              <c:f>'Simple Linear Regression Predic'!$E$2</c:f>
              <c:strCache>
                <c:ptCount val="1"/>
                <c:pt idx="0">
                  <c:v>Límite de confianza superior(SUM de Turistas CABA)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'Simple Linear Regression Predic'!$A$3:$A$122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'Simple Linear Regression Predic'!$E$3:$E$122</c:f>
              <c:numCache>
                <c:formatCode>General</c:formatCode>
                <c:ptCount val="120"/>
                <c:pt idx="102">
                  <c:v>233105</c:v>
                </c:pt>
                <c:pt idx="103" formatCode="0.00">
                  <c:v>193786.09870835033</c:v>
                </c:pt>
                <c:pt idx="104" formatCode="0.00">
                  <c:v>251390.3812313659</c:v>
                </c:pt>
                <c:pt idx="105" formatCode="0.00">
                  <c:v>286476.87964064663</c:v>
                </c:pt>
                <c:pt idx="106" formatCode="0.00">
                  <c:v>279389.55455439235</c:v>
                </c:pt>
                <c:pt idx="107" formatCode="0.00">
                  <c:v>319308.2614236935</c:v>
                </c:pt>
                <c:pt idx="108" formatCode="0.00">
                  <c:v>300241.64332563896</c:v>
                </c:pt>
                <c:pt idx="109" formatCode="0.00">
                  <c:v>293712.72709207272</c:v>
                </c:pt>
                <c:pt idx="110" formatCode="0.00">
                  <c:v>289221.36514104973</c:v>
                </c:pt>
                <c:pt idx="111" formatCode="0.00">
                  <c:v>288984.85986456339</c:v>
                </c:pt>
                <c:pt idx="112" formatCode="0.00">
                  <c:v>298165.26745913061</c:v>
                </c:pt>
                <c:pt idx="113" formatCode="0.00">
                  <c:v>328721.44488433341</c:v>
                </c:pt>
                <c:pt idx="114" formatCode="0.00">
                  <c:v>353012.00311988057</c:v>
                </c:pt>
                <c:pt idx="115" formatCode="0.00">
                  <c:v>391341.22964401235</c:v>
                </c:pt>
                <c:pt idx="116" formatCode="0.00">
                  <c:v>413855.29227955319</c:v>
                </c:pt>
                <c:pt idx="117" formatCode="0.00">
                  <c:v>398873.75488542707</c:v>
                </c:pt>
                <c:pt idx="118" formatCode="0.00">
                  <c:v>430564.90026830288</c:v>
                </c:pt>
                <c:pt idx="119" formatCode="0.00">
                  <c:v>407039.85298082535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69-4ACB-B3D0-82BD377A7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48736"/>
        <c:axId val="562742504"/>
      </c:lineChart>
      <c:dateAx>
        <c:axId val="56274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2504"/>
        <c:crosses val="autoZero"/>
        <c:auto val="1"/>
        <c:lblOffset val="100"/>
        <c:baseTimeUnit val="months"/>
      </c:dateAx>
      <c:valAx>
        <c:axId val="562742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87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0" i="0" baseline="0">
                <a:effectLst/>
              </a:rPr>
              <a:t>Turismo Receptivo</a:t>
            </a:r>
            <a:endParaRPr lang="es-A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741559478978169E-2"/>
          <c:y val="4.8926180654931387E-2"/>
          <c:w val="0.87213054889877895"/>
          <c:h val="0.78179798985893711"/>
        </c:manualLayout>
      </c:layout>
      <c:lineChart>
        <c:grouping val="standard"/>
        <c:varyColors val="0"/>
        <c:ser>
          <c:idx val="0"/>
          <c:order val="0"/>
          <c:tx>
            <c:strRef>
              <c:f>'Simple Linear Regression Predic'!$AH$2</c:f>
              <c:strCache>
                <c:ptCount val="1"/>
                <c:pt idx="0">
                  <c:v>SUM de Turistas CABA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mpd="sng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cat>
            <c:numRef>
              <c:f>'Simple Linear Regression Predic'!$AG$3:$AG$122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'Simple Linear Regression Predic'!$AH$3:$AH$122</c:f>
              <c:numCache>
                <c:formatCode>#,##0</c:formatCode>
                <c:ptCount val="120"/>
                <c:pt idx="0">
                  <c:v>248684</c:v>
                </c:pt>
                <c:pt idx="1">
                  <c:v>211731</c:v>
                </c:pt>
                <c:pt idx="2">
                  <c:v>210862</c:v>
                </c:pt>
                <c:pt idx="3">
                  <c:v>182419</c:v>
                </c:pt>
                <c:pt idx="4">
                  <c:v>176403</c:v>
                </c:pt>
                <c:pt idx="5">
                  <c:v>160586</c:v>
                </c:pt>
                <c:pt idx="6">
                  <c:v>205385</c:v>
                </c:pt>
                <c:pt idx="7">
                  <c:v>188354</c:v>
                </c:pt>
                <c:pt idx="8">
                  <c:v>187990</c:v>
                </c:pt>
                <c:pt idx="9">
                  <c:v>204246</c:v>
                </c:pt>
                <c:pt idx="10">
                  <c:v>230713</c:v>
                </c:pt>
                <c:pt idx="11">
                  <c:v>242419</c:v>
                </c:pt>
                <c:pt idx="12">
                  <c:v>246675</c:v>
                </c:pt>
                <c:pt idx="13">
                  <c:v>208332</c:v>
                </c:pt>
                <c:pt idx="14">
                  <c:v>215957</c:v>
                </c:pt>
                <c:pt idx="15">
                  <c:v>200426</c:v>
                </c:pt>
                <c:pt idx="16">
                  <c:v>179443</c:v>
                </c:pt>
                <c:pt idx="17">
                  <c:v>167766</c:v>
                </c:pt>
                <c:pt idx="18">
                  <c:v>211456</c:v>
                </c:pt>
                <c:pt idx="19">
                  <c:v>193354</c:v>
                </c:pt>
                <c:pt idx="20">
                  <c:v>199160</c:v>
                </c:pt>
                <c:pt idx="21">
                  <c:v>224240</c:v>
                </c:pt>
                <c:pt idx="22">
                  <c:v>243719</c:v>
                </c:pt>
                <c:pt idx="23">
                  <c:v>255410</c:v>
                </c:pt>
                <c:pt idx="24">
                  <c:v>275610</c:v>
                </c:pt>
                <c:pt idx="25">
                  <c:v>214691</c:v>
                </c:pt>
                <c:pt idx="26">
                  <c:v>220918</c:v>
                </c:pt>
                <c:pt idx="27">
                  <c:v>202846</c:v>
                </c:pt>
                <c:pt idx="28">
                  <c:v>184649</c:v>
                </c:pt>
                <c:pt idx="29">
                  <c:v>167422</c:v>
                </c:pt>
                <c:pt idx="30">
                  <c:v>215459</c:v>
                </c:pt>
                <c:pt idx="31">
                  <c:v>203628</c:v>
                </c:pt>
                <c:pt idx="32">
                  <c:v>216132</c:v>
                </c:pt>
                <c:pt idx="33">
                  <c:v>227543</c:v>
                </c:pt>
                <c:pt idx="34">
                  <c:v>261261</c:v>
                </c:pt>
                <c:pt idx="35">
                  <c:v>293385</c:v>
                </c:pt>
                <c:pt idx="36">
                  <c:v>321304</c:v>
                </c:pt>
                <c:pt idx="37">
                  <c:v>237633</c:v>
                </c:pt>
                <c:pt idx="38">
                  <c:v>261862</c:v>
                </c:pt>
                <c:pt idx="39">
                  <c:v>239694</c:v>
                </c:pt>
                <c:pt idx="40">
                  <c:v>209733</c:v>
                </c:pt>
                <c:pt idx="41">
                  <c:v>197587</c:v>
                </c:pt>
                <c:pt idx="42">
                  <c:v>244027</c:v>
                </c:pt>
                <c:pt idx="43">
                  <c:v>216649</c:v>
                </c:pt>
                <c:pt idx="44">
                  <c:v>225687</c:v>
                </c:pt>
                <c:pt idx="45">
                  <c:v>225655</c:v>
                </c:pt>
                <c:pt idx="46">
                  <c:v>247326</c:v>
                </c:pt>
                <c:pt idx="47">
                  <c:v>306382</c:v>
                </c:pt>
                <c:pt idx="48">
                  <c:v>308471</c:v>
                </c:pt>
                <c:pt idx="49">
                  <c:v>255005</c:v>
                </c:pt>
                <c:pt idx="50">
                  <c:v>118614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495</c:v>
                </c:pt>
                <c:pt idx="55">
                  <c:v>890</c:v>
                </c:pt>
                <c:pt idx="56">
                  <c:v>1392</c:v>
                </c:pt>
                <c:pt idx="57">
                  <c:v>1829</c:v>
                </c:pt>
                <c:pt idx="58">
                  <c:v>3897</c:v>
                </c:pt>
                <c:pt idx="59">
                  <c:v>7865</c:v>
                </c:pt>
                <c:pt idx="60">
                  <c:v>8229</c:v>
                </c:pt>
                <c:pt idx="61">
                  <c:v>3648</c:v>
                </c:pt>
                <c:pt idx="62">
                  <c:v>5784</c:v>
                </c:pt>
                <c:pt idx="63">
                  <c:v>4959</c:v>
                </c:pt>
                <c:pt idx="64">
                  <c:v>3361</c:v>
                </c:pt>
                <c:pt idx="65">
                  <c:v>2643</c:v>
                </c:pt>
                <c:pt idx="66">
                  <c:v>2004</c:v>
                </c:pt>
                <c:pt idx="67">
                  <c:v>1883</c:v>
                </c:pt>
                <c:pt idx="68">
                  <c:v>1959</c:v>
                </c:pt>
                <c:pt idx="69">
                  <c:v>9770</c:v>
                </c:pt>
                <c:pt idx="70">
                  <c:v>35285</c:v>
                </c:pt>
                <c:pt idx="71">
                  <c:v>53384</c:v>
                </c:pt>
                <c:pt idx="72">
                  <c:v>65077</c:v>
                </c:pt>
                <c:pt idx="73">
                  <c:v>54803</c:v>
                </c:pt>
                <c:pt idx="74">
                  <c:v>86454</c:v>
                </c:pt>
                <c:pt idx="75">
                  <c:v>117027</c:v>
                </c:pt>
                <c:pt idx="76">
                  <c:v>112595</c:v>
                </c:pt>
                <c:pt idx="77">
                  <c:v>104309</c:v>
                </c:pt>
                <c:pt idx="78">
                  <c:v>147686</c:v>
                </c:pt>
                <c:pt idx="79">
                  <c:v>143140</c:v>
                </c:pt>
                <c:pt idx="80">
                  <c:v>147480</c:v>
                </c:pt>
                <c:pt idx="81">
                  <c:v>165092</c:v>
                </c:pt>
                <c:pt idx="82">
                  <c:v>196077</c:v>
                </c:pt>
                <c:pt idx="83">
                  <c:v>183609</c:v>
                </c:pt>
                <c:pt idx="84">
                  <c:v>239235</c:v>
                </c:pt>
                <c:pt idx="85">
                  <c:v>205935</c:v>
                </c:pt>
                <c:pt idx="86">
                  <c:v>221206</c:v>
                </c:pt>
                <c:pt idx="87">
                  <c:v>222626</c:v>
                </c:pt>
                <c:pt idx="88">
                  <c:v>196288</c:v>
                </c:pt>
                <c:pt idx="89">
                  <c:v>199427</c:v>
                </c:pt>
                <c:pt idx="90">
                  <c:v>263563</c:v>
                </c:pt>
                <c:pt idx="91">
                  <c:v>236928</c:v>
                </c:pt>
                <c:pt idx="92">
                  <c:v>239336</c:v>
                </c:pt>
                <c:pt idx="93">
                  <c:v>262043</c:v>
                </c:pt>
                <c:pt idx="94">
                  <c:v>311342</c:v>
                </c:pt>
                <c:pt idx="95">
                  <c:v>274711</c:v>
                </c:pt>
                <c:pt idx="96">
                  <c:v>327427</c:v>
                </c:pt>
                <c:pt idx="97">
                  <c:v>256687</c:v>
                </c:pt>
                <c:pt idx="98">
                  <c:v>278366</c:v>
                </c:pt>
                <c:pt idx="99">
                  <c:v>224410</c:v>
                </c:pt>
                <c:pt idx="100">
                  <c:v>182803</c:v>
                </c:pt>
                <c:pt idx="101">
                  <c:v>169847</c:v>
                </c:pt>
                <c:pt idx="102">
                  <c:v>233105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09-4163-BE9F-A75D90800F29}"/>
            </c:ext>
          </c:extLst>
        </c:ser>
        <c:ser>
          <c:idx val="1"/>
          <c:order val="1"/>
          <c:tx>
            <c:strRef>
              <c:f>'Simple Linear Regression Predic'!$AI$2</c:f>
              <c:strCache>
                <c:ptCount val="1"/>
                <c:pt idx="0">
                  <c:v>Previsión(SUM de Turistas CABA)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Linear Regression Predic'!$AG$3:$AG$122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'Simple Linear Regression Predic'!$AI$3:$AI$122</c:f>
              <c:numCache>
                <c:formatCode>General</c:formatCode>
                <c:ptCount val="120"/>
                <c:pt idx="102" formatCode="#,##0">
                  <c:v>233105</c:v>
                </c:pt>
                <c:pt idx="103" formatCode="0">
                  <c:v>142913.28</c:v>
                </c:pt>
                <c:pt idx="104" formatCode="0">
                  <c:v>142391.85</c:v>
                </c:pt>
                <c:pt idx="105" formatCode="0">
                  <c:v>141870.42000000001</c:v>
                </c:pt>
                <c:pt idx="106" formatCode="0">
                  <c:v>141348.99</c:v>
                </c:pt>
                <c:pt idx="107" formatCode="0">
                  <c:v>140827.56</c:v>
                </c:pt>
                <c:pt idx="108" formatCode="0">
                  <c:v>140306.13</c:v>
                </c:pt>
                <c:pt idx="109" formatCode="0">
                  <c:v>139784.70000000001</c:v>
                </c:pt>
                <c:pt idx="110" formatCode="0">
                  <c:v>139263.27000000002</c:v>
                </c:pt>
                <c:pt idx="111" formatCode="0">
                  <c:v>138741.84</c:v>
                </c:pt>
                <c:pt idx="112" formatCode="0">
                  <c:v>138220.41</c:v>
                </c:pt>
                <c:pt idx="113" formatCode="0">
                  <c:v>137698.98000000001</c:v>
                </c:pt>
                <c:pt idx="114" formatCode="0">
                  <c:v>137177.54999999999</c:v>
                </c:pt>
                <c:pt idx="115" formatCode="0">
                  <c:v>136656.12</c:v>
                </c:pt>
                <c:pt idx="116" formatCode="0">
                  <c:v>136134.69</c:v>
                </c:pt>
                <c:pt idx="117" formatCode="0">
                  <c:v>135613.26</c:v>
                </c:pt>
                <c:pt idx="118" formatCode="0">
                  <c:v>135091.83000000002</c:v>
                </c:pt>
                <c:pt idx="119" formatCode="0">
                  <c:v>134570.40000000002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09-4163-BE9F-A75D90800F29}"/>
            </c:ext>
          </c:extLst>
        </c:ser>
        <c:ser>
          <c:idx val="2"/>
          <c:order val="2"/>
          <c:tx>
            <c:strRef>
              <c:f>'Simple Linear Regression Predic'!$AJ$2</c:f>
              <c:strCache>
                <c:ptCount val="1"/>
                <c:pt idx="0">
                  <c:v>Límite de confianza inferior(SUM de Turistas CABA)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'Simple Linear Regression Predic'!$AG$3:$AG$122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'Simple Linear Regression Predic'!$AJ$3:$AJ$122</c:f>
              <c:numCache>
                <c:formatCode>General</c:formatCode>
                <c:ptCount val="120"/>
                <c:pt idx="102" formatCode="#,##0">
                  <c:v>233105</c:v>
                </c:pt>
                <c:pt idx="103" formatCode="0.00">
                  <c:v>76400.185558008801</c:v>
                </c:pt>
                <c:pt idx="104" formatCode="0.00">
                  <c:v>48375.149861004946</c:v>
                </c:pt>
                <c:pt idx="105" formatCode="0.00">
                  <c:v>26704.749606106343</c:v>
                </c:pt>
                <c:pt idx="106" formatCode="0.00">
                  <c:v>8322.767859474523</c:v>
                </c:pt>
                <c:pt idx="107" formatCode="0.00">
                  <c:v>-7959.8089938954508</c:v>
                </c:pt>
                <c:pt idx="108" formatCode="0.00">
                  <c:v>-22752.928842782247</c:v>
                </c:pt>
                <c:pt idx="109" formatCode="0.00">
                  <c:v>-36418.907002435881</c:v>
                </c:pt>
                <c:pt idx="110" formatCode="0.00">
                  <c:v>-49193.76321986664</c:v>
                </c:pt>
                <c:pt idx="111" formatCode="0.00">
                  <c:v>-61241.389963845984</c:v>
                </c:pt>
                <c:pt idx="112" formatCode="0.00">
                  <c:v>-72681.075672500941</c:v>
                </c:pt>
                <c:pt idx="113" formatCode="0.00">
                  <c:v>-83602.839681412064</c:v>
                </c:pt>
                <c:pt idx="114" formatCode="0.00">
                  <c:v>-94076.590116591775</c:v>
                </c:pt>
                <c:pt idx="115" formatCode="0.00">
                  <c:v>-104157.89804532001</c:v>
                </c:pt>
                <c:pt idx="116" formatCode="0.00">
                  <c:v>-113891.80087744689</c:v>
                </c:pt>
                <c:pt idx="117" formatCode="0.00">
                  <c:v>-123315.3995360249</c:v>
                </c:pt>
                <c:pt idx="118" formatCode="0.00">
                  <c:v>-132459.68634968018</c:v>
                </c:pt>
                <c:pt idx="119" formatCode="0.00">
                  <c:v>-141350.86504520255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409-4163-BE9F-A75D90800F29}"/>
            </c:ext>
          </c:extLst>
        </c:ser>
        <c:ser>
          <c:idx val="3"/>
          <c:order val="3"/>
          <c:tx>
            <c:strRef>
              <c:f>'Simple Linear Regression Predic'!$AK$2</c:f>
              <c:strCache>
                <c:ptCount val="1"/>
                <c:pt idx="0">
                  <c:v>Límite de confianza superior(SUM de Turistas CABA)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'Simple Linear Regression Predic'!$AG$3:$AG$122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'Simple Linear Regression Predic'!$AK$3:$AK$122</c:f>
              <c:numCache>
                <c:formatCode>General</c:formatCode>
                <c:ptCount val="120"/>
                <c:pt idx="102" formatCode="#,##0">
                  <c:v>233105</c:v>
                </c:pt>
                <c:pt idx="103" formatCode="0.00">
                  <c:v>209426.37444199121</c:v>
                </c:pt>
                <c:pt idx="104" formatCode="0.00">
                  <c:v>236408.55013899505</c:v>
                </c:pt>
                <c:pt idx="105" formatCode="0.00">
                  <c:v>257036.09039389368</c:v>
                </c:pt>
                <c:pt idx="106" formatCode="0.00">
                  <c:v>274375.21214052546</c:v>
                </c:pt>
                <c:pt idx="107" formatCode="0.00">
                  <c:v>289614.92899389542</c:v>
                </c:pt>
                <c:pt idx="108" formatCode="0.00">
                  <c:v>303365.18884278229</c:v>
                </c:pt>
                <c:pt idx="109" formatCode="0.00">
                  <c:v>315988.3070024359</c:v>
                </c:pt>
                <c:pt idx="110" formatCode="0.00">
                  <c:v>327720.30321986671</c:v>
                </c:pt>
                <c:pt idx="111" formatCode="0.00">
                  <c:v>338725.06996384601</c:v>
                </c:pt>
                <c:pt idx="112" formatCode="0.00">
                  <c:v>349121.89567250095</c:v>
                </c:pt>
                <c:pt idx="113" formatCode="0.00">
                  <c:v>359000.79968141206</c:v>
                </c:pt>
                <c:pt idx="114" formatCode="0.00">
                  <c:v>368431.69011659175</c:v>
                </c:pt>
                <c:pt idx="115" formatCode="0.00">
                  <c:v>377470.13804532</c:v>
                </c:pt>
                <c:pt idx="116" formatCode="0.00">
                  <c:v>386161.1808774469</c:v>
                </c:pt>
                <c:pt idx="117" formatCode="0.00">
                  <c:v>394541.91953602491</c:v>
                </c:pt>
                <c:pt idx="118" formatCode="0.00">
                  <c:v>402643.34634968021</c:v>
                </c:pt>
                <c:pt idx="119" formatCode="0.00">
                  <c:v>410491.66504520259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409-4163-BE9F-A75D90800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48736"/>
        <c:axId val="562742504"/>
      </c:lineChart>
      <c:dateAx>
        <c:axId val="56274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2504"/>
        <c:crosses val="autoZero"/>
        <c:auto val="1"/>
        <c:lblOffset val="100"/>
        <c:baseTimeUnit val="months"/>
      </c:dateAx>
      <c:valAx>
        <c:axId val="562742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87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0" i="0" baseline="0">
                <a:effectLst/>
              </a:rPr>
              <a:t>Turismo Receptivo</a:t>
            </a:r>
            <a:endParaRPr lang="es-A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741559478978169E-2"/>
          <c:y val="4.8926180654931387E-2"/>
          <c:w val="0.87213054889877895"/>
          <c:h val="0.78179798985893711"/>
        </c:manualLayout>
      </c:layout>
      <c:lineChart>
        <c:grouping val="standard"/>
        <c:varyColors val="0"/>
        <c:ser>
          <c:idx val="0"/>
          <c:order val="0"/>
          <c:tx>
            <c:strRef>
              <c:f>'Simple Linear Regression Predic'!$S$2</c:f>
              <c:strCache>
                <c:ptCount val="1"/>
                <c:pt idx="0">
                  <c:v>Cantidad de turistas (datos reales hasta febrero 2020)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mpd="sng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cat>
            <c:numRef>
              <c:f>'Simple Linear Regression Predic'!$R$3:$R$123</c:f>
              <c:numCache>
                <c:formatCode>mmm\-yy</c:formatCode>
                <c:ptCount val="12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  <c:pt idx="120">
                  <c:v>46023</c:v>
                </c:pt>
              </c:numCache>
            </c:numRef>
          </c:cat>
          <c:val>
            <c:numRef>
              <c:f>'Simple Linear Regression Predic'!$S$3:$S$123</c:f>
              <c:numCache>
                <c:formatCode>General</c:formatCode>
                <c:ptCount val="121"/>
                <c:pt idx="0">
                  <c:v>248684</c:v>
                </c:pt>
                <c:pt idx="1">
                  <c:v>211731</c:v>
                </c:pt>
                <c:pt idx="2">
                  <c:v>210862</c:v>
                </c:pt>
                <c:pt idx="3">
                  <c:v>182419</c:v>
                </c:pt>
                <c:pt idx="4">
                  <c:v>176403</c:v>
                </c:pt>
                <c:pt idx="5">
                  <c:v>160586</c:v>
                </c:pt>
                <c:pt idx="6">
                  <c:v>205385</c:v>
                </c:pt>
                <c:pt idx="7">
                  <c:v>188354</c:v>
                </c:pt>
                <c:pt idx="8">
                  <c:v>187990</c:v>
                </c:pt>
                <c:pt idx="9">
                  <c:v>204246</c:v>
                </c:pt>
                <c:pt idx="10">
                  <c:v>230713</c:v>
                </c:pt>
                <c:pt idx="11">
                  <c:v>242419</c:v>
                </c:pt>
                <c:pt idx="12">
                  <c:v>246675</c:v>
                </c:pt>
                <c:pt idx="13">
                  <c:v>208332</c:v>
                </c:pt>
                <c:pt idx="14">
                  <c:v>215957</c:v>
                </c:pt>
                <c:pt idx="15">
                  <c:v>200426</c:v>
                </c:pt>
                <c:pt idx="16">
                  <c:v>179443</c:v>
                </c:pt>
                <c:pt idx="17">
                  <c:v>167766</c:v>
                </c:pt>
                <c:pt idx="18">
                  <c:v>211456</c:v>
                </c:pt>
                <c:pt idx="19">
                  <c:v>193354</c:v>
                </c:pt>
                <c:pt idx="20">
                  <c:v>199160</c:v>
                </c:pt>
                <c:pt idx="21">
                  <c:v>224240</c:v>
                </c:pt>
                <c:pt idx="22">
                  <c:v>243719</c:v>
                </c:pt>
                <c:pt idx="23">
                  <c:v>255410</c:v>
                </c:pt>
                <c:pt idx="24">
                  <c:v>275610</c:v>
                </c:pt>
                <c:pt idx="25">
                  <c:v>214691</c:v>
                </c:pt>
                <c:pt idx="26">
                  <c:v>220918</c:v>
                </c:pt>
                <c:pt idx="27">
                  <c:v>202846</c:v>
                </c:pt>
                <c:pt idx="28">
                  <c:v>184649</c:v>
                </c:pt>
                <c:pt idx="29">
                  <c:v>167422</c:v>
                </c:pt>
                <c:pt idx="30">
                  <c:v>215459</c:v>
                </c:pt>
                <c:pt idx="31">
                  <c:v>203628</c:v>
                </c:pt>
                <c:pt idx="32">
                  <c:v>216132</c:v>
                </c:pt>
                <c:pt idx="33">
                  <c:v>227543</c:v>
                </c:pt>
                <c:pt idx="34">
                  <c:v>261261</c:v>
                </c:pt>
                <c:pt idx="35">
                  <c:v>293385</c:v>
                </c:pt>
                <c:pt idx="36">
                  <c:v>321304</c:v>
                </c:pt>
                <c:pt idx="37">
                  <c:v>237633</c:v>
                </c:pt>
                <c:pt idx="38">
                  <c:v>261862</c:v>
                </c:pt>
                <c:pt idx="39">
                  <c:v>239694</c:v>
                </c:pt>
                <c:pt idx="40">
                  <c:v>209733</c:v>
                </c:pt>
                <c:pt idx="41">
                  <c:v>197587</c:v>
                </c:pt>
                <c:pt idx="42">
                  <c:v>244027</c:v>
                </c:pt>
                <c:pt idx="43">
                  <c:v>216649</c:v>
                </c:pt>
                <c:pt idx="44">
                  <c:v>225687</c:v>
                </c:pt>
                <c:pt idx="45">
                  <c:v>225655</c:v>
                </c:pt>
                <c:pt idx="46">
                  <c:v>247326</c:v>
                </c:pt>
                <c:pt idx="47">
                  <c:v>306382</c:v>
                </c:pt>
                <c:pt idx="48">
                  <c:v>308471</c:v>
                </c:pt>
                <c:pt idx="49">
                  <c:v>255005</c:v>
                </c:pt>
                <c:pt idx="50">
                  <c:v>255422.40820000001</c:v>
                </c:pt>
                <c:pt idx="51">
                  <c:v>256673.25639999998</c:v>
                </c:pt>
                <c:pt idx="52">
                  <c:v>257924.10459999999</c:v>
                </c:pt>
                <c:pt idx="53">
                  <c:v>259174.95279999997</c:v>
                </c:pt>
                <c:pt idx="54">
                  <c:v>260425.80099999998</c:v>
                </c:pt>
                <c:pt idx="55">
                  <c:v>261676.64919999999</c:v>
                </c:pt>
                <c:pt idx="56">
                  <c:v>262927.49739999999</c:v>
                </c:pt>
                <c:pt idx="57">
                  <c:v>264178.3456</c:v>
                </c:pt>
                <c:pt idx="58">
                  <c:v>265429.19380000001</c:v>
                </c:pt>
                <c:pt idx="59">
                  <c:v>266680.04200000002</c:v>
                </c:pt>
                <c:pt idx="60">
                  <c:v>267930.89020000002</c:v>
                </c:pt>
                <c:pt idx="61">
                  <c:v>269181.73839999997</c:v>
                </c:pt>
                <c:pt idx="62">
                  <c:v>270432.58659999998</c:v>
                </c:pt>
                <c:pt idx="63">
                  <c:v>271683.43479999999</c:v>
                </c:pt>
                <c:pt idx="64">
                  <c:v>272934.283</c:v>
                </c:pt>
                <c:pt idx="65">
                  <c:v>274185.1312</c:v>
                </c:pt>
                <c:pt idx="66">
                  <c:v>275435.97939999995</c:v>
                </c:pt>
                <c:pt idx="67">
                  <c:v>276686.82759999996</c:v>
                </c:pt>
                <c:pt idx="68">
                  <c:v>277937.67579999997</c:v>
                </c:pt>
                <c:pt idx="69">
                  <c:v>279188.52399999998</c:v>
                </c:pt>
                <c:pt idx="70">
                  <c:v>280439.37219999998</c:v>
                </c:pt>
                <c:pt idx="71">
                  <c:v>281690.22039999999</c:v>
                </c:pt>
                <c:pt idx="72">
                  <c:v>282941.0686</c:v>
                </c:pt>
                <c:pt idx="73">
                  <c:v>284191.91680000001</c:v>
                </c:pt>
                <c:pt idx="74">
                  <c:v>285442.76500000001</c:v>
                </c:pt>
                <c:pt idx="75">
                  <c:v>286693.61320000002</c:v>
                </c:pt>
                <c:pt idx="76">
                  <c:v>287944.46139999997</c:v>
                </c:pt>
                <c:pt idx="77">
                  <c:v>289195.30959999998</c:v>
                </c:pt>
                <c:pt idx="78">
                  <c:v>290446.15779999999</c:v>
                </c:pt>
                <c:pt idx="79">
                  <c:v>291697.00599999999</c:v>
                </c:pt>
                <c:pt idx="80">
                  <c:v>292947.8542</c:v>
                </c:pt>
                <c:pt idx="81">
                  <c:v>294198.70239999995</c:v>
                </c:pt>
                <c:pt idx="82">
                  <c:v>295449.55059999996</c:v>
                </c:pt>
                <c:pt idx="83">
                  <c:v>296700.39879999997</c:v>
                </c:pt>
                <c:pt idx="84">
                  <c:v>297951.24699999997</c:v>
                </c:pt>
                <c:pt idx="85">
                  <c:v>299202.09519999998</c:v>
                </c:pt>
                <c:pt idx="86">
                  <c:v>300452.94339999999</c:v>
                </c:pt>
                <c:pt idx="87">
                  <c:v>301703.7916</c:v>
                </c:pt>
                <c:pt idx="88">
                  <c:v>302954.6398</c:v>
                </c:pt>
                <c:pt idx="89">
                  <c:v>304205.48800000001</c:v>
                </c:pt>
                <c:pt idx="90">
                  <c:v>305456.33620000002</c:v>
                </c:pt>
                <c:pt idx="91">
                  <c:v>306707.18439999997</c:v>
                </c:pt>
                <c:pt idx="92">
                  <c:v>307958.03259999998</c:v>
                </c:pt>
                <c:pt idx="93">
                  <c:v>309208.88079999998</c:v>
                </c:pt>
                <c:pt idx="94">
                  <c:v>310459.72899999999</c:v>
                </c:pt>
                <c:pt idx="95">
                  <c:v>311710.5772</c:v>
                </c:pt>
                <c:pt idx="96">
                  <c:v>312961.42539999995</c:v>
                </c:pt>
                <c:pt idx="97">
                  <c:v>314212.27359999996</c:v>
                </c:pt>
                <c:pt idx="98">
                  <c:v>315463.12179999996</c:v>
                </c:pt>
                <c:pt idx="99">
                  <c:v>316713.96999999997</c:v>
                </c:pt>
                <c:pt idx="100">
                  <c:v>317964.81819999998</c:v>
                </c:pt>
                <c:pt idx="101">
                  <c:v>319215.66639999999</c:v>
                </c:pt>
                <c:pt idx="102">
                  <c:v>320466.51459999999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7-4104-8B5B-3F7C13CE5F81}"/>
            </c:ext>
          </c:extLst>
        </c:ser>
        <c:ser>
          <c:idx val="1"/>
          <c:order val="1"/>
          <c:tx>
            <c:strRef>
              <c:f>'Simple Linear Regression Predic'!$T$2</c:f>
              <c:strCache>
                <c:ptCount val="1"/>
                <c:pt idx="0">
                  <c:v>Previsión tomando datos reales hasta febrero 2020 y ficticios hasta julio 2024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Linear Regression Predic'!$R$3:$R$123</c:f>
              <c:numCache>
                <c:formatCode>mmm\-yy</c:formatCode>
                <c:ptCount val="12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  <c:pt idx="120">
                  <c:v>46023</c:v>
                </c:pt>
              </c:numCache>
            </c:numRef>
          </c:cat>
          <c:val>
            <c:numRef>
              <c:f>'Simple Linear Regression Predic'!$T$3:$T$123</c:f>
              <c:numCache>
                <c:formatCode>General</c:formatCode>
                <c:ptCount val="121"/>
                <c:pt idx="50">
                  <c:v>255422.40820000001</c:v>
                </c:pt>
                <c:pt idx="51">
                  <c:v>256673.25639999998</c:v>
                </c:pt>
                <c:pt idx="52">
                  <c:v>257924.10459999999</c:v>
                </c:pt>
                <c:pt idx="53">
                  <c:v>259174.95279999997</c:v>
                </c:pt>
                <c:pt idx="54">
                  <c:v>260425.80099999998</c:v>
                </c:pt>
                <c:pt idx="55">
                  <c:v>261676.64919999999</c:v>
                </c:pt>
                <c:pt idx="56">
                  <c:v>262927.49739999999</c:v>
                </c:pt>
                <c:pt idx="57">
                  <c:v>264178.3456</c:v>
                </c:pt>
                <c:pt idx="58">
                  <c:v>265429.19380000001</c:v>
                </c:pt>
                <c:pt idx="59">
                  <c:v>266680.04200000002</c:v>
                </c:pt>
                <c:pt idx="60">
                  <c:v>267930.89020000002</c:v>
                </c:pt>
                <c:pt idx="61">
                  <c:v>269181.73839999997</c:v>
                </c:pt>
                <c:pt idx="62">
                  <c:v>270432.58659999998</c:v>
                </c:pt>
                <c:pt idx="63">
                  <c:v>271683.43479999999</c:v>
                </c:pt>
                <c:pt idx="64">
                  <c:v>272934.283</c:v>
                </c:pt>
                <c:pt idx="65">
                  <c:v>274185.1312</c:v>
                </c:pt>
                <c:pt idx="66">
                  <c:v>275435.97939999995</c:v>
                </c:pt>
                <c:pt idx="67">
                  <c:v>276686.82759999996</c:v>
                </c:pt>
                <c:pt idx="68">
                  <c:v>277937.67579999997</c:v>
                </c:pt>
                <c:pt idx="69">
                  <c:v>279188.52399999998</c:v>
                </c:pt>
                <c:pt idx="70">
                  <c:v>280439.37219999998</c:v>
                </c:pt>
                <c:pt idx="71">
                  <c:v>281690.22039999999</c:v>
                </c:pt>
                <c:pt idx="72">
                  <c:v>282941.0686</c:v>
                </c:pt>
                <c:pt idx="73">
                  <c:v>284191.91680000001</c:v>
                </c:pt>
                <c:pt idx="74">
                  <c:v>285442.76500000001</c:v>
                </c:pt>
                <c:pt idx="75">
                  <c:v>286693.61320000002</c:v>
                </c:pt>
                <c:pt idx="76">
                  <c:v>287944.46139999997</c:v>
                </c:pt>
                <c:pt idx="77">
                  <c:v>289195.30959999998</c:v>
                </c:pt>
                <c:pt idx="78">
                  <c:v>290446.15779999999</c:v>
                </c:pt>
                <c:pt idx="79">
                  <c:v>291697.00599999999</c:v>
                </c:pt>
                <c:pt idx="80">
                  <c:v>292947.8542</c:v>
                </c:pt>
                <c:pt idx="81">
                  <c:v>294198.70239999995</c:v>
                </c:pt>
                <c:pt idx="82">
                  <c:v>295449.55059999996</c:v>
                </c:pt>
                <c:pt idx="83">
                  <c:v>296700.39879999997</c:v>
                </c:pt>
                <c:pt idx="84">
                  <c:v>297951.24699999997</c:v>
                </c:pt>
                <c:pt idx="85">
                  <c:v>299202.09519999998</c:v>
                </c:pt>
                <c:pt idx="86">
                  <c:v>300452.94339999999</c:v>
                </c:pt>
                <c:pt idx="87">
                  <c:v>301703.7916</c:v>
                </c:pt>
                <c:pt idx="88">
                  <c:v>302954.6398</c:v>
                </c:pt>
                <c:pt idx="89">
                  <c:v>304205.48800000001</c:v>
                </c:pt>
                <c:pt idx="90">
                  <c:v>305456.33620000002</c:v>
                </c:pt>
                <c:pt idx="91">
                  <c:v>306707.18439999997</c:v>
                </c:pt>
                <c:pt idx="92">
                  <c:v>307958.03259999998</c:v>
                </c:pt>
                <c:pt idx="93">
                  <c:v>309208.88079999998</c:v>
                </c:pt>
                <c:pt idx="94">
                  <c:v>310459.72899999999</c:v>
                </c:pt>
                <c:pt idx="95">
                  <c:v>311710.5772</c:v>
                </c:pt>
                <c:pt idx="96">
                  <c:v>312961.42539999995</c:v>
                </c:pt>
                <c:pt idx="97">
                  <c:v>314212.27359999996</c:v>
                </c:pt>
                <c:pt idx="98">
                  <c:v>315463.12179999996</c:v>
                </c:pt>
                <c:pt idx="99">
                  <c:v>316713.96999999997</c:v>
                </c:pt>
                <c:pt idx="100">
                  <c:v>317964.81819999998</c:v>
                </c:pt>
                <c:pt idx="101">
                  <c:v>319215.66639999999</c:v>
                </c:pt>
                <c:pt idx="102">
                  <c:v>320466.51459999999</c:v>
                </c:pt>
                <c:pt idx="103">
                  <c:v>321717.3628</c:v>
                </c:pt>
                <c:pt idx="104">
                  <c:v>322968.21100000001</c:v>
                </c:pt>
                <c:pt idx="105">
                  <c:v>324219.05920000002</c:v>
                </c:pt>
                <c:pt idx="106">
                  <c:v>325469.90740000003</c:v>
                </c:pt>
                <c:pt idx="107">
                  <c:v>326720.75559999997</c:v>
                </c:pt>
                <c:pt idx="108">
                  <c:v>327971.60379999998</c:v>
                </c:pt>
                <c:pt idx="109">
                  <c:v>329222.45199999999</c:v>
                </c:pt>
                <c:pt idx="110">
                  <c:v>330473.3002</c:v>
                </c:pt>
                <c:pt idx="111">
                  <c:v>331724.14839999995</c:v>
                </c:pt>
                <c:pt idx="112">
                  <c:v>332974.99659999995</c:v>
                </c:pt>
                <c:pt idx="113">
                  <c:v>334225.84479999996</c:v>
                </c:pt>
                <c:pt idx="114">
                  <c:v>335476.69299999997</c:v>
                </c:pt>
                <c:pt idx="115">
                  <c:v>336727.54119999998</c:v>
                </c:pt>
                <c:pt idx="116">
                  <c:v>337978.38939999999</c:v>
                </c:pt>
                <c:pt idx="117">
                  <c:v>339229.23759999999</c:v>
                </c:pt>
                <c:pt idx="118">
                  <c:v>340480.0858</c:v>
                </c:pt>
                <c:pt idx="119">
                  <c:v>341730.93400000001</c:v>
                </c:pt>
                <c:pt idx="120">
                  <c:v>342981.78220000002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7-4104-8B5B-3F7C13CE5F81}"/>
            </c:ext>
          </c:extLst>
        </c:ser>
        <c:ser>
          <c:idx val="2"/>
          <c:order val="2"/>
          <c:tx>
            <c:strRef>
              <c:f>'Simple Linear Regression Predic'!$U$2</c:f>
              <c:strCache>
                <c:ptCount val="1"/>
                <c:pt idx="0">
                  <c:v>Límite de confianza inferior(SUM de Turistas CABA)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'Simple Linear Regression Predic'!$R$3:$R$123</c:f>
              <c:numCache>
                <c:formatCode>mmm\-yy</c:formatCode>
                <c:ptCount val="12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  <c:pt idx="120">
                  <c:v>46023</c:v>
                </c:pt>
              </c:numCache>
            </c:numRef>
          </c:cat>
          <c:val>
            <c:numRef>
              <c:f>'Simple Linear Regression Predic'!$U$3:$U$123</c:f>
              <c:numCache>
                <c:formatCode>General</c:formatCode>
                <c:ptCount val="121"/>
                <c:pt idx="103" formatCode="0.00">
                  <c:v>293654.22878038022</c:v>
                </c:pt>
                <c:pt idx="104" formatCode="0.00">
                  <c:v>294904.95069656125</c:v>
                </c:pt>
                <c:pt idx="105" formatCode="0.00">
                  <c:v>296155.57439339737</c:v>
                </c:pt>
                <c:pt idx="106" formatCode="0.00">
                  <c:v>297406.07181079924</c:v>
                </c:pt>
                <c:pt idx="107" formatCode="0.00">
                  <c:v>298656.41489156062</c:v>
                </c:pt>
                <c:pt idx="108" formatCode="0.00">
                  <c:v>299906.57558276091</c:v>
                </c:pt>
                <c:pt idx="109" formatCode="0.00">
                  <c:v>301156.52583744744</c:v>
                </c:pt>
                <c:pt idx="110" formatCode="0.00">
                  <c:v>302406.23761659767</c:v>
                </c:pt>
                <c:pt idx="111" formatCode="0.00">
                  <c:v>303655.68289135979</c:v>
                </c:pt>
                <c:pt idx="112" formatCode="0.00">
                  <c:v>304904.83364557213</c:v>
                </c:pt>
                <c:pt idx="113" formatCode="0.00">
                  <c:v>306153.66187855904</c:v>
                </c:pt>
                <c:pt idx="114" formatCode="0.00">
                  <c:v>307402.13960820372</c:v>
                </c:pt>
                <c:pt idx="115" formatCode="0.00">
                  <c:v>301402.41984296305</c:v>
                </c:pt>
                <c:pt idx="116" formatCode="0.00">
                  <c:v>302650.76005305874</c:v>
                </c:pt>
                <c:pt idx="117" formatCode="0.00">
                  <c:v>303898.75493439578</c:v>
                </c:pt>
                <c:pt idx="118" formatCode="0.00">
                  <c:v>305146.38228200661</c:v>
                </c:pt>
                <c:pt idx="119" formatCode="0.00">
                  <c:v>306393.61991003918</c:v>
                </c:pt>
                <c:pt idx="120" formatCode="0.00">
                  <c:v>307640.44565412507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7-4104-8B5B-3F7C13CE5F81}"/>
            </c:ext>
          </c:extLst>
        </c:ser>
        <c:ser>
          <c:idx val="3"/>
          <c:order val="3"/>
          <c:tx>
            <c:strRef>
              <c:f>'Simple Linear Regression Predic'!$V$2</c:f>
              <c:strCache>
                <c:ptCount val="1"/>
                <c:pt idx="0">
                  <c:v>Límite de confianza superior(SUM de Turistas CABA)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'Simple Linear Regression Predic'!$R$3:$R$123</c:f>
              <c:numCache>
                <c:formatCode>mmm\-yy</c:formatCode>
                <c:ptCount val="12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  <c:pt idx="120">
                  <c:v>46023</c:v>
                </c:pt>
              </c:numCache>
            </c:numRef>
          </c:cat>
          <c:val>
            <c:numRef>
              <c:f>'Simple Linear Regression Predic'!$V$3:$V$123</c:f>
              <c:numCache>
                <c:formatCode>mmm\-yy</c:formatCode>
                <c:ptCount val="121"/>
                <c:pt idx="103" formatCode="0.00">
                  <c:v>349780.49681961979</c:v>
                </c:pt>
                <c:pt idx="104" formatCode="0.00">
                  <c:v>351031.47130343877</c:v>
                </c:pt>
                <c:pt idx="105" formatCode="0.00">
                  <c:v>352282.54400660266</c:v>
                </c:pt>
                <c:pt idx="106" formatCode="0.00">
                  <c:v>353533.74298920081</c:v>
                </c:pt>
                <c:pt idx="107" formatCode="0.00">
                  <c:v>354785.09630843933</c:v>
                </c:pt>
                <c:pt idx="108" formatCode="0.00">
                  <c:v>356036.63201723906</c:v>
                </c:pt>
                <c:pt idx="109" formatCode="0.00">
                  <c:v>357288.37816255254</c:v>
                </c:pt>
                <c:pt idx="110" formatCode="0.00">
                  <c:v>358540.36278340232</c:v>
                </c:pt>
                <c:pt idx="111" formatCode="0.00">
                  <c:v>359792.61390864011</c:v>
                </c:pt>
                <c:pt idx="112" formatCode="0.00">
                  <c:v>361045.15955442778</c:v>
                </c:pt>
                <c:pt idx="113" formatCode="0.00">
                  <c:v>362298.02772144089</c:v>
                </c:pt>
                <c:pt idx="114" formatCode="0.00">
                  <c:v>363551.24639179622</c:v>
                </c:pt>
                <c:pt idx="115" formatCode="0.00">
                  <c:v>372052.66255703691</c:v>
                </c:pt>
                <c:pt idx="116" formatCode="0.00">
                  <c:v>373306.01874694123</c:v>
                </c:pt>
                <c:pt idx="117" formatCode="0.00">
                  <c:v>374559.72026560421</c:v>
                </c:pt>
                <c:pt idx="118" formatCode="0.00">
                  <c:v>375813.78931799339</c:v>
                </c:pt>
                <c:pt idx="119" formatCode="0.00">
                  <c:v>377068.24808996083</c:v>
                </c:pt>
                <c:pt idx="120" formatCode="0.00">
                  <c:v>378323.11874587496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7-4104-8B5B-3F7C13CE5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48736"/>
        <c:axId val="562742504"/>
      </c:lineChart>
      <c:dateAx>
        <c:axId val="56274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2504"/>
        <c:crosses val="autoZero"/>
        <c:auto val="1"/>
        <c:lblOffset val="100"/>
        <c:baseTimeUnit val="months"/>
      </c:dateAx>
      <c:valAx>
        <c:axId val="562742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87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253312188783"/>
          <c:y val="6.2639957878822969E-2"/>
          <c:w val="0.80058708344818452"/>
          <c:h val="0.75839091860432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'Simple Linear Regression'!$B$19</c:f>
              <c:strCache>
                <c:ptCount val="1"/>
                <c:pt idx="0">
                  <c:v>Seasonally adjusted example below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1.4517673479791405E-2"/>
                  <c:y val="1.6069495301824954E-2"/>
                </c:manualLayout>
              </c:layout>
              <c:numFmt formatCode="General" sourceLinked="0"/>
            </c:trendlineLbl>
          </c:trendline>
          <c:xVal>
            <c:numRef>
              <c:f>'Simple Linear Regression'!$B$22:$B$124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'Simple Linear Regression'!$C$22:$C$124</c:f>
              <c:numCache>
                <c:formatCode>#,##0</c:formatCode>
                <c:ptCount val="103"/>
                <c:pt idx="0">
                  <c:v>163554.05993523935</c:v>
                </c:pt>
                <c:pt idx="1">
                  <c:v>186385.1538066793</c:v>
                </c:pt>
                <c:pt idx="2">
                  <c:v>184615.17654602198</c:v>
                </c:pt>
                <c:pt idx="3">
                  <c:v>204700.83844635609</c:v>
                </c:pt>
                <c:pt idx="4">
                  <c:v>242583.70449869026</c:v>
                </c:pt>
                <c:pt idx="5">
                  <c:v>238323.25929326477</c:v>
                </c:pt>
                <c:pt idx="6">
                  <c:v>239932.80180152546</c:v>
                </c:pt>
                <c:pt idx="7">
                  <c:v>249056.79957154609</c:v>
                </c:pt>
                <c:pt idx="8">
                  <c:v>229806.82064988138</c:v>
                </c:pt>
                <c:pt idx="9">
                  <c:v>222930.21241106166</c:v>
                </c:pt>
                <c:pt idx="10">
                  <c:v>197050.22828587753</c:v>
                </c:pt>
                <c:pt idx="11">
                  <c:v>174169.41747995917</c:v>
                </c:pt>
                <c:pt idx="12">
                  <c:v>162232.78431473341</c:v>
                </c:pt>
                <c:pt idx="13">
                  <c:v>183393.04052242285</c:v>
                </c:pt>
                <c:pt idx="14">
                  <c:v>189075.9818333757</c:v>
                </c:pt>
                <c:pt idx="15">
                  <c:v>224907.33008321153</c:v>
                </c:pt>
                <c:pt idx="16">
                  <c:v>246764.21425008914</c:v>
                </c:pt>
                <c:pt idx="17">
                  <c:v>248978.98894420348</c:v>
                </c:pt>
                <c:pt idx="18">
                  <c:v>247025.0044440605</c:v>
                </c:pt>
                <c:pt idx="19">
                  <c:v>255668.2014948274</c:v>
                </c:pt>
                <c:pt idx="20">
                  <c:v>243461.49476371284</c:v>
                </c:pt>
                <c:pt idx="21">
                  <c:v>244753.2428104172</c:v>
                </c:pt>
                <c:pt idx="22">
                  <c:v>208158.55451407499</c:v>
                </c:pt>
                <c:pt idx="23">
                  <c:v>183502.98829116684</c:v>
                </c:pt>
                <c:pt idx="24">
                  <c:v>181262.70471261247</c:v>
                </c:pt>
                <c:pt idx="25">
                  <c:v>188990.81880267785</c:v>
                </c:pt>
                <c:pt idx="26">
                  <c:v>193419.46662838294</c:v>
                </c:pt>
                <c:pt idx="27">
                  <c:v>227622.92456098075</c:v>
                </c:pt>
                <c:pt idx="28">
                  <c:v>253923.33719935975</c:v>
                </c:pt>
                <c:pt idx="29">
                  <c:v>248468.46373530055</c:v>
                </c:pt>
                <c:pt idx="30">
                  <c:v>251701.34889770369</c:v>
                </c:pt>
                <c:pt idx="31">
                  <c:v>269253.31016678584</c:v>
                </c:pt>
                <c:pt idx="32">
                  <c:v>264208.77578967053</c:v>
                </c:pt>
                <c:pt idx="33">
                  <c:v>248358.39782737583</c:v>
                </c:pt>
                <c:pt idx="34">
                  <c:v>223141.04403391507</c:v>
                </c:pt>
                <c:pt idx="35">
                  <c:v>210786.67326966047</c:v>
                </c:pt>
                <c:pt idx="36">
                  <c:v>211314.65503784781</c:v>
                </c:pt>
                <c:pt idx="37">
                  <c:v>209186.48310612343</c:v>
                </c:pt>
                <c:pt idx="38">
                  <c:v>229267.00572267364</c:v>
                </c:pt>
                <c:pt idx="39">
                  <c:v>268971.77799769148</c:v>
                </c:pt>
                <c:pt idx="40">
                  <c:v>288418.04331912613</c:v>
                </c:pt>
                <c:pt idx="41">
                  <c:v>293235.88503342948</c:v>
                </c:pt>
                <c:pt idx="42">
                  <c:v>285074.77091910731</c:v>
                </c:pt>
                <c:pt idx="43">
                  <c:v>286470.72305539506</c:v>
                </c:pt>
                <c:pt idx="44">
                  <c:v>275889.20651103667</c:v>
                </c:pt>
                <c:pt idx="45">
                  <c:v>246297.68554399165</c:v>
                </c:pt>
                <c:pt idx="46">
                  <c:v>211239.26593227492</c:v>
                </c:pt>
                <c:pt idx="47">
                  <c:v>220124.55486717151</c:v>
                </c:pt>
                <c:pt idx="48">
                  <c:v>202874.66995175893</c:v>
                </c:pt>
                <c:pt idx="49">
                  <c:v>224478.91969750417</c:v>
                </c:pt>
                <c:pt idx="50">
                  <c:v>103849.6483521443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578.26392819220052</c:v>
                </c:pt>
                <c:pt idx="55">
                  <c:v>1176.8295423440757</c:v>
                </c:pt>
                <c:pt idx="56">
                  <c:v>1701.6388868803388</c:v>
                </c:pt>
                <c:pt idx="57">
                  <c:v>1996.3150245284205</c:v>
                </c:pt>
                <c:pt idx="58">
                  <c:v>3328.3982247643812</c:v>
                </c:pt>
                <c:pt idx="59">
                  <c:v>5650.7223793509538</c:v>
                </c:pt>
                <c:pt idx="60">
                  <c:v>5412.0343858353754</c:v>
                </c:pt>
                <c:pt idx="61">
                  <c:v>3211.3060491225474</c:v>
                </c:pt>
                <c:pt idx="62">
                  <c:v>5064.04274426967</c:v>
                </c:pt>
                <c:pt idx="63">
                  <c:v>5564.7243864700486</c:v>
                </c:pt>
                <c:pt idx="64">
                  <c:v>4621.9385771222596</c:v>
                </c:pt>
                <c:pt idx="65">
                  <c:v>3922.4364160767364</c:v>
                </c:pt>
                <c:pt idx="66">
                  <c:v>2341.0927517114542</c:v>
                </c:pt>
                <c:pt idx="67">
                  <c:v>2489.8539643077465</c:v>
                </c:pt>
                <c:pt idx="68">
                  <c:v>2394.7633472690973</c:v>
                </c:pt>
                <c:pt idx="69">
                  <c:v>10663.749474927648</c:v>
                </c:pt>
                <c:pt idx="70">
                  <c:v>30136.651619402412</c:v>
                </c:pt>
                <c:pt idx="71">
                  <c:v>38354.502669964568</c:v>
                </c:pt>
                <c:pt idx="72">
                  <c:v>42799.728001823882</c:v>
                </c:pt>
                <c:pt idx="73">
                  <c:v>48242.654991793577</c:v>
                </c:pt>
                <c:pt idx="74">
                  <c:v>75692.730188985137</c:v>
                </c:pt>
                <c:pt idx="75">
                  <c:v>131321.4359297097</c:v>
                </c:pt>
                <c:pt idx="76">
                  <c:v>154837.00508511777</c:v>
                </c:pt>
                <c:pt idx="77">
                  <c:v>154803.41283562177</c:v>
                </c:pt>
                <c:pt idx="78">
                  <c:v>172528.25555352186</c:v>
                </c:pt>
                <c:pt idx="79">
                  <c:v>189271.21425969774</c:v>
                </c:pt>
                <c:pt idx="80">
                  <c:v>180285.70620482211</c:v>
                </c:pt>
                <c:pt idx="81">
                  <c:v>180194.44506804046</c:v>
                </c:pt>
                <c:pt idx="82">
                  <c:v>167467.88265771762</c:v>
                </c:pt>
                <c:pt idx="83">
                  <c:v>131916.52706296876</c:v>
                </c:pt>
                <c:pt idx="84">
                  <c:v>157339.65807453229</c:v>
                </c:pt>
                <c:pt idx="85">
                  <c:v>181282.98005100104</c:v>
                </c:pt>
                <c:pt idx="86">
                  <c:v>193671.61813432167</c:v>
                </c:pt>
                <c:pt idx="87">
                  <c:v>249818.9819040696</c:v>
                </c:pt>
                <c:pt idx="88">
                  <c:v>269928.91384295572</c:v>
                </c:pt>
                <c:pt idx="89">
                  <c:v>295966.60126709624</c:v>
                </c:pt>
                <c:pt idx="90">
                  <c:v>307896.92061842617</c:v>
                </c:pt>
                <c:pt idx="91">
                  <c:v>313285.24697583949</c:v>
                </c:pt>
                <c:pt idx="92">
                  <c:v>292574.31367125915</c:v>
                </c:pt>
                <c:pt idx="93">
                  <c:v>286014.42207353795</c:v>
                </c:pt>
                <c:pt idx="94">
                  <c:v>265914.84734272311</c:v>
                </c:pt>
                <c:pt idx="95">
                  <c:v>197370.0693647654</c:v>
                </c:pt>
                <c:pt idx="96">
                  <c:v>215341.61901214236</c:v>
                </c:pt>
                <c:pt idx="97">
                  <c:v>225959.57122563577</c:v>
                </c:pt>
                <c:pt idx="98">
                  <c:v>243716.687854663</c:v>
                </c:pt>
                <c:pt idx="99">
                  <c:v>251820.89122156557</c:v>
                </c:pt>
                <c:pt idx="100">
                  <c:v>251384.77765953002</c:v>
                </c:pt>
                <c:pt idx="101">
                  <c:v>252067.36964108417</c:v>
                </c:pt>
                <c:pt idx="102">
                  <c:v>272315.58178028866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69-4395-AF9C-EADC6D927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48320"/>
        <c:axId val="112250240"/>
      </c:scatterChart>
      <c:valAx>
        <c:axId val="11224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Month</a:t>
                </a:r>
                <a:r>
                  <a:rPr lang="es-AR" baseline="0"/>
                  <a:t> </a:t>
                </a:r>
                <a:r>
                  <a:rPr lang="es-AR"/>
                  <a:t>Seasonally Adjusted Arrivals</a:t>
                </a:r>
              </a:p>
            </c:rich>
          </c:tx>
          <c:layout>
            <c:manualLayout>
              <c:xMode val="edge"/>
              <c:yMode val="edge"/>
              <c:x val="0.35630524043573047"/>
              <c:y val="0.90156796518448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12250240"/>
        <c:crosses val="autoZero"/>
        <c:crossBetween val="midCat"/>
      </c:valAx>
      <c:valAx>
        <c:axId val="11225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Arrivals</a:t>
                </a:r>
              </a:p>
            </c:rich>
          </c:tx>
          <c:layout>
            <c:manualLayout>
              <c:xMode val="edge"/>
              <c:yMode val="edge"/>
              <c:x val="2.3460427353792952E-2"/>
              <c:y val="0.3378083442750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12248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253312188783"/>
          <c:y val="6.2639957878822969E-2"/>
          <c:w val="0.80058708344818452"/>
          <c:h val="0.75839091860432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'Simple Linear Regression'!$L$21</c:f>
              <c:strCache>
                <c:ptCount val="1"/>
                <c:pt idx="0">
                  <c:v>Data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1.4517673479791405E-2"/>
                  <c:y val="1.6069495301824954E-2"/>
                </c:manualLayout>
              </c:layout>
              <c:numFmt formatCode="General" sourceLinked="0"/>
            </c:trendlineLbl>
          </c:trendline>
          <c:xVal>
            <c:numRef>
              <c:f>'Simple Linear Regression'!$J$22:$J$124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'Simple Linear Regression'!$L$22:$L$124</c:f>
              <c:numCache>
                <c:formatCode>#,##0</c:formatCode>
                <c:ptCount val="103"/>
                <c:pt idx="0">
                  <c:v>248684</c:v>
                </c:pt>
                <c:pt idx="1">
                  <c:v>211731</c:v>
                </c:pt>
                <c:pt idx="2">
                  <c:v>210862</c:v>
                </c:pt>
                <c:pt idx="3">
                  <c:v>182419</c:v>
                </c:pt>
                <c:pt idx="4">
                  <c:v>176403</c:v>
                </c:pt>
                <c:pt idx="5">
                  <c:v>160586</c:v>
                </c:pt>
                <c:pt idx="6">
                  <c:v>205385</c:v>
                </c:pt>
                <c:pt idx="7">
                  <c:v>188354</c:v>
                </c:pt>
                <c:pt idx="8">
                  <c:v>187990</c:v>
                </c:pt>
                <c:pt idx="9">
                  <c:v>204246</c:v>
                </c:pt>
                <c:pt idx="10">
                  <c:v>230713</c:v>
                </c:pt>
                <c:pt idx="11">
                  <c:v>242419</c:v>
                </c:pt>
                <c:pt idx="12">
                  <c:v>246675</c:v>
                </c:pt>
                <c:pt idx="13">
                  <c:v>208332</c:v>
                </c:pt>
                <c:pt idx="14">
                  <c:v>215957</c:v>
                </c:pt>
                <c:pt idx="15">
                  <c:v>200426</c:v>
                </c:pt>
                <c:pt idx="16">
                  <c:v>179443</c:v>
                </c:pt>
                <c:pt idx="17">
                  <c:v>167766</c:v>
                </c:pt>
                <c:pt idx="18">
                  <c:v>211456</c:v>
                </c:pt>
                <c:pt idx="19">
                  <c:v>193354</c:v>
                </c:pt>
                <c:pt idx="20">
                  <c:v>199160</c:v>
                </c:pt>
                <c:pt idx="21">
                  <c:v>224240</c:v>
                </c:pt>
                <c:pt idx="22">
                  <c:v>243719</c:v>
                </c:pt>
                <c:pt idx="23">
                  <c:v>255410</c:v>
                </c:pt>
                <c:pt idx="24">
                  <c:v>275610</c:v>
                </c:pt>
                <c:pt idx="25">
                  <c:v>214691</c:v>
                </c:pt>
                <c:pt idx="26">
                  <c:v>220918</c:v>
                </c:pt>
                <c:pt idx="27">
                  <c:v>202846</c:v>
                </c:pt>
                <c:pt idx="28">
                  <c:v>184649</c:v>
                </c:pt>
                <c:pt idx="29">
                  <c:v>167422</c:v>
                </c:pt>
                <c:pt idx="30">
                  <c:v>215459</c:v>
                </c:pt>
                <c:pt idx="31">
                  <c:v>203628</c:v>
                </c:pt>
                <c:pt idx="32">
                  <c:v>216132</c:v>
                </c:pt>
                <c:pt idx="33">
                  <c:v>227543</c:v>
                </c:pt>
                <c:pt idx="34">
                  <c:v>261261</c:v>
                </c:pt>
                <c:pt idx="35">
                  <c:v>293385</c:v>
                </c:pt>
                <c:pt idx="36">
                  <c:v>321304</c:v>
                </c:pt>
                <c:pt idx="37">
                  <c:v>237633</c:v>
                </c:pt>
                <c:pt idx="38">
                  <c:v>261862</c:v>
                </c:pt>
                <c:pt idx="39">
                  <c:v>239694</c:v>
                </c:pt>
                <c:pt idx="40">
                  <c:v>209733</c:v>
                </c:pt>
                <c:pt idx="41">
                  <c:v>197587</c:v>
                </c:pt>
                <c:pt idx="42">
                  <c:v>244027</c:v>
                </c:pt>
                <c:pt idx="43">
                  <c:v>216649</c:v>
                </c:pt>
                <c:pt idx="44">
                  <c:v>225687</c:v>
                </c:pt>
                <c:pt idx="45">
                  <c:v>225655</c:v>
                </c:pt>
                <c:pt idx="46">
                  <c:v>247326</c:v>
                </c:pt>
                <c:pt idx="47">
                  <c:v>306382</c:v>
                </c:pt>
                <c:pt idx="48">
                  <c:v>308471</c:v>
                </c:pt>
                <c:pt idx="49">
                  <c:v>255005</c:v>
                </c:pt>
                <c:pt idx="50">
                  <c:v>118614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495</c:v>
                </c:pt>
                <c:pt idx="55">
                  <c:v>890</c:v>
                </c:pt>
                <c:pt idx="56">
                  <c:v>1392</c:v>
                </c:pt>
                <c:pt idx="57">
                  <c:v>1829</c:v>
                </c:pt>
                <c:pt idx="58">
                  <c:v>3897</c:v>
                </c:pt>
                <c:pt idx="59">
                  <c:v>7865</c:v>
                </c:pt>
                <c:pt idx="60">
                  <c:v>8229</c:v>
                </c:pt>
                <c:pt idx="61">
                  <c:v>3648</c:v>
                </c:pt>
                <c:pt idx="62">
                  <c:v>5784</c:v>
                </c:pt>
                <c:pt idx="63">
                  <c:v>4959</c:v>
                </c:pt>
                <c:pt idx="64">
                  <c:v>3361</c:v>
                </c:pt>
                <c:pt idx="65">
                  <c:v>2643</c:v>
                </c:pt>
                <c:pt idx="66">
                  <c:v>2004</c:v>
                </c:pt>
                <c:pt idx="67">
                  <c:v>1883</c:v>
                </c:pt>
                <c:pt idx="68">
                  <c:v>1959</c:v>
                </c:pt>
                <c:pt idx="69">
                  <c:v>9770</c:v>
                </c:pt>
                <c:pt idx="70">
                  <c:v>35285</c:v>
                </c:pt>
                <c:pt idx="71">
                  <c:v>53384</c:v>
                </c:pt>
                <c:pt idx="72">
                  <c:v>65077</c:v>
                </c:pt>
                <c:pt idx="73">
                  <c:v>54803</c:v>
                </c:pt>
                <c:pt idx="74">
                  <c:v>86454</c:v>
                </c:pt>
                <c:pt idx="75">
                  <c:v>117027</c:v>
                </c:pt>
                <c:pt idx="76">
                  <c:v>112595</c:v>
                </c:pt>
                <c:pt idx="77">
                  <c:v>104309</c:v>
                </c:pt>
                <c:pt idx="78">
                  <c:v>147686</c:v>
                </c:pt>
                <c:pt idx="79">
                  <c:v>143140</c:v>
                </c:pt>
                <c:pt idx="80">
                  <c:v>147480</c:v>
                </c:pt>
                <c:pt idx="81">
                  <c:v>165092</c:v>
                </c:pt>
                <c:pt idx="82">
                  <c:v>196077</c:v>
                </c:pt>
                <c:pt idx="83">
                  <c:v>183609</c:v>
                </c:pt>
                <c:pt idx="84">
                  <c:v>239235</c:v>
                </c:pt>
                <c:pt idx="85">
                  <c:v>205935</c:v>
                </c:pt>
                <c:pt idx="86">
                  <c:v>221206</c:v>
                </c:pt>
                <c:pt idx="87">
                  <c:v>222626</c:v>
                </c:pt>
                <c:pt idx="88">
                  <c:v>196288</c:v>
                </c:pt>
                <c:pt idx="89">
                  <c:v>199427</c:v>
                </c:pt>
                <c:pt idx="90">
                  <c:v>263563</c:v>
                </c:pt>
                <c:pt idx="91">
                  <c:v>236928</c:v>
                </c:pt>
                <c:pt idx="92">
                  <c:v>239336</c:v>
                </c:pt>
                <c:pt idx="93">
                  <c:v>262043</c:v>
                </c:pt>
                <c:pt idx="94">
                  <c:v>311342</c:v>
                </c:pt>
                <c:pt idx="95">
                  <c:v>274711</c:v>
                </c:pt>
                <c:pt idx="96">
                  <c:v>327427</c:v>
                </c:pt>
                <c:pt idx="97">
                  <c:v>256687</c:v>
                </c:pt>
                <c:pt idx="98">
                  <c:v>278366</c:v>
                </c:pt>
                <c:pt idx="99">
                  <c:v>224410</c:v>
                </c:pt>
                <c:pt idx="100">
                  <c:v>182803</c:v>
                </c:pt>
                <c:pt idx="101">
                  <c:v>169847</c:v>
                </c:pt>
                <c:pt idx="102">
                  <c:v>233105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CF-4DC1-B3B8-FBF84D8F3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48320"/>
        <c:axId val="112250240"/>
      </c:scatterChart>
      <c:valAx>
        <c:axId val="11224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200" b="1" i="0" u="none" strike="noStrike" baseline="0">
                    <a:effectLst/>
                  </a:rPr>
                  <a:t>Month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52085151569794241"/>
              <c:y val="0.90156802900810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12250240"/>
        <c:crosses val="autoZero"/>
        <c:crossBetween val="midCat"/>
      </c:valAx>
      <c:valAx>
        <c:axId val="11225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Arrivals</a:t>
                </a:r>
              </a:p>
            </c:rich>
          </c:tx>
          <c:layout>
            <c:manualLayout>
              <c:xMode val="edge"/>
              <c:yMode val="edge"/>
              <c:x val="2.3460427353792952E-2"/>
              <c:y val="0.3378083442750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12248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253312188783"/>
          <c:y val="6.2639957878822969E-2"/>
          <c:w val="0.80058708344818452"/>
          <c:h val="0.75839091860432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'Simple Linear Regression'!$L$21</c:f>
              <c:strCache>
                <c:ptCount val="1"/>
                <c:pt idx="0">
                  <c:v>Data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 val="-3.4736602806538946E-3"/>
                  <c:y val="0.24090793202703251"/>
                </c:manualLayout>
              </c:layout>
              <c:numFmt formatCode="General" sourceLinked="0"/>
            </c:trendlineLbl>
          </c:trendline>
          <c:xVal>
            <c:numRef>
              <c:f>'Simple Linear Regression'!$J$22:$J$71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'Simple Linear Regression'!$L$22:$L$71</c:f>
              <c:numCache>
                <c:formatCode>#,##0</c:formatCode>
                <c:ptCount val="50"/>
                <c:pt idx="0">
                  <c:v>248684</c:v>
                </c:pt>
                <c:pt idx="1">
                  <c:v>211731</c:v>
                </c:pt>
                <c:pt idx="2">
                  <c:v>210862</c:v>
                </c:pt>
                <c:pt idx="3">
                  <c:v>182419</c:v>
                </c:pt>
                <c:pt idx="4">
                  <c:v>176403</c:v>
                </c:pt>
                <c:pt idx="5">
                  <c:v>160586</c:v>
                </c:pt>
                <c:pt idx="6">
                  <c:v>205385</c:v>
                </c:pt>
                <c:pt idx="7">
                  <c:v>188354</c:v>
                </c:pt>
                <c:pt idx="8">
                  <c:v>187990</c:v>
                </c:pt>
                <c:pt idx="9">
                  <c:v>204246</c:v>
                </c:pt>
                <c:pt idx="10">
                  <c:v>230713</c:v>
                </c:pt>
                <c:pt idx="11">
                  <c:v>242419</c:v>
                </c:pt>
                <c:pt idx="12">
                  <c:v>246675</c:v>
                </c:pt>
                <c:pt idx="13">
                  <c:v>208332</c:v>
                </c:pt>
                <c:pt idx="14">
                  <c:v>215957</c:v>
                </c:pt>
                <c:pt idx="15">
                  <c:v>200426</c:v>
                </c:pt>
                <c:pt idx="16">
                  <c:v>179443</c:v>
                </c:pt>
                <c:pt idx="17">
                  <c:v>167766</c:v>
                </c:pt>
                <c:pt idx="18">
                  <c:v>211456</c:v>
                </c:pt>
                <c:pt idx="19">
                  <c:v>193354</c:v>
                </c:pt>
                <c:pt idx="20">
                  <c:v>199160</c:v>
                </c:pt>
                <c:pt idx="21">
                  <c:v>224240</c:v>
                </c:pt>
                <c:pt idx="22">
                  <c:v>243719</c:v>
                </c:pt>
                <c:pt idx="23">
                  <c:v>255410</c:v>
                </c:pt>
                <c:pt idx="24">
                  <c:v>275610</c:v>
                </c:pt>
                <c:pt idx="25">
                  <c:v>214691</c:v>
                </c:pt>
                <c:pt idx="26">
                  <c:v>220918</c:v>
                </c:pt>
                <c:pt idx="27">
                  <c:v>202846</c:v>
                </c:pt>
                <c:pt idx="28">
                  <c:v>184649</c:v>
                </c:pt>
                <c:pt idx="29">
                  <c:v>167422</c:v>
                </c:pt>
                <c:pt idx="30">
                  <c:v>215459</c:v>
                </c:pt>
                <c:pt idx="31">
                  <c:v>203628</c:v>
                </c:pt>
                <c:pt idx="32">
                  <c:v>216132</c:v>
                </c:pt>
                <c:pt idx="33">
                  <c:v>227543</c:v>
                </c:pt>
                <c:pt idx="34">
                  <c:v>261261</c:v>
                </c:pt>
                <c:pt idx="35">
                  <c:v>293385</c:v>
                </c:pt>
                <c:pt idx="36">
                  <c:v>321304</c:v>
                </c:pt>
                <c:pt idx="37">
                  <c:v>237633</c:v>
                </c:pt>
                <c:pt idx="38">
                  <c:v>261862</c:v>
                </c:pt>
                <c:pt idx="39">
                  <c:v>239694</c:v>
                </c:pt>
                <c:pt idx="40">
                  <c:v>209733</c:v>
                </c:pt>
                <c:pt idx="41">
                  <c:v>197587</c:v>
                </c:pt>
                <c:pt idx="42">
                  <c:v>244027</c:v>
                </c:pt>
                <c:pt idx="43">
                  <c:v>216649</c:v>
                </c:pt>
                <c:pt idx="44">
                  <c:v>225687</c:v>
                </c:pt>
                <c:pt idx="45">
                  <c:v>225655</c:v>
                </c:pt>
                <c:pt idx="46">
                  <c:v>247326</c:v>
                </c:pt>
                <c:pt idx="47">
                  <c:v>306382</c:v>
                </c:pt>
                <c:pt idx="48">
                  <c:v>308471</c:v>
                </c:pt>
                <c:pt idx="49">
                  <c:v>255005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80-4F02-9D3F-FE17C5C71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48320"/>
        <c:axId val="112250240"/>
      </c:scatterChart>
      <c:valAx>
        <c:axId val="11224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Month</a:t>
                </a:r>
                <a:r>
                  <a:rPr lang="es-AR" baseline="0"/>
                  <a:t> </a:t>
                </a:r>
                <a:r>
                  <a:rPr lang="es-AR"/>
                  <a:t>Seasonally Adjusted Arrivals</a:t>
                </a:r>
              </a:p>
            </c:rich>
          </c:tx>
          <c:layout>
            <c:manualLayout>
              <c:xMode val="edge"/>
              <c:yMode val="edge"/>
              <c:x val="0.35630524043573047"/>
              <c:y val="0.90156796518448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12250240"/>
        <c:crosses val="autoZero"/>
        <c:crossBetween val="midCat"/>
      </c:valAx>
      <c:valAx>
        <c:axId val="11225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Arrivals</a:t>
                </a:r>
              </a:p>
            </c:rich>
          </c:tx>
          <c:layout>
            <c:manualLayout>
              <c:xMode val="edge"/>
              <c:yMode val="edge"/>
              <c:x val="2.3460427353792952E-2"/>
              <c:y val="0.3378083442750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12248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57327209098863"/>
                  <c:y val="8.4785287255759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Data!$A$2:$A$100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Data!$K$2:$K$100</c:f>
              <c:numCache>
                <c:formatCode>General</c:formatCode>
                <c:ptCount val="99"/>
                <c:pt idx="0">
                  <c:v>248684</c:v>
                </c:pt>
                <c:pt idx="1">
                  <c:v>211731</c:v>
                </c:pt>
                <c:pt idx="2">
                  <c:v>210862</c:v>
                </c:pt>
                <c:pt idx="3">
                  <c:v>182419</c:v>
                </c:pt>
                <c:pt idx="4">
                  <c:v>176403</c:v>
                </c:pt>
                <c:pt idx="5">
                  <c:v>160586</c:v>
                </c:pt>
                <c:pt idx="6">
                  <c:v>205385</c:v>
                </c:pt>
                <c:pt idx="7">
                  <c:v>188354</c:v>
                </c:pt>
                <c:pt idx="8">
                  <c:v>187990</c:v>
                </c:pt>
                <c:pt idx="9">
                  <c:v>204246</c:v>
                </c:pt>
                <c:pt idx="10">
                  <c:v>230713</c:v>
                </c:pt>
                <c:pt idx="11">
                  <c:v>242419</c:v>
                </c:pt>
                <c:pt idx="12">
                  <c:v>246675</c:v>
                </c:pt>
                <c:pt idx="13">
                  <c:v>208332</c:v>
                </c:pt>
                <c:pt idx="14">
                  <c:v>215957</c:v>
                </c:pt>
                <c:pt idx="15">
                  <c:v>200426</c:v>
                </c:pt>
                <c:pt idx="16">
                  <c:v>179443</c:v>
                </c:pt>
                <c:pt idx="17">
                  <c:v>167766</c:v>
                </c:pt>
                <c:pt idx="18">
                  <c:v>211456</c:v>
                </c:pt>
                <c:pt idx="19">
                  <c:v>193354</c:v>
                </c:pt>
                <c:pt idx="20">
                  <c:v>199160</c:v>
                </c:pt>
                <c:pt idx="21">
                  <c:v>224240</c:v>
                </c:pt>
                <c:pt idx="22">
                  <c:v>243719</c:v>
                </c:pt>
                <c:pt idx="23">
                  <c:v>255410</c:v>
                </c:pt>
                <c:pt idx="24">
                  <c:v>275610</c:v>
                </c:pt>
                <c:pt idx="25">
                  <c:v>214691</c:v>
                </c:pt>
                <c:pt idx="26">
                  <c:v>220918</c:v>
                </c:pt>
                <c:pt idx="27">
                  <c:v>202846</c:v>
                </c:pt>
                <c:pt idx="28">
                  <c:v>184649</c:v>
                </c:pt>
                <c:pt idx="29">
                  <c:v>167422</c:v>
                </c:pt>
                <c:pt idx="30">
                  <c:v>215459</c:v>
                </c:pt>
                <c:pt idx="31">
                  <c:v>203628</c:v>
                </c:pt>
                <c:pt idx="32">
                  <c:v>216132</c:v>
                </c:pt>
                <c:pt idx="33">
                  <c:v>227543</c:v>
                </c:pt>
                <c:pt idx="34">
                  <c:v>261261</c:v>
                </c:pt>
                <c:pt idx="35">
                  <c:v>293385</c:v>
                </c:pt>
                <c:pt idx="36">
                  <c:v>321304</c:v>
                </c:pt>
                <c:pt idx="37">
                  <c:v>237633</c:v>
                </c:pt>
                <c:pt idx="38">
                  <c:v>261862</c:v>
                </c:pt>
                <c:pt idx="39">
                  <c:v>239694</c:v>
                </c:pt>
                <c:pt idx="40">
                  <c:v>209733</c:v>
                </c:pt>
                <c:pt idx="41">
                  <c:v>197587</c:v>
                </c:pt>
                <c:pt idx="42">
                  <c:v>244027</c:v>
                </c:pt>
                <c:pt idx="43">
                  <c:v>216649</c:v>
                </c:pt>
                <c:pt idx="44">
                  <c:v>225687</c:v>
                </c:pt>
                <c:pt idx="45">
                  <c:v>225655</c:v>
                </c:pt>
                <c:pt idx="46">
                  <c:v>247326</c:v>
                </c:pt>
                <c:pt idx="47">
                  <c:v>306382</c:v>
                </c:pt>
                <c:pt idx="48">
                  <c:v>308471</c:v>
                </c:pt>
                <c:pt idx="49">
                  <c:v>255005</c:v>
                </c:pt>
                <c:pt idx="50">
                  <c:v>169408.91176470587</c:v>
                </c:pt>
                <c:pt idx="51">
                  <c:v>169408.91176470587</c:v>
                </c:pt>
                <c:pt idx="52">
                  <c:v>169408.91176470587</c:v>
                </c:pt>
                <c:pt idx="53">
                  <c:v>169408.91176470587</c:v>
                </c:pt>
                <c:pt idx="54">
                  <c:v>169408.91176470587</c:v>
                </c:pt>
                <c:pt idx="55">
                  <c:v>169408.91176470587</c:v>
                </c:pt>
                <c:pt idx="56">
                  <c:v>169408.91176470587</c:v>
                </c:pt>
                <c:pt idx="57">
                  <c:v>169408.91176470587</c:v>
                </c:pt>
                <c:pt idx="58">
                  <c:v>169408.91176470587</c:v>
                </c:pt>
                <c:pt idx="59">
                  <c:v>169408.91176470587</c:v>
                </c:pt>
                <c:pt idx="60">
                  <c:v>169408.91176470587</c:v>
                </c:pt>
                <c:pt idx="61">
                  <c:v>169408.91176470587</c:v>
                </c:pt>
                <c:pt idx="62">
                  <c:v>169408.91176470587</c:v>
                </c:pt>
                <c:pt idx="63">
                  <c:v>169408.91176470587</c:v>
                </c:pt>
                <c:pt idx="64">
                  <c:v>169408.91176470587</c:v>
                </c:pt>
                <c:pt idx="65">
                  <c:v>169408.91176470587</c:v>
                </c:pt>
                <c:pt idx="66">
                  <c:v>169408.91176470587</c:v>
                </c:pt>
                <c:pt idx="67">
                  <c:v>169408.91176470587</c:v>
                </c:pt>
                <c:pt idx="68">
                  <c:v>169408.91176470587</c:v>
                </c:pt>
                <c:pt idx="69">
                  <c:v>169408.91176470587</c:v>
                </c:pt>
                <c:pt idx="70">
                  <c:v>169408.91176470587</c:v>
                </c:pt>
                <c:pt idx="71">
                  <c:v>169408.91176470587</c:v>
                </c:pt>
                <c:pt idx="72">
                  <c:v>169408.91176470587</c:v>
                </c:pt>
                <c:pt idx="73">
                  <c:v>169408.91176470587</c:v>
                </c:pt>
                <c:pt idx="74">
                  <c:v>169408.91176470587</c:v>
                </c:pt>
                <c:pt idx="75">
                  <c:v>147686</c:v>
                </c:pt>
                <c:pt idx="76">
                  <c:v>143140</c:v>
                </c:pt>
                <c:pt idx="77">
                  <c:v>147480</c:v>
                </c:pt>
                <c:pt idx="78">
                  <c:v>165092</c:v>
                </c:pt>
                <c:pt idx="79">
                  <c:v>196077</c:v>
                </c:pt>
                <c:pt idx="80">
                  <c:v>183609</c:v>
                </c:pt>
                <c:pt idx="81">
                  <c:v>239235</c:v>
                </c:pt>
                <c:pt idx="82">
                  <c:v>205935</c:v>
                </c:pt>
                <c:pt idx="83">
                  <c:v>221206</c:v>
                </c:pt>
                <c:pt idx="84">
                  <c:v>222626</c:v>
                </c:pt>
                <c:pt idx="85">
                  <c:v>196288</c:v>
                </c:pt>
                <c:pt idx="86">
                  <c:v>199427</c:v>
                </c:pt>
                <c:pt idx="87">
                  <c:v>263563</c:v>
                </c:pt>
                <c:pt idx="88">
                  <c:v>236928</c:v>
                </c:pt>
                <c:pt idx="89">
                  <c:v>239336</c:v>
                </c:pt>
                <c:pt idx="90">
                  <c:v>262043</c:v>
                </c:pt>
                <c:pt idx="91">
                  <c:v>311342</c:v>
                </c:pt>
                <c:pt idx="92">
                  <c:v>274711</c:v>
                </c:pt>
                <c:pt idx="93">
                  <c:v>327427</c:v>
                </c:pt>
                <c:pt idx="94">
                  <c:v>256687</c:v>
                </c:pt>
                <c:pt idx="95">
                  <c:v>278366</c:v>
                </c:pt>
                <c:pt idx="96">
                  <c:v>224410</c:v>
                </c:pt>
                <c:pt idx="97">
                  <c:v>182803</c:v>
                </c:pt>
                <c:pt idx="98">
                  <c:v>169847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3-4743-972C-2664A9E3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99840"/>
        <c:axId val="463301152"/>
      </c:scatterChart>
      <c:valAx>
        <c:axId val="4632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3301152"/>
        <c:crosses val="autoZero"/>
        <c:crossBetween val="midCat"/>
      </c:valAx>
      <c:valAx>
        <c:axId val="4633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32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Datos suavizados en pandemia con media móvil 6 meses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53390201224846"/>
                  <c:y val="9.6413312919218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Data!$B$2:$B$100</c:f>
              <c:numCache>
                <c:formatCode>mmm\-yy</c:formatCode>
                <c:ptCount val="9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</c:numCache>
            </c:numRef>
          </c:xVal>
          <c:yVal>
            <c:numRef>
              <c:f>Data!$I$2:$I$100</c:f>
              <c:numCache>
                <c:formatCode>0</c:formatCode>
                <c:ptCount val="99"/>
                <c:pt idx="0">
                  <c:v>248684</c:v>
                </c:pt>
                <c:pt idx="1">
                  <c:v>211731</c:v>
                </c:pt>
                <c:pt idx="2">
                  <c:v>210862</c:v>
                </c:pt>
                <c:pt idx="3">
                  <c:v>182419</c:v>
                </c:pt>
                <c:pt idx="4">
                  <c:v>176403</c:v>
                </c:pt>
                <c:pt idx="5">
                  <c:v>160586</c:v>
                </c:pt>
                <c:pt idx="6">
                  <c:v>205385</c:v>
                </c:pt>
                <c:pt idx="7">
                  <c:v>188354</c:v>
                </c:pt>
                <c:pt idx="8">
                  <c:v>187990</c:v>
                </c:pt>
                <c:pt idx="9">
                  <c:v>204246</c:v>
                </c:pt>
                <c:pt idx="10">
                  <c:v>230713</c:v>
                </c:pt>
                <c:pt idx="11">
                  <c:v>242419</c:v>
                </c:pt>
                <c:pt idx="12">
                  <c:v>246675</c:v>
                </c:pt>
                <c:pt idx="13">
                  <c:v>208332</c:v>
                </c:pt>
                <c:pt idx="14">
                  <c:v>215957</c:v>
                </c:pt>
                <c:pt idx="15">
                  <c:v>200426</c:v>
                </c:pt>
                <c:pt idx="16">
                  <c:v>179443</c:v>
                </c:pt>
                <c:pt idx="17">
                  <c:v>167766</c:v>
                </c:pt>
                <c:pt idx="18">
                  <c:v>211456</c:v>
                </c:pt>
                <c:pt idx="19">
                  <c:v>193354</c:v>
                </c:pt>
                <c:pt idx="20">
                  <c:v>199160</c:v>
                </c:pt>
                <c:pt idx="21">
                  <c:v>224240</c:v>
                </c:pt>
                <c:pt idx="22">
                  <c:v>243719</c:v>
                </c:pt>
                <c:pt idx="23">
                  <c:v>255410</c:v>
                </c:pt>
                <c:pt idx="24">
                  <c:v>275610</c:v>
                </c:pt>
                <c:pt idx="25">
                  <c:v>214691</c:v>
                </c:pt>
                <c:pt idx="26">
                  <c:v>220918</c:v>
                </c:pt>
                <c:pt idx="27">
                  <c:v>202846</c:v>
                </c:pt>
                <c:pt idx="28">
                  <c:v>184649</c:v>
                </c:pt>
                <c:pt idx="29">
                  <c:v>167422</c:v>
                </c:pt>
                <c:pt idx="30">
                  <c:v>215459</c:v>
                </c:pt>
                <c:pt idx="31">
                  <c:v>203628</c:v>
                </c:pt>
                <c:pt idx="32">
                  <c:v>216132</c:v>
                </c:pt>
                <c:pt idx="33">
                  <c:v>227543</c:v>
                </c:pt>
                <c:pt idx="34">
                  <c:v>261261</c:v>
                </c:pt>
                <c:pt idx="35">
                  <c:v>293385</c:v>
                </c:pt>
                <c:pt idx="36">
                  <c:v>321304</c:v>
                </c:pt>
                <c:pt idx="37">
                  <c:v>237633</c:v>
                </c:pt>
                <c:pt idx="38">
                  <c:v>261862</c:v>
                </c:pt>
                <c:pt idx="39">
                  <c:v>239694</c:v>
                </c:pt>
                <c:pt idx="40">
                  <c:v>209733</c:v>
                </c:pt>
                <c:pt idx="41">
                  <c:v>197587</c:v>
                </c:pt>
                <c:pt idx="42">
                  <c:v>244027</c:v>
                </c:pt>
                <c:pt idx="43">
                  <c:v>216649</c:v>
                </c:pt>
                <c:pt idx="44">
                  <c:v>225687</c:v>
                </c:pt>
                <c:pt idx="45">
                  <c:v>225655</c:v>
                </c:pt>
                <c:pt idx="46">
                  <c:v>247326</c:v>
                </c:pt>
                <c:pt idx="47">
                  <c:v>306382</c:v>
                </c:pt>
                <c:pt idx="48">
                  <c:v>308471</c:v>
                </c:pt>
                <c:pt idx="49">
                  <c:v>255005</c:v>
                </c:pt>
                <c:pt idx="50">
                  <c:v>118614</c:v>
                </c:pt>
                <c:pt idx="51">
                  <c:v>205966.33333333334</c:v>
                </c:pt>
                <c:pt idx="52">
                  <c:v>164745.33333333334</c:v>
                </c:pt>
                <c:pt idx="53">
                  <c:v>113681.66666666667</c:v>
                </c:pt>
                <c:pt idx="54">
                  <c:v>62352.333333333336</c:v>
                </c:pt>
                <c:pt idx="55">
                  <c:v>19999.833333333332</c:v>
                </c:pt>
                <c:pt idx="56">
                  <c:v>462.83333333333331</c:v>
                </c:pt>
                <c:pt idx="57">
                  <c:v>767.66666666666663</c:v>
                </c:pt>
                <c:pt idx="58">
                  <c:v>1417.1666666666667</c:v>
                </c:pt>
                <c:pt idx="59">
                  <c:v>2728</c:v>
                </c:pt>
                <c:pt idx="60">
                  <c:v>4017</c:v>
                </c:pt>
                <c:pt idx="61">
                  <c:v>4476.666666666667</c:v>
                </c:pt>
                <c:pt idx="62">
                  <c:v>5208.666666666667</c:v>
                </c:pt>
                <c:pt idx="63">
                  <c:v>5730.333333333333</c:v>
                </c:pt>
                <c:pt idx="64">
                  <c:v>5641</c:v>
                </c:pt>
                <c:pt idx="65">
                  <c:v>4770.666666666667</c:v>
                </c:pt>
                <c:pt idx="66">
                  <c:v>3733.1666666666665</c:v>
                </c:pt>
                <c:pt idx="67">
                  <c:v>3439</c:v>
                </c:pt>
                <c:pt idx="68">
                  <c:v>2801.5</c:v>
                </c:pt>
                <c:pt idx="69">
                  <c:v>3603.3333333333335</c:v>
                </c:pt>
                <c:pt idx="70">
                  <c:v>8924</c:v>
                </c:pt>
                <c:pt idx="71">
                  <c:v>17380.833333333332</c:v>
                </c:pt>
                <c:pt idx="72">
                  <c:v>27893</c:v>
                </c:pt>
                <c:pt idx="73">
                  <c:v>36713</c:v>
                </c:pt>
                <c:pt idx="74">
                  <c:v>50795.5</c:v>
                </c:pt>
                <c:pt idx="75">
                  <c:v>117027</c:v>
                </c:pt>
                <c:pt idx="76">
                  <c:v>112595</c:v>
                </c:pt>
                <c:pt idx="77">
                  <c:v>104309</c:v>
                </c:pt>
                <c:pt idx="78">
                  <c:v>147686</c:v>
                </c:pt>
                <c:pt idx="79">
                  <c:v>143140</c:v>
                </c:pt>
                <c:pt idx="80">
                  <c:v>147480</c:v>
                </c:pt>
                <c:pt idx="81">
                  <c:v>165092</c:v>
                </c:pt>
                <c:pt idx="82">
                  <c:v>196077</c:v>
                </c:pt>
                <c:pt idx="83">
                  <c:v>183609</c:v>
                </c:pt>
                <c:pt idx="84">
                  <c:v>239235</c:v>
                </c:pt>
                <c:pt idx="85">
                  <c:v>205935</c:v>
                </c:pt>
                <c:pt idx="86">
                  <c:v>221206</c:v>
                </c:pt>
                <c:pt idx="87">
                  <c:v>222626</c:v>
                </c:pt>
                <c:pt idx="88">
                  <c:v>196288</c:v>
                </c:pt>
                <c:pt idx="89">
                  <c:v>199427</c:v>
                </c:pt>
                <c:pt idx="90">
                  <c:v>263563</c:v>
                </c:pt>
                <c:pt idx="91">
                  <c:v>236928</c:v>
                </c:pt>
                <c:pt idx="92">
                  <c:v>239336</c:v>
                </c:pt>
                <c:pt idx="93">
                  <c:v>262043</c:v>
                </c:pt>
                <c:pt idx="94">
                  <c:v>311342</c:v>
                </c:pt>
                <c:pt idx="95">
                  <c:v>274711</c:v>
                </c:pt>
                <c:pt idx="96">
                  <c:v>327427</c:v>
                </c:pt>
                <c:pt idx="97">
                  <c:v>256687</c:v>
                </c:pt>
                <c:pt idx="98">
                  <c:v>278366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D1-452B-865E-8169897D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99840"/>
        <c:axId val="463301152"/>
      </c:scatterChart>
      <c:valAx>
        <c:axId val="4632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3301152"/>
        <c:crosses val="autoZero"/>
        <c:crossBetween val="midCat"/>
      </c:valAx>
      <c:valAx>
        <c:axId val="4633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32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Decomposition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53390201224846"/>
                  <c:y val="9.6413312919218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Data!$B$2:$B$100</c:f>
              <c:numCache>
                <c:formatCode>mmm\-yy</c:formatCode>
                <c:ptCount val="9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</c:numCache>
            </c:numRef>
          </c:xVal>
          <c:yVal>
            <c:numRef>
              <c:f>Data!$J$2:$J$100</c:f>
              <c:numCache>
                <c:formatCode>0</c:formatCode>
                <c:ptCount val="99"/>
                <c:pt idx="0">
                  <c:v>163554.05993523935</c:v>
                </c:pt>
                <c:pt idx="1">
                  <c:v>186385.1538066793</c:v>
                </c:pt>
                <c:pt idx="2">
                  <c:v>184615.17654602198</c:v>
                </c:pt>
                <c:pt idx="3">
                  <c:v>204700.83844635609</c:v>
                </c:pt>
                <c:pt idx="4">
                  <c:v>242583.70449869026</c:v>
                </c:pt>
                <c:pt idx="5">
                  <c:v>238323.25929326477</c:v>
                </c:pt>
                <c:pt idx="6">
                  <c:v>239932.80180152546</c:v>
                </c:pt>
                <c:pt idx="7">
                  <c:v>249056.79957154609</c:v>
                </c:pt>
                <c:pt idx="8">
                  <c:v>229806.82064988138</c:v>
                </c:pt>
                <c:pt idx="9">
                  <c:v>222930.21241106166</c:v>
                </c:pt>
                <c:pt idx="10">
                  <c:v>197050.22828587753</c:v>
                </c:pt>
                <c:pt idx="11">
                  <c:v>174169.41747995917</c:v>
                </c:pt>
                <c:pt idx="12">
                  <c:v>162232.78431473341</c:v>
                </c:pt>
                <c:pt idx="13">
                  <c:v>183393.04052242285</c:v>
                </c:pt>
                <c:pt idx="14">
                  <c:v>189075.9818333757</c:v>
                </c:pt>
                <c:pt idx="15">
                  <c:v>224907.33008321153</c:v>
                </c:pt>
                <c:pt idx="16">
                  <c:v>246764.21425008914</c:v>
                </c:pt>
                <c:pt idx="17">
                  <c:v>248978.98894420348</c:v>
                </c:pt>
                <c:pt idx="18">
                  <c:v>247025.0044440605</c:v>
                </c:pt>
                <c:pt idx="19">
                  <c:v>255668.2014948274</c:v>
                </c:pt>
                <c:pt idx="20">
                  <c:v>243461.49476371284</c:v>
                </c:pt>
                <c:pt idx="21">
                  <c:v>244753.2428104172</c:v>
                </c:pt>
                <c:pt idx="22">
                  <c:v>208158.55451407499</c:v>
                </c:pt>
                <c:pt idx="23">
                  <c:v>183502.98829116684</c:v>
                </c:pt>
                <c:pt idx="24">
                  <c:v>181262.70471261247</c:v>
                </c:pt>
                <c:pt idx="25">
                  <c:v>188990.81880267785</c:v>
                </c:pt>
                <c:pt idx="26">
                  <c:v>193419.46662838294</c:v>
                </c:pt>
                <c:pt idx="27">
                  <c:v>227622.92456098075</c:v>
                </c:pt>
                <c:pt idx="28">
                  <c:v>253923.33719935975</c:v>
                </c:pt>
                <c:pt idx="29">
                  <c:v>248468.46373530055</c:v>
                </c:pt>
                <c:pt idx="30">
                  <c:v>251701.34889770369</c:v>
                </c:pt>
                <c:pt idx="31">
                  <c:v>269253.31016678584</c:v>
                </c:pt>
                <c:pt idx="32">
                  <c:v>264208.77578967053</c:v>
                </c:pt>
                <c:pt idx="33">
                  <c:v>248358.39782737583</c:v>
                </c:pt>
                <c:pt idx="34">
                  <c:v>223141.04403391507</c:v>
                </c:pt>
                <c:pt idx="35">
                  <c:v>210786.67326966047</c:v>
                </c:pt>
                <c:pt idx="36">
                  <c:v>211314.65503784781</c:v>
                </c:pt>
                <c:pt idx="37">
                  <c:v>209186.48310612343</c:v>
                </c:pt>
                <c:pt idx="38">
                  <c:v>229267.00572267364</c:v>
                </c:pt>
                <c:pt idx="39">
                  <c:v>268971.77799769148</c:v>
                </c:pt>
                <c:pt idx="40">
                  <c:v>288418.04331912613</c:v>
                </c:pt>
                <c:pt idx="41">
                  <c:v>293235.88503342948</c:v>
                </c:pt>
                <c:pt idx="42">
                  <c:v>285074.77091910731</c:v>
                </c:pt>
                <c:pt idx="43">
                  <c:v>286470.72305539506</c:v>
                </c:pt>
                <c:pt idx="44">
                  <c:v>275889.20651103667</c:v>
                </c:pt>
                <c:pt idx="45">
                  <c:v>246297.68554399165</c:v>
                </c:pt>
                <c:pt idx="46">
                  <c:v>211239.26593227492</c:v>
                </c:pt>
                <c:pt idx="47">
                  <c:v>220124.55486717151</c:v>
                </c:pt>
                <c:pt idx="48">
                  <c:v>202874.66995175893</c:v>
                </c:pt>
                <c:pt idx="49">
                  <c:v>224478.91969750417</c:v>
                </c:pt>
                <c:pt idx="50">
                  <c:v>103849.6483521443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578.26392819220052</c:v>
                </c:pt>
                <c:pt idx="55">
                  <c:v>1176.8295423440757</c:v>
                </c:pt>
                <c:pt idx="56">
                  <c:v>1701.6388868803388</c:v>
                </c:pt>
                <c:pt idx="57">
                  <c:v>1996.3150245284205</c:v>
                </c:pt>
                <c:pt idx="58">
                  <c:v>3328.3982247643812</c:v>
                </c:pt>
                <c:pt idx="59">
                  <c:v>5650.7223793509538</c:v>
                </c:pt>
                <c:pt idx="60">
                  <c:v>5412.0343858353754</c:v>
                </c:pt>
                <c:pt idx="61">
                  <c:v>3211.3060491225474</c:v>
                </c:pt>
                <c:pt idx="62">
                  <c:v>5064.04274426967</c:v>
                </c:pt>
                <c:pt idx="63">
                  <c:v>5564.7243864700486</c:v>
                </c:pt>
                <c:pt idx="64">
                  <c:v>4621.9385771222596</c:v>
                </c:pt>
                <c:pt idx="65">
                  <c:v>3922.4364160767364</c:v>
                </c:pt>
                <c:pt idx="66">
                  <c:v>2341.0927517114542</c:v>
                </c:pt>
                <c:pt idx="67">
                  <c:v>2489.8539643077465</c:v>
                </c:pt>
                <c:pt idx="68">
                  <c:v>2394.7633472690973</c:v>
                </c:pt>
                <c:pt idx="69">
                  <c:v>10663.749474927648</c:v>
                </c:pt>
                <c:pt idx="70">
                  <c:v>30136.651619402412</c:v>
                </c:pt>
                <c:pt idx="71">
                  <c:v>38354.502669964568</c:v>
                </c:pt>
                <c:pt idx="72">
                  <c:v>42799.728001823882</c:v>
                </c:pt>
                <c:pt idx="73">
                  <c:v>48242.654991793577</c:v>
                </c:pt>
                <c:pt idx="74">
                  <c:v>75692.730188985137</c:v>
                </c:pt>
                <c:pt idx="75">
                  <c:v>131321.4359297097</c:v>
                </c:pt>
                <c:pt idx="76">
                  <c:v>154837.00508511777</c:v>
                </c:pt>
                <c:pt idx="77">
                  <c:v>154803.41283562177</c:v>
                </c:pt>
                <c:pt idx="78">
                  <c:v>172528.25555352186</c:v>
                </c:pt>
                <c:pt idx="79">
                  <c:v>189271.21425969774</c:v>
                </c:pt>
                <c:pt idx="80">
                  <c:v>180285.70620482211</c:v>
                </c:pt>
                <c:pt idx="81">
                  <c:v>180194.44506804046</c:v>
                </c:pt>
                <c:pt idx="82">
                  <c:v>167467.88265771762</c:v>
                </c:pt>
                <c:pt idx="83">
                  <c:v>131916.52706296876</c:v>
                </c:pt>
                <c:pt idx="84">
                  <c:v>157339.65807453229</c:v>
                </c:pt>
                <c:pt idx="85">
                  <c:v>181282.98005100104</c:v>
                </c:pt>
                <c:pt idx="86">
                  <c:v>193671.61813432167</c:v>
                </c:pt>
                <c:pt idx="87">
                  <c:v>249818.9819040696</c:v>
                </c:pt>
                <c:pt idx="88">
                  <c:v>269928.91384295572</c:v>
                </c:pt>
                <c:pt idx="89">
                  <c:v>295966.60126709624</c:v>
                </c:pt>
                <c:pt idx="90">
                  <c:v>307896.92061842617</c:v>
                </c:pt>
                <c:pt idx="91">
                  <c:v>313285.24697583949</c:v>
                </c:pt>
                <c:pt idx="92">
                  <c:v>292574.31367125915</c:v>
                </c:pt>
                <c:pt idx="93">
                  <c:v>286014.42207353795</c:v>
                </c:pt>
                <c:pt idx="94">
                  <c:v>265914.84734272311</c:v>
                </c:pt>
                <c:pt idx="95">
                  <c:v>197370.0693647654</c:v>
                </c:pt>
                <c:pt idx="96">
                  <c:v>215341.61901214236</c:v>
                </c:pt>
                <c:pt idx="97">
                  <c:v>225959.57122563577</c:v>
                </c:pt>
                <c:pt idx="98">
                  <c:v>243716.687854663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9-451F-BF15-C54A9565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99840"/>
        <c:axId val="463301152"/>
      </c:scatterChart>
      <c:valAx>
        <c:axId val="46329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3301152"/>
        <c:crosses val="autoZero"/>
        <c:crossBetween val="midCat"/>
      </c:valAx>
      <c:valAx>
        <c:axId val="4633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329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0" i="0" baseline="0">
                <a:effectLst/>
              </a:rPr>
              <a:t>Turismo Receptivo</a:t>
            </a:r>
            <a:endParaRPr lang="es-A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741559478978169E-2"/>
          <c:y val="4.8926180654931387E-2"/>
          <c:w val="0.87213054889877895"/>
          <c:h val="0.78179798985893711"/>
        </c:manualLayout>
      </c:layout>
      <c:lineChart>
        <c:grouping val="standard"/>
        <c:varyColors val="0"/>
        <c:ser>
          <c:idx val="0"/>
          <c:order val="0"/>
          <c:tx>
            <c:strRef>
              <c:f>'Exponential Triple Smoothin FK'!$B$3</c:f>
              <c:strCache>
                <c:ptCount val="1"/>
                <c:pt idx="0">
                  <c:v>SUM de Turistas CABA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'Exponential Triple Smoothin FK'!$A$4:$A$123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'Exponential Triple Smoothin FK'!$B$4:$B$123</c:f>
              <c:numCache>
                <c:formatCode>General</c:formatCode>
                <c:ptCount val="120"/>
                <c:pt idx="0">
                  <c:v>248684</c:v>
                </c:pt>
                <c:pt idx="1">
                  <c:v>211731</c:v>
                </c:pt>
                <c:pt idx="2">
                  <c:v>210862</c:v>
                </c:pt>
                <c:pt idx="3">
                  <c:v>182419</c:v>
                </c:pt>
                <c:pt idx="4">
                  <c:v>176403</c:v>
                </c:pt>
                <c:pt idx="5">
                  <c:v>160586</c:v>
                </c:pt>
                <c:pt idx="6">
                  <c:v>205385</c:v>
                </c:pt>
                <c:pt idx="7">
                  <c:v>188354</c:v>
                </c:pt>
                <c:pt idx="8">
                  <c:v>187990</c:v>
                </c:pt>
                <c:pt idx="9">
                  <c:v>204246</c:v>
                </c:pt>
                <c:pt idx="10">
                  <c:v>230713</c:v>
                </c:pt>
                <c:pt idx="11">
                  <c:v>242419</c:v>
                </c:pt>
                <c:pt idx="12">
                  <c:v>246675</c:v>
                </c:pt>
                <c:pt idx="13">
                  <c:v>208332</c:v>
                </c:pt>
                <c:pt idx="14">
                  <c:v>215957</c:v>
                </c:pt>
                <c:pt idx="15">
                  <c:v>200426</c:v>
                </c:pt>
                <c:pt idx="16">
                  <c:v>179443</c:v>
                </c:pt>
                <c:pt idx="17">
                  <c:v>167766</c:v>
                </c:pt>
                <c:pt idx="18">
                  <c:v>211456</c:v>
                </c:pt>
                <c:pt idx="19">
                  <c:v>193354</c:v>
                </c:pt>
                <c:pt idx="20">
                  <c:v>199160</c:v>
                </c:pt>
                <c:pt idx="21">
                  <c:v>224240</c:v>
                </c:pt>
                <c:pt idx="22">
                  <c:v>243719</c:v>
                </c:pt>
                <c:pt idx="23">
                  <c:v>255410</c:v>
                </c:pt>
                <c:pt idx="24">
                  <c:v>275610</c:v>
                </c:pt>
                <c:pt idx="25">
                  <c:v>214691</c:v>
                </c:pt>
                <c:pt idx="26">
                  <c:v>220918</c:v>
                </c:pt>
                <c:pt idx="27">
                  <c:v>202846</c:v>
                </c:pt>
                <c:pt idx="28">
                  <c:v>184649</c:v>
                </c:pt>
                <c:pt idx="29">
                  <c:v>167422</c:v>
                </c:pt>
                <c:pt idx="30">
                  <c:v>215459</c:v>
                </c:pt>
                <c:pt idx="31">
                  <c:v>203628</c:v>
                </c:pt>
                <c:pt idx="32">
                  <c:v>216132</c:v>
                </c:pt>
                <c:pt idx="33">
                  <c:v>227543</c:v>
                </c:pt>
                <c:pt idx="34">
                  <c:v>261261</c:v>
                </c:pt>
                <c:pt idx="35">
                  <c:v>293385</c:v>
                </c:pt>
                <c:pt idx="36">
                  <c:v>321304</c:v>
                </c:pt>
                <c:pt idx="37">
                  <c:v>237633</c:v>
                </c:pt>
                <c:pt idx="38">
                  <c:v>261862</c:v>
                </c:pt>
                <c:pt idx="39">
                  <c:v>239694</c:v>
                </c:pt>
                <c:pt idx="40">
                  <c:v>209733</c:v>
                </c:pt>
                <c:pt idx="41">
                  <c:v>197587</c:v>
                </c:pt>
                <c:pt idx="42">
                  <c:v>244027</c:v>
                </c:pt>
                <c:pt idx="43">
                  <c:v>216649</c:v>
                </c:pt>
                <c:pt idx="44">
                  <c:v>225687</c:v>
                </c:pt>
                <c:pt idx="45">
                  <c:v>225655</c:v>
                </c:pt>
                <c:pt idx="46">
                  <c:v>247326</c:v>
                </c:pt>
                <c:pt idx="47">
                  <c:v>306382</c:v>
                </c:pt>
                <c:pt idx="48">
                  <c:v>308471</c:v>
                </c:pt>
                <c:pt idx="49">
                  <c:v>255005</c:v>
                </c:pt>
                <c:pt idx="50">
                  <c:v>118614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495</c:v>
                </c:pt>
                <c:pt idx="55">
                  <c:v>890</c:v>
                </c:pt>
                <c:pt idx="56">
                  <c:v>1392</c:v>
                </c:pt>
                <c:pt idx="57">
                  <c:v>1829</c:v>
                </c:pt>
                <c:pt idx="58">
                  <c:v>3897</c:v>
                </c:pt>
                <c:pt idx="59">
                  <c:v>7865</c:v>
                </c:pt>
                <c:pt idx="60">
                  <c:v>8229</c:v>
                </c:pt>
                <c:pt idx="61">
                  <c:v>3648</c:v>
                </c:pt>
                <c:pt idx="62">
                  <c:v>5784</c:v>
                </c:pt>
                <c:pt idx="63">
                  <c:v>4959</c:v>
                </c:pt>
                <c:pt idx="64">
                  <c:v>3361</c:v>
                </c:pt>
                <c:pt idx="65">
                  <c:v>2643</c:v>
                </c:pt>
                <c:pt idx="66">
                  <c:v>2004</c:v>
                </c:pt>
                <c:pt idx="67">
                  <c:v>1883</c:v>
                </c:pt>
                <c:pt idx="68">
                  <c:v>1959</c:v>
                </c:pt>
                <c:pt idx="69">
                  <c:v>9770</c:v>
                </c:pt>
                <c:pt idx="70">
                  <c:v>35285</c:v>
                </c:pt>
                <c:pt idx="71">
                  <c:v>53384</c:v>
                </c:pt>
                <c:pt idx="72">
                  <c:v>65077</c:v>
                </c:pt>
                <c:pt idx="73">
                  <c:v>54803</c:v>
                </c:pt>
                <c:pt idx="74">
                  <c:v>86454</c:v>
                </c:pt>
                <c:pt idx="75">
                  <c:v>117027</c:v>
                </c:pt>
                <c:pt idx="76">
                  <c:v>112595</c:v>
                </c:pt>
                <c:pt idx="77">
                  <c:v>104309</c:v>
                </c:pt>
                <c:pt idx="78">
                  <c:v>147686</c:v>
                </c:pt>
                <c:pt idx="79">
                  <c:v>143140</c:v>
                </c:pt>
                <c:pt idx="80">
                  <c:v>147480</c:v>
                </c:pt>
                <c:pt idx="81">
                  <c:v>165092</c:v>
                </c:pt>
                <c:pt idx="82">
                  <c:v>196077</c:v>
                </c:pt>
                <c:pt idx="83">
                  <c:v>183609</c:v>
                </c:pt>
                <c:pt idx="84">
                  <c:v>239235</c:v>
                </c:pt>
                <c:pt idx="85">
                  <c:v>205935</c:v>
                </c:pt>
                <c:pt idx="86">
                  <c:v>221206</c:v>
                </c:pt>
                <c:pt idx="87">
                  <c:v>222626</c:v>
                </c:pt>
                <c:pt idx="88">
                  <c:v>196288</c:v>
                </c:pt>
                <c:pt idx="89">
                  <c:v>199427</c:v>
                </c:pt>
                <c:pt idx="90">
                  <c:v>263563</c:v>
                </c:pt>
                <c:pt idx="91">
                  <c:v>236928</c:v>
                </c:pt>
                <c:pt idx="92">
                  <c:v>239336</c:v>
                </c:pt>
                <c:pt idx="93">
                  <c:v>262043</c:v>
                </c:pt>
                <c:pt idx="94">
                  <c:v>311342</c:v>
                </c:pt>
                <c:pt idx="95">
                  <c:v>274711</c:v>
                </c:pt>
                <c:pt idx="96">
                  <c:v>327427</c:v>
                </c:pt>
                <c:pt idx="97">
                  <c:v>256687</c:v>
                </c:pt>
                <c:pt idx="98">
                  <c:v>278366</c:v>
                </c:pt>
                <c:pt idx="99">
                  <c:v>224410</c:v>
                </c:pt>
                <c:pt idx="100">
                  <c:v>182803</c:v>
                </c:pt>
                <c:pt idx="101">
                  <c:v>169847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F-4D04-8B19-1A24146B8EF0}"/>
            </c:ext>
          </c:extLst>
        </c:ser>
        <c:ser>
          <c:idx val="1"/>
          <c:order val="1"/>
          <c:tx>
            <c:strRef>
              <c:f>'Exponential Triple Smoothin FK'!$C$3</c:f>
              <c:strCache>
                <c:ptCount val="1"/>
                <c:pt idx="0">
                  <c:v>Previsión(SUM de Turistas CABA)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'Exponential Triple Smoothin FK'!$A$4:$A$123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'Exponential Triple Smoothin FK'!$C$4:$C$123</c:f>
              <c:numCache>
                <c:formatCode>General</c:formatCode>
                <c:ptCount val="120"/>
                <c:pt idx="101">
                  <c:v>169847</c:v>
                </c:pt>
                <c:pt idx="102">
                  <c:v>249926.15401731976</c:v>
                </c:pt>
                <c:pt idx="103">
                  <c:v>277251.19364537142</c:v>
                </c:pt>
                <c:pt idx="104">
                  <c:v>363228.78928181488</c:v>
                </c:pt>
                <c:pt idx="105">
                  <c:v>541539.97943390743</c:v>
                </c:pt>
                <c:pt idx="106">
                  <c:v>697752.51497234812</c:v>
                </c:pt>
                <c:pt idx="107">
                  <c:v>901876.65372537938</c:v>
                </c:pt>
                <c:pt idx="108">
                  <c:v>857979.57603370433</c:v>
                </c:pt>
                <c:pt idx="109">
                  <c:v>738978.31993497733</c:v>
                </c:pt>
                <c:pt idx="110">
                  <c:v>495835.61091928824</c:v>
                </c:pt>
                <c:pt idx="111">
                  <c:v>327095.61293452804</c:v>
                </c:pt>
                <c:pt idx="112">
                  <c:v>256393.75014676119</c:v>
                </c:pt>
                <c:pt idx="113">
                  <c:v>292328.139972276</c:v>
                </c:pt>
                <c:pt idx="114">
                  <c:v>249926.15401731976</c:v>
                </c:pt>
                <c:pt idx="115">
                  <c:v>277251.19364537142</c:v>
                </c:pt>
                <c:pt idx="116">
                  <c:v>363228.78928181488</c:v>
                </c:pt>
                <c:pt idx="117">
                  <c:v>541539.97943390743</c:v>
                </c:pt>
                <c:pt idx="118">
                  <c:v>697752.51497234812</c:v>
                </c:pt>
                <c:pt idx="119">
                  <c:v>901876.65372537938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F-4D04-8B19-1A24146B8EF0}"/>
            </c:ext>
          </c:extLst>
        </c:ser>
        <c:ser>
          <c:idx val="2"/>
          <c:order val="2"/>
          <c:tx>
            <c:strRef>
              <c:f>'Exponential Triple Smoothin FK'!$D$3</c:f>
              <c:strCache>
                <c:ptCount val="1"/>
                <c:pt idx="0">
                  <c:v>Límite de confianza inferior(SUM de Turistas CABA)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'Exponential Triple Smoothin FK'!$A$4:$A$123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'Exponential Triple Smoothin FK'!$D$4:$D$123</c:f>
              <c:numCache>
                <c:formatCode>General</c:formatCode>
                <c:ptCount val="120"/>
                <c:pt idx="101" formatCode="0.00">
                  <c:v>169847</c:v>
                </c:pt>
                <c:pt idx="102" formatCode="0.00">
                  <c:v>184430.78711816494</c:v>
                </c:pt>
                <c:pt idx="103" formatCode="0.00">
                  <c:v>184673.05813820974</c:v>
                </c:pt>
                <c:pt idx="104" formatCode="0.00">
                  <c:v>249825.2873110323</c:v>
                </c:pt>
                <c:pt idx="105" formatCode="0.00">
                  <c:v>410549.2128879184</c:v>
                </c:pt>
                <c:pt idx="106" formatCode="0.00">
                  <c:v>551241.76541289059</c:v>
                </c:pt>
                <c:pt idx="107" formatCode="0.00">
                  <c:v>741312.5877360421</c:v>
                </c:pt>
                <c:pt idx="108" formatCode="0.00">
                  <c:v>684472.08872766735</c:v>
                </c:pt>
                <c:pt idx="109" formatCode="0.00">
                  <c:v>553404.89805447427</c:v>
                </c:pt>
                <c:pt idx="110" formatCode="0.00">
                  <c:v>298912.35648277379</c:v>
                </c:pt>
                <c:pt idx="111" formatCode="0.00">
                  <c:v>119421.16477388443</c:v>
                </c:pt>
                <c:pt idx="112" formatCode="0.00">
                  <c:v>38478.105158604594</c:v>
                </c:pt>
                <c:pt idx="113" formatCode="0.00">
                  <c:v>64612.45660267651</c:v>
                </c:pt>
                <c:pt idx="114" formatCode="0.00">
                  <c:v>12796.869946894934</c:v>
                </c:pt>
                <c:pt idx="115" formatCode="0.00">
                  <c:v>31050.398269531783</c:v>
                </c:pt>
                <c:pt idx="116" formatCode="0.00">
                  <c:v>108262.03876010203</c:v>
                </c:pt>
                <c:pt idx="117" formatCode="0.00">
                  <c:v>278082.31181583577</c:v>
                </c:pt>
                <c:pt idx="118" formatCode="0.00">
                  <c:v>426053.1655280753</c:v>
                </c:pt>
                <c:pt idx="119" formatCode="0.00">
                  <c:v>622162.8106000385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F-4D04-8B19-1A24146B8EF0}"/>
            </c:ext>
          </c:extLst>
        </c:ser>
        <c:ser>
          <c:idx val="3"/>
          <c:order val="3"/>
          <c:tx>
            <c:strRef>
              <c:f>'Exponential Triple Smoothin FK'!$E$3</c:f>
              <c:strCache>
                <c:ptCount val="1"/>
                <c:pt idx="0">
                  <c:v>Límite de confianza superior(SUM de Turistas CABA)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'Exponential Triple Smoothin FK'!$A$4:$A$123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'Exponential Triple Smoothin FK'!$E$4:$E$123</c:f>
              <c:numCache>
                <c:formatCode>General</c:formatCode>
                <c:ptCount val="120"/>
                <c:pt idx="101" formatCode="0.00">
                  <c:v>169847</c:v>
                </c:pt>
                <c:pt idx="102" formatCode="0.00">
                  <c:v>315421.52091647458</c:v>
                </c:pt>
                <c:pt idx="103" formatCode="0.00">
                  <c:v>369829.32915253309</c:v>
                </c:pt>
                <c:pt idx="104" formatCode="0.00">
                  <c:v>476632.29125259747</c:v>
                </c:pt>
                <c:pt idx="105" formatCode="0.00">
                  <c:v>672530.74597989651</c:v>
                </c:pt>
                <c:pt idx="106" formatCode="0.00">
                  <c:v>844263.26453180565</c:v>
                </c:pt>
                <c:pt idx="107" formatCode="0.00">
                  <c:v>1062440.7197147168</c:v>
                </c:pt>
                <c:pt idx="108" formatCode="0.00">
                  <c:v>1031487.0633397413</c:v>
                </c:pt>
                <c:pt idx="109" formatCode="0.00">
                  <c:v>924551.7418154804</c:v>
                </c:pt>
                <c:pt idx="110" formatCode="0.00">
                  <c:v>692758.8653558027</c:v>
                </c:pt>
                <c:pt idx="111" formatCode="0.00">
                  <c:v>534770.06109517161</c:v>
                </c:pt>
                <c:pt idx="112" formatCode="0.00">
                  <c:v>474309.39513491781</c:v>
                </c:pt>
                <c:pt idx="113" formatCode="0.00">
                  <c:v>520043.82334187545</c:v>
                </c:pt>
                <c:pt idx="114" formatCode="0.00">
                  <c:v>487055.43808774458</c:v>
                </c:pt>
                <c:pt idx="115" formatCode="0.00">
                  <c:v>523451.98902121105</c:v>
                </c:pt>
                <c:pt idx="116" formatCode="0.00">
                  <c:v>618195.53980352776</c:v>
                </c:pt>
                <c:pt idx="117" formatCode="0.00">
                  <c:v>804997.64705197909</c:v>
                </c:pt>
                <c:pt idx="118" formatCode="0.00">
                  <c:v>969451.86441662093</c:v>
                </c:pt>
                <c:pt idx="119" formatCode="0.00">
                  <c:v>1181590.4968507201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F-4D04-8B19-1A24146B8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48736"/>
        <c:axId val="562742504"/>
      </c:lineChart>
      <c:dateAx>
        <c:axId val="56274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2504"/>
        <c:crosses val="autoZero"/>
        <c:auto val="1"/>
        <c:lblOffset val="100"/>
        <c:baseTimeUnit val="months"/>
      </c:dateAx>
      <c:valAx>
        <c:axId val="562742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87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0" i="0" baseline="0">
                <a:effectLst/>
              </a:rPr>
              <a:t>Turismo Receptivo</a:t>
            </a:r>
            <a:endParaRPr lang="es-A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741559478978169E-2"/>
          <c:y val="4.8926180654931387E-2"/>
          <c:w val="0.87213054889877895"/>
          <c:h val="0.78179798985893711"/>
        </c:manualLayout>
      </c:layout>
      <c:lineChart>
        <c:grouping val="standard"/>
        <c:varyColors val="0"/>
        <c:ser>
          <c:idx val="0"/>
          <c:order val="0"/>
          <c:tx>
            <c:strRef>
              <c:f>'Exponential Triple Smoothing OR'!$B$3</c:f>
              <c:strCache>
                <c:ptCount val="1"/>
                <c:pt idx="0">
                  <c:v>SUM de Turistas CABA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'Exponential Triple Smoothing OR'!$A$4:$A$123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'Exponential Triple Smoothing OR'!$B$4:$B$123</c:f>
              <c:numCache>
                <c:formatCode>#,##0</c:formatCode>
                <c:ptCount val="120"/>
                <c:pt idx="0">
                  <c:v>248684</c:v>
                </c:pt>
                <c:pt idx="1">
                  <c:v>211731</c:v>
                </c:pt>
                <c:pt idx="2">
                  <c:v>210862</c:v>
                </c:pt>
                <c:pt idx="3">
                  <c:v>182419</c:v>
                </c:pt>
                <c:pt idx="4">
                  <c:v>176403</c:v>
                </c:pt>
                <c:pt idx="5">
                  <c:v>160586</c:v>
                </c:pt>
                <c:pt idx="6">
                  <c:v>205385</c:v>
                </c:pt>
                <c:pt idx="7">
                  <c:v>188354</c:v>
                </c:pt>
                <c:pt idx="8">
                  <c:v>187990</c:v>
                </c:pt>
                <c:pt idx="9">
                  <c:v>204246</c:v>
                </c:pt>
                <c:pt idx="10">
                  <c:v>230713</c:v>
                </c:pt>
                <c:pt idx="11">
                  <c:v>242419</c:v>
                </c:pt>
                <c:pt idx="12">
                  <c:v>246675</c:v>
                </c:pt>
                <c:pt idx="13">
                  <c:v>208332</c:v>
                </c:pt>
                <c:pt idx="14">
                  <c:v>215957</c:v>
                </c:pt>
                <c:pt idx="15">
                  <c:v>200426</c:v>
                </c:pt>
                <c:pt idx="16">
                  <c:v>179443</c:v>
                </c:pt>
                <c:pt idx="17">
                  <c:v>167766</c:v>
                </c:pt>
                <c:pt idx="18">
                  <c:v>211456</c:v>
                </c:pt>
                <c:pt idx="19">
                  <c:v>193354</c:v>
                </c:pt>
                <c:pt idx="20">
                  <c:v>199160</c:v>
                </c:pt>
                <c:pt idx="21">
                  <c:v>224240</c:v>
                </c:pt>
                <c:pt idx="22">
                  <c:v>243719</c:v>
                </c:pt>
                <c:pt idx="23">
                  <c:v>255410</c:v>
                </c:pt>
                <c:pt idx="24">
                  <c:v>275610</c:v>
                </c:pt>
                <c:pt idx="25">
                  <c:v>214691</c:v>
                </c:pt>
                <c:pt idx="26">
                  <c:v>220918</c:v>
                </c:pt>
                <c:pt idx="27">
                  <c:v>202846</c:v>
                </c:pt>
                <c:pt idx="28">
                  <c:v>184649</c:v>
                </c:pt>
                <c:pt idx="29">
                  <c:v>167422</c:v>
                </c:pt>
                <c:pt idx="30">
                  <c:v>215459</c:v>
                </c:pt>
                <c:pt idx="31">
                  <c:v>203628</c:v>
                </c:pt>
                <c:pt idx="32">
                  <c:v>216132</c:v>
                </c:pt>
                <c:pt idx="33">
                  <c:v>227543</c:v>
                </c:pt>
                <c:pt idx="34">
                  <c:v>261261</c:v>
                </c:pt>
                <c:pt idx="35">
                  <c:v>293385</c:v>
                </c:pt>
                <c:pt idx="36">
                  <c:v>321304</c:v>
                </c:pt>
                <c:pt idx="37">
                  <c:v>237633</c:v>
                </c:pt>
                <c:pt idx="38">
                  <c:v>261862</c:v>
                </c:pt>
                <c:pt idx="39">
                  <c:v>239694</c:v>
                </c:pt>
                <c:pt idx="40">
                  <c:v>209733</c:v>
                </c:pt>
                <c:pt idx="41">
                  <c:v>197587</c:v>
                </c:pt>
                <c:pt idx="42">
                  <c:v>244027</c:v>
                </c:pt>
                <c:pt idx="43">
                  <c:v>216649</c:v>
                </c:pt>
                <c:pt idx="44">
                  <c:v>225687</c:v>
                </c:pt>
                <c:pt idx="45">
                  <c:v>225655</c:v>
                </c:pt>
                <c:pt idx="46">
                  <c:v>247326</c:v>
                </c:pt>
                <c:pt idx="47">
                  <c:v>306382</c:v>
                </c:pt>
                <c:pt idx="48">
                  <c:v>308471</c:v>
                </c:pt>
                <c:pt idx="49">
                  <c:v>255005</c:v>
                </c:pt>
                <c:pt idx="50">
                  <c:v>118614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495</c:v>
                </c:pt>
                <c:pt idx="55">
                  <c:v>890</c:v>
                </c:pt>
                <c:pt idx="56">
                  <c:v>1392</c:v>
                </c:pt>
                <c:pt idx="57">
                  <c:v>1829</c:v>
                </c:pt>
                <c:pt idx="58">
                  <c:v>3897</c:v>
                </c:pt>
                <c:pt idx="59">
                  <c:v>7865</c:v>
                </c:pt>
                <c:pt idx="60">
                  <c:v>8229</c:v>
                </c:pt>
                <c:pt idx="61">
                  <c:v>3648</c:v>
                </c:pt>
                <c:pt idx="62">
                  <c:v>5784</c:v>
                </c:pt>
                <c:pt idx="63">
                  <c:v>4959</c:v>
                </c:pt>
                <c:pt idx="64">
                  <c:v>3361</c:v>
                </c:pt>
                <c:pt idx="65">
                  <c:v>2643</c:v>
                </c:pt>
                <c:pt idx="66">
                  <c:v>2004</c:v>
                </c:pt>
                <c:pt idx="67">
                  <c:v>1883</c:v>
                </c:pt>
                <c:pt idx="68">
                  <c:v>1959</c:v>
                </c:pt>
                <c:pt idx="69">
                  <c:v>9770</c:v>
                </c:pt>
                <c:pt idx="70">
                  <c:v>35285</c:v>
                </c:pt>
                <c:pt idx="71">
                  <c:v>53384</c:v>
                </c:pt>
                <c:pt idx="72">
                  <c:v>65077</c:v>
                </c:pt>
                <c:pt idx="73">
                  <c:v>54803</c:v>
                </c:pt>
                <c:pt idx="74">
                  <c:v>86454</c:v>
                </c:pt>
                <c:pt idx="75">
                  <c:v>117027</c:v>
                </c:pt>
                <c:pt idx="76">
                  <c:v>112595</c:v>
                </c:pt>
                <c:pt idx="77">
                  <c:v>104309</c:v>
                </c:pt>
                <c:pt idx="78">
                  <c:v>147686</c:v>
                </c:pt>
                <c:pt idx="79">
                  <c:v>143140</c:v>
                </c:pt>
                <c:pt idx="80">
                  <c:v>147480</c:v>
                </c:pt>
                <c:pt idx="81">
                  <c:v>165092</c:v>
                </c:pt>
                <c:pt idx="82">
                  <c:v>196077</c:v>
                </c:pt>
                <c:pt idx="83">
                  <c:v>183609</c:v>
                </c:pt>
                <c:pt idx="84">
                  <c:v>239235</c:v>
                </c:pt>
                <c:pt idx="85">
                  <c:v>205935</c:v>
                </c:pt>
                <c:pt idx="86">
                  <c:v>221206</c:v>
                </c:pt>
                <c:pt idx="87">
                  <c:v>222626</c:v>
                </c:pt>
                <c:pt idx="88">
                  <c:v>196288</c:v>
                </c:pt>
                <c:pt idx="89">
                  <c:v>199427</c:v>
                </c:pt>
                <c:pt idx="90">
                  <c:v>263563</c:v>
                </c:pt>
                <c:pt idx="91">
                  <c:v>236928</c:v>
                </c:pt>
                <c:pt idx="92">
                  <c:v>239336</c:v>
                </c:pt>
                <c:pt idx="93">
                  <c:v>262043</c:v>
                </c:pt>
                <c:pt idx="94">
                  <c:v>311342</c:v>
                </c:pt>
                <c:pt idx="95">
                  <c:v>274711</c:v>
                </c:pt>
                <c:pt idx="96">
                  <c:v>327427</c:v>
                </c:pt>
                <c:pt idx="97">
                  <c:v>256687</c:v>
                </c:pt>
                <c:pt idx="98">
                  <c:v>278366</c:v>
                </c:pt>
                <c:pt idx="99">
                  <c:v>224410</c:v>
                </c:pt>
                <c:pt idx="100">
                  <c:v>182803</c:v>
                </c:pt>
                <c:pt idx="101">
                  <c:v>169847</c:v>
                </c:pt>
                <c:pt idx="102">
                  <c:v>233105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8-44C2-BB56-C6D6F3FC9959}"/>
            </c:ext>
          </c:extLst>
        </c:ser>
        <c:ser>
          <c:idx val="1"/>
          <c:order val="1"/>
          <c:tx>
            <c:strRef>
              <c:f>'Exponential Triple Smoothing OR'!$C$3</c:f>
              <c:strCache>
                <c:ptCount val="1"/>
                <c:pt idx="0">
                  <c:v>Previsión(SUM de Turistas CABA)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'Exponential Triple Smoothing OR'!$A$4:$A$123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'Exponential Triple Smoothing OR'!$C$4:$C$123</c:f>
              <c:numCache>
                <c:formatCode>General</c:formatCode>
                <c:ptCount val="120"/>
                <c:pt idx="102">
                  <c:v>233105</c:v>
                </c:pt>
                <c:pt idx="103">
                  <c:v>228380.05334825744</c:v>
                </c:pt>
                <c:pt idx="104">
                  <c:v>242634.35514950968</c:v>
                </c:pt>
                <c:pt idx="105">
                  <c:v>279582.02524934371</c:v>
                </c:pt>
                <c:pt idx="106">
                  <c:v>333846.78199004359</c:v>
                </c:pt>
                <c:pt idx="107">
                  <c:v>369736.12717278459</c:v>
                </c:pt>
                <c:pt idx="108">
                  <c:v>398731.72753100359</c:v>
                </c:pt>
                <c:pt idx="109">
                  <c:v>356034.05288855726</c:v>
                </c:pt>
                <c:pt idx="110">
                  <c:v>371056.41045549448</c:v>
                </c:pt>
                <c:pt idx="111">
                  <c:v>335265.07376813953</c:v>
                </c:pt>
                <c:pt idx="112">
                  <c:v>337998.22824676469</c:v>
                </c:pt>
                <c:pt idx="113">
                  <c:v>320245.36587610876</c:v>
                </c:pt>
                <c:pt idx="114">
                  <c:v>425640.32540137955</c:v>
                </c:pt>
                <c:pt idx="115">
                  <c:v>228380.05334825744</c:v>
                </c:pt>
                <c:pt idx="116">
                  <c:v>242634.35514950968</c:v>
                </c:pt>
                <c:pt idx="117">
                  <c:v>279582.02524934371</c:v>
                </c:pt>
                <c:pt idx="118">
                  <c:v>333846.78199004359</c:v>
                </c:pt>
                <c:pt idx="119">
                  <c:v>369736.12717278459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38-44C2-BB56-C6D6F3FC9959}"/>
            </c:ext>
          </c:extLst>
        </c:ser>
        <c:ser>
          <c:idx val="2"/>
          <c:order val="2"/>
          <c:tx>
            <c:strRef>
              <c:f>'Exponential Triple Smoothing OR'!$D$3</c:f>
              <c:strCache>
                <c:ptCount val="1"/>
                <c:pt idx="0">
                  <c:v>Límite de confianza inferior(SUM de Turistas CABA)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'Exponential Triple Smoothing OR'!$A$4:$A$123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'Exponential Triple Smoothing OR'!$D$4:$D$123</c:f>
              <c:numCache>
                <c:formatCode>General</c:formatCode>
                <c:ptCount val="120"/>
                <c:pt idx="102">
                  <c:v>233105</c:v>
                </c:pt>
                <c:pt idx="103" formatCode="0.00">
                  <c:v>161866.95890626626</c:v>
                </c:pt>
                <c:pt idx="104" formatCode="0.00">
                  <c:v>148617.6550105146</c:v>
                </c:pt>
                <c:pt idx="105" formatCode="0.00">
                  <c:v>164416.35485545004</c:v>
                </c:pt>
                <c:pt idx="106" formatCode="0.00">
                  <c:v>200820.55984951812</c:v>
                </c:pt>
                <c:pt idx="107" formatCode="0.00">
                  <c:v>220948.75817888914</c:v>
                </c:pt>
                <c:pt idx="108" formatCode="0.00">
                  <c:v>235672.66868822134</c:v>
                </c:pt>
                <c:pt idx="109" formatCode="0.00">
                  <c:v>179830.44588612136</c:v>
                </c:pt>
                <c:pt idx="110" formatCode="0.00">
                  <c:v>182599.37723562782</c:v>
                </c:pt>
                <c:pt idx="111" formatCode="0.00">
                  <c:v>135281.84380429354</c:v>
                </c:pt>
                <c:pt idx="112" formatCode="0.00">
                  <c:v>127096.74257426374</c:v>
                </c:pt>
                <c:pt idx="113" formatCode="0.00">
                  <c:v>98943.546194696683</c:v>
                </c:pt>
                <c:pt idx="114" formatCode="0.00">
                  <c:v>194386.18528478779</c:v>
                </c:pt>
                <c:pt idx="115" formatCode="0.00">
                  <c:v>-12433.964697062562</c:v>
                </c:pt>
                <c:pt idx="116" formatCode="0.00">
                  <c:v>-7392.1357279372169</c:v>
                </c:pt>
                <c:pt idx="117" formatCode="0.00">
                  <c:v>20653.36571331881</c:v>
                </c:pt>
                <c:pt idx="118" formatCode="0.00">
                  <c:v>66295.265640363388</c:v>
                </c:pt>
                <c:pt idx="119" formatCode="0.00">
                  <c:v>93814.862127582019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38-44C2-BB56-C6D6F3FC9959}"/>
            </c:ext>
          </c:extLst>
        </c:ser>
        <c:ser>
          <c:idx val="3"/>
          <c:order val="3"/>
          <c:tx>
            <c:strRef>
              <c:f>'Exponential Triple Smoothing OR'!$E$3</c:f>
              <c:strCache>
                <c:ptCount val="1"/>
                <c:pt idx="0">
                  <c:v>Límite de confianza superior(SUM de Turistas CABA)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'Exponential Triple Smoothing OR'!$A$4:$A$123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'Exponential Triple Smoothing OR'!$E$4:$E$123</c:f>
              <c:numCache>
                <c:formatCode>General</c:formatCode>
                <c:ptCount val="120"/>
                <c:pt idx="102">
                  <c:v>233105</c:v>
                </c:pt>
                <c:pt idx="103" formatCode="0.00">
                  <c:v>294893.14779024862</c:v>
                </c:pt>
                <c:pt idx="104" formatCode="0.00">
                  <c:v>336651.05528850475</c:v>
                </c:pt>
                <c:pt idx="105" formatCode="0.00">
                  <c:v>394747.69564323738</c:v>
                </c:pt>
                <c:pt idx="106" formatCode="0.00">
                  <c:v>466873.00413056905</c:v>
                </c:pt>
                <c:pt idx="107" formatCode="0.00">
                  <c:v>518523.49616668001</c:v>
                </c:pt>
                <c:pt idx="108" formatCode="0.00">
                  <c:v>561790.78637378581</c:v>
                </c:pt>
                <c:pt idx="109" formatCode="0.00">
                  <c:v>532237.65989099315</c:v>
                </c:pt>
                <c:pt idx="110" formatCode="0.00">
                  <c:v>559513.44367536111</c:v>
                </c:pt>
                <c:pt idx="111" formatCode="0.00">
                  <c:v>535248.30373198551</c:v>
                </c:pt>
                <c:pt idx="112" formatCode="0.00">
                  <c:v>548899.71391926566</c:v>
                </c:pt>
                <c:pt idx="113" formatCode="0.00">
                  <c:v>541547.18555752083</c:v>
                </c:pt>
                <c:pt idx="114" formatCode="0.00">
                  <c:v>656894.46551797132</c:v>
                </c:pt>
                <c:pt idx="115" formatCode="0.00">
                  <c:v>469194.07139357744</c:v>
                </c:pt>
                <c:pt idx="116" formatCode="0.00">
                  <c:v>492660.84602695657</c:v>
                </c:pt>
                <c:pt idx="117" formatCode="0.00">
                  <c:v>538510.68478536862</c:v>
                </c:pt>
                <c:pt idx="118" formatCode="0.00">
                  <c:v>601398.29833972384</c:v>
                </c:pt>
                <c:pt idx="119" formatCode="0.00">
                  <c:v>645657.39221798722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38-44C2-BB56-C6D6F3FC9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48736"/>
        <c:axId val="562742504"/>
      </c:lineChart>
      <c:dateAx>
        <c:axId val="56274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2504"/>
        <c:crosses val="autoZero"/>
        <c:auto val="1"/>
        <c:lblOffset val="100"/>
        <c:baseTimeUnit val="months"/>
      </c:dateAx>
      <c:valAx>
        <c:axId val="562742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87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0" i="0" baseline="0">
                <a:effectLst/>
              </a:rPr>
              <a:t>Turismo Receptivo</a:t>
            </a:r>
            <a:endParaRPr lang="es-A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741559478978169E-2"/>
          <c:y val="4.8926180654931387E-2"/>
          <c:w val="0.87213054889877895"/>
          <c:h val="0.781797989858937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'Single Exponential Smoothing P.'!$A$3:$A$122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'Single Exponential Smoothing P.'!$B$3:$B$122</c:f>
              <c:numCache>
                <c:formatCode>#,##0</c:formatCode>
                <c:ptCount val="120"/>
                <c:pt idx="0">
                  <c:v>248684</c:v>
                </c:pt>
                <c:pt idx="1">
                  <c:v>211731</c:v>
                </c:pt>
                <c:pt idx="2">
                  <c:v>210862</c:v>
                </c:pt>
                <c:pt idx="3">
                  <c:v>182419</c:v>
                </c:pt>
                <c:pt idx="4">
                  <c:v>176403</c:v>
                </c:pt>
                <c:pt idx="5">
                  <c:v>160586</c:v>
                </c:pt>
                <c:pt idx="6">
                  <c:v>205385</c:v>
                </c:pt>
                <c:pt idx="7">
                  <c:v>188354</c:v>
                </c:pt>
                <c:pt idx="8">
                  <c:v>187990</c:v>
                </c:pt>
                <c:pt idx="9">
                  <c:v>204246</c:v>
                </c:pt>
                <c:pt idx="10">
                  <c:v>230713</c:v>
                </c:pt>
                <c:pt idx="11">
                  <c:v>242419</c:v>
                </c:pt>
                <c:pt idx="12">
                  <c:v>246675</c:v>
                </c:pt>
                <c:pt idx="13">
                  <c:v>208332</c:v>
                </c:pt>
                <c:pt idx="14">
                  <c:v>215957</c:v>
                </c:pt>
                <c:pt idx="15">
                  <c:v>200426</c:v>
                </c:pt>
                <c:pt idx="16">
                  <c:v>179443</c:v>
                </c:pt>
                <c:pt idx="17">
                  <c:v>167766</c:v>
                </c:pt>
                <c:pt idx="18">
                  <c:v>211456</c:v>
                </c:pt>
                <c:pt idx="19">
                  <c:v>193354</c:v>
                </c:pt>
                <c:pt idx="20">
                  <c:v>199160</c:v>
                </c:pt>
                <c:pt idx="21">
                  <c:v>224240</c:v>
                </c:pt>
                <c:pt idx="22">
                  <c:v>243719</c:v>
                </c:pt>
                <c:pt idx="23">
                  <c:v>255410</c:v>
                </c:pt>
                <c:pt idx="24">
                  <c:v>275610</c:v>
                </c:pt>
                <c:pt idx="25">
                  <c:v>214691</c:v>
                </c:pt>
                <c:pt idx="26">
                  <c:v>220918</c:v>
                </c:pt>
                <c:pt idx="27">
                  <c:v>202846</c:v>
                </c:pt>
                <c:pt idx="28">
                  <c:v>184649</c:v>
                </c:pt>
                <c:pt idx="29">
                  <c:v>167422</c:v>
                </c:pt>
                <c:pt idx="30">
                  <c:v>215459</c:v>
                </c:pt>
                <c:pt idx="31">
                  <c:v>203628</c:v>
                </c:pt>
                <c:pt idx="32">
                  <c:v>216132</c:v>
                </c:pt>
                <c:pt idx="33">
                  <c:v>227543</c:v>
                </c:pt>
                <c:pt idx="34">
                  <c:v>261261</c:v>
                </c:pt>
                <c:pt idx="35">
                  <c:v>293385</c:v>
                </c:pt>
                <c:pt idx="36">
                  <c:v>321304</c:v>
                </c:pt>
                <c:pt idx="37">
                  <c:v>237633</c:v>
                </c:pt>
                <c:pt idx="38">
                  <c:v>261862</c:v>
                </c:pt>
                <c:pt idx="39">
                  <c:v>239694</c:v>
                </c:pt>
                <c:pt idx="40">
                  <c:v>209733</c:v>
                </c:pt>
                <c:pt idx="41">
                  <c:v>197587</c:v>
                </c:pt>
                <c:pt idx="42">
                  <c:v>244027</c:v>
                </c:pt>
                <c:pt idx="43">
                  <c:v>216649</c:v>
                </c:pt>
                <c:pt idx="44">
                  <c:v>225687</c:v>
                </c:pt>
                <c:pt idx="45">
                  <c:v>225655</c:v>
                </c:pt>
                <c:pt idx="46">
                  <c:v>247326</c:v>
                </c:pt>
                <c:pt idx="47">
                  <c:v>306382</c:v>
                </c:pt>
                <c:pt idx="48">
                  <c:v>308471</c:v>
                </c:pt>
                <c:pt idx="49">
                  <c:v>255005</c:v>
                </c:pt>
                <c:pt idx="50">
                  <c:v>118614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495</c:v>
                </c:pt>
                <c:pt idx="55">
                  <c:v>890</c:v>
                </c:pt>
                <c:pt idx="56">
                  <c:v>1392</c:v>
                </c:pt>
                <c:pt idx="57">
                  <c:v>1829</c:v>
                </c:pt>
                <c:pt idx="58">
                  <c:v>3897</c:v>
                </c:pt>
                <c:pt idx="59">
                  <c:v>7865</c:v>
                </c:pt>
                <c:pt idx="60">
                  <c:v>8229</c:v>
                </c:pt>
                <c:pt idx="61">
                  <c:v>3648</c:v>
                </c:pt>
                <c:pt idx="62">
                  <c:v>5784</c:v>
                </c:pt>
                <c:pt idx="63">
                  <c:v>4959</c:v>
                </c:pt>
                <c:pt idx="64">
                  <c:v>3361</c:v>
                </c:pt>
                <c:pt idx="65">
                  <c:v>2643</c:v>
                </c:pt>
                <c:pt idx="66">
                  <c:v>2004</c:v>
                </c:pt>
                <c:pt idx="67">
                  <c:v>1883</c:v>
                </c:pt>
                <c:pt idx="68">
                  <c:v>1959</c:v>
                </c:pt>
                <c:pt idx="69">
                  <c:v>9770</c:v>
                </c:pt>
                <c:pt idx="70">
                  <c:v>35285</c:v>
                </c:pt>
                <c:pt idx="71">
                  <c:v>53384</c:v>
                </c:pt>
                <c:pt idx="72">
                  <c:v>65077</c:v>
                </c:pt>
                <c:pt idx="73">
                  <c:v>54803</c:v>
                </c:pt>
                <c:pt idx="74">
                  <c:v>86454</c:v>
                </c:pt>
                <c:pt idx="75">
                  <c:v>117027</c:v>
                </c:pt>
                <c:pt idx="76">
                  <c:v>112595</c:v>
                </c:pt>
                <c:pt idx="77">
                  <c:v>104309</c:v>
                </c:pt>
                <c:pt idx="78">
                  <c:v>147686</c:v>
                </c:pt>
                <c:pt idx="79">
                  <c:v>143140</c:v>
                </c:pt>
                <c:pt idx="80">
                  <c:v>147480</c:v>
                </c:pt>
                <c:pt idx="81">
                  <c:v>165092</c:v>
                </c:pt>
                <c:pt idx="82">
                  <c:v>196077</c:v>
                </c:pt>
                <c:pt idx="83">
                  <c:v>183609</c:v>
                </c:pt>
                <c:pt idx="84">
                  <c:v>239235</c:v>
                </c:pt>
                <c:pt idx="85">
                  <c:v>205935</c:v>
                </c:pt>
                <c:pt idx="86">
                  <c:v>221206</c:v>
                </c:pt>
                <c:pt idx="87">
                  <c:v>222626</c:v>
                </c:pt>
                <c:pt idx="88">
                  <c:v>196288</c:v>
                </c:pt>
                <c:pt idx="89">
                  <c:v>199427</c:v>
                </c:pt>
                <c:pt idx="90">
                  <c:v>263563</c:v>
                </c:pt>
                <c:pt idx="91">
                  <c:v>236928</c:v>
                </c:pt>
                <c:pt idx="92">
                  <c:v>239336</c:v>
                </c:pt>
                <c:pt idx="93">
                  <c:v>262043</c:v>
                </c:pt>
                <c:pt idx="94">
                  <c:v>311342</c:v>
                </c:pt>
                <c:pt idx="95">
                  <c:v>274711</c:v>
                </c:pt>
                <c:pt idx="96">
                  <c:v>327427</c:v>
                </c:pt>
                <c:pt idx="97">
                  <c:v>256687</c:v>
                </c:pt>
                <c:pt idx="98">
                  <c:v>278366</c:v>
                </c:pt>
                <c:pt idx="99">
                  <c:v>224410</c:v>
                </c:pt>
                <c:pt idx="100">
                  <c:v>182803</c:v>
                </c:pt>
                <c:pt idx="101">
                  <c:v>169847</c:v>
                </c:pt>
                <c:pt idx="102">
                  <c:v>233105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C-4AEF-9F06-43A5E1A485D4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'Single Exponential Smoothing P.'!$A$3:$A$122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'Single Exponential Smoothing P.'!$C$3:$C$122</c:f>
              <c:numCache>
                <c:formatCode>General</c:formatCode>
                <c:ptCount val="120"/>
                <c:pt idx="102" formatCode="0">
                  <c:v>233105</c:v>
                </c:pt>
                <c:pt idx="103" formatCode="0">
                  <c:v>176608.78789642052</c:v>
                </c:pt>
                <c:pt idx="104" formatCode="0">
                  <c:v>191032.69336933657</c:v>
                </c:pt>
                <c:pt idx="105" formatCode="0">
                  <c:v>213954.04196426546</c:v>
                </c:pt>
                <c:pt idx="106" formatCode="0">
                  <c:v>273420.44728753262</c:v>
                </c:pt>
                <c:pt idx="107" formatCode="0">
                  <c:v>325035.36880513048</c:v>
                </c:pt>
                <c:pt idx="108" formatCode="0">
                  <c:v>355076.86793691729</c:v>
                </c:pt>
                <c:pt idx="109" formatCode="0">
                  <c:v>265282.74187274493</c:v>
                </c:pt>
                <c:pt idx="110" formatCode="0">
                  <c:v>266726.88118875021</c:v>
                </c:pt>
                <c:pt idx="111" formatCode="0">
                  <c:v>208106.82070916673</c:v>
                </c:pt>
                <c:pt idx="112" formatCode="0">
                  <c:v>169816.62611413506</c:v>
                </c:pt>
                <c:pt idx="113" formatCode="0">
                  <c:v>157353.75683865874</c:v>
                </c:pt>
                <c:pt idx="114" formatCode="0">
                  <c:v>199900.99793720825</c:v>
                </c:pt>
                <c:pt idx="115" formatCode="0">
                  <c:v>176608.78789642052</c:v>
                </c:pt>
                <c:pt idx="116" formatCode="0">
                  <c:v>191032.69336933657</c:v>
                </c:pt>
                <c:pt idx="117" formatCode="0">
                  <c:v>213954.04196426546</c:v>
                </c:pt>
                <c:pt idx="118" formatCode="0">
                  <c:v>273420.44728753262</c:v>
                </c:pt>
                <c:pt idx="119" formatCode="0">
                  <c:v>325035.36880513048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7C-4AEF-9F06-43A5E1A485D4}"/>
            </c:ext>
          </c:extLst>
        </c:ser>
        <c:ser>
          <c:idx val="2"/>
          <c:order val="2"/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'Single Exponential Smoothing P.'!$A$3:$A$122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'Single Exponential Smoothing P.'!$D$3:$D$122</c:f>
              <c:numCache>
                <c:formatCode>General</c:formatCode>
                <c:ptCount val="120"/>
                <c:pt idx="102" formatCode="0.00">
                  <c:v>233105</c:v>
                </c:pt>
                <c:pt idx="103" formatCode="0.00">
                  <c:v>84030.652389258845</c:v>
                </c:pt>
                <c:pt idx="104" formatCode="0.00">
                  <c:v>77629.191398553972</c:v>
                </c:pt>
                <c:pt idx="105" formatCode="0.00">
                  <c:v>82963.275418276433</c:v>
                </c:pt>
                <c:pt idx="106" formatCode="0.00">
                  <c:v>126909.69772807515</c:v>
                </c:pt>
                <c:pt idx="107" formatCode="0.00">
                  <c:v>164471.30281579317</c:v>
                </c:pt>
                <c:pt idx="108" formatCode="0.00">
                  <c:v>181569.3806308803</c:v>
                </c:pt>
                <c:pt idx="109" formatCode="0.00">
                  <c:v>79709.319992241857</c:v>
                </c:pt>
                <c:pt idx="110" formatCode="0.00">
                  <c:v>69803.626752235752</c:v>
                </c:pt>
                <c:pt idx="111" formatCode="0.00">
                  <c:v>432.37254852312617</c:v>
                </c:pt>
                <c:pt idx="112" formatCode="0.00">
                  <c:v>-48099.018874021538</c:v>
                </c:pt>
                <c:pt idx="113" formatCode="0.00">
                  <c:v>-70361.926530940749</c:v>
                </c:pt>
                <c:pt idx="114" formatCode="0.00">
                  <c:v>-37228.286133216578</c:v>
                </c:pt>
                <c:pt idx="115" formatCode="0.00">
                  <c:v>-69592.007479419117</c:v>
                </c:pt>
                <c:pt idx="116" formatCode="0.00">
                  <c:v>-63934.057152376277</c:v>
                </c:pt>
                <c:pt idx="117" formatCode="0.00">
                  <c:v>-49503.625653806201</c:v>
                </c:pt>
                <c:pt idx="118" formatCode="0.00">
                  <c:v>1721.0978432598058</c:v>
                </c:pt>
                <c:pt idx="119" formatCode="0.00">
                  <c:v>45321.5256797896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7C-4AEF-9F06-43A5E1A485D4}"/>
            </c:ext>
          </c:extLst>
        </c:ser>
        <c:ser>
          <c:idx val="3"/>
          <c:order val="3"/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'Single Exponential Smoothing P.'!$A$3:$A$122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'Single Exponential Smoothing P.'!$E$3:$E$122</c:f>
              <c:numCache>
                <c:formatCode>General</c:formatCode>
                <c:ptCount val="120"/>
                <c:pt idx="102" formatCode="0.00">
                  <c:v>233105</c:v>
                </c:pt>
                <c:pt idx="103" formatCode="0.00">
                  <c:v>321831.51601761801</c:v>
                </c:pt>
                <c:pt idx="104" formatCode="0.00">
                  <c:v>350185.19085717958</c:v>
                </c:pt>
                <c:pt idx="105" formatCode="0.00">
                  <c:v>385936.17113773688</c:v>
                </c:pt>
                <c:pt idx="106" formatCode="0.00">
                  <c:v>457362.43566249381</c:v>
                </c:pt>
                <c:pt idx="107" formatCode="0.00">
                  <c:v>520227.40983806306</c:v>
                </c:pt>
                <c:pt idx="108" formatCode="0.00">
                  <c:v>560925.58561557217</c:v>
                </c:pt>
                <c:pt idx="109" formatCode="0.00">
                  <c:v>481282.62284139462</c:v>
                </c:pt>
                <c:pt idx="110" formatCode="0.00">
                  <c:v>492440.64536204503</c:v>
                </c:pt>
                <c:pt idx="111" formatCode="0.00">
                  <c:v>443151.42769998929</c:v>
                </c:pt>
                <c:pt idx="112" formatCode="0.00">
                  <c:v>413852.9939410456</c:v>
                </c:pt>
                <c:pt idx="113" formatCode="0.00">
                  <c:v>410079.01558107953</c:v>
                </c:pt>
                <c:pt idx="114" formatCode="0.00">
                  <c:v>461042.5274904184</c:v>
                </c:pt>
                <c:pt idx="115" formatCode="0.00">
                  <c:v>445919.54409482033</c:v>
                </c:pt>
                <c:pt idx="116" formatCode="0.00">
                  <c:v>468287.48534923699</c:v>
                </c:pt>
                <c:pt idx="117" formatCode="0.00">
                  <c:v>498946.5255519643</c:v>
                </c:pt>
                <c:pt idx="118" formatCode="0.00">
                  <c:v>565960.66659123381</c:v>
                </c:pt>
                <c:pt idx="119" formatCode="0.00">
                  <c:v>624947.72388781002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7C-4AEF-9F06-43A5E1A48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48736"/>
        <c:axId val="562742504"/>
      </c:lineChart>
      <c:dateAx>
        <c:axId val="56274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2504"/>
        <c:crosses val="autoZero"/>
        <c:auto val="1"/>
        <c:lblOffset val="100"/>
        <c:baseTimeUnit val="months"/>
      </c:dateAx>
      <c:valAx>
        <c:axId val="562742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87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0" i="0" baseline="0">
                <a:effectLst/>
              </a:rPr>
              <a:t>Turismo Receptivo</a:t>
            </a:r>
            <a:endParaRPr lang="es-A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741559478978169E-2"/>
          <c:y val="4.8926180654931387E-2"/>
          <c:w val="0.87213054889877895"/>
          <c:h val="0.781797989858937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'Single Exponential Smoothing P.'!$S$3:$S$122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'Single Exponential Smoothing P.'!$T$3:$T$122</c:f>
              <c:numCache>
                <c:formatCode>#,##0</c:formatCode>
                <c:ptCount val="120"/>
                <c:pt idx="0">
                  <c:v>248684</c:v>
                </c:pt>
                <c:pt idx="1">
                  <c:v>211731</c:v>
                </c:pt>
                <c:pt idx="2">
                  <c:v>210862</c:v>
                </c:pt>
                <c:pt idx="3">
                  <c:v>182419</c:v>
                </c:pt>
                <c:pt idx="4">
                  <c:v>176403</c:v>
                </c:pt>
                <c:pt idx="5">
                  <c:v>160586</c:v>
                </c:pt>
                <c:pt idx="6">
                  <c:v>205385</c:v>
                </c:pt>
                <c:pt idx="7">
                  <c:v>188354</c:v>
                </c:pt>
                <c:pt idx="8">
                  <c:v>187990</c:v>
                </c:pt>
                <c:pt idx="9">
                  <c:v>204246</c:v>
                </c:pt>
                <c:pt idx="10">
                  <c:v>230713</c:v>
                </c:pt>
                <c:pt idx="11">
                  <c:v>242419</c:v>
                </c:pt>
                <c:pt idx="12">
                  <c:v>246675</c:v>
                </c:pt>
                <c:pt idx="13">
                  <c:v>208332</c:v>
                </c:pt>
                <c:pt idx="14">
                  <c:v>215957</c:v>
                </c:pt>
                <c:pt idx="15">
                  <c:v>200426</c:v>
                </c:pt>
                <c:pt idx="16">
                  <c:v>179443</c:v>
                </c:pt>
                <c:pt idx="17">
                  <c:v>167766</c:v>
                </c:pt>
                <c:pt idx="18">
                  <c:v>211456</c:v>
                </c:pt>
                <c:pt idx="19">
                  <c:v>193354</c:v>
                </c:pt>
                <c:pt idx="20">
                  <c:v>199160</c:v>
                </c:pt>
                <c:pt idx="21">
                  <c:v>224240</c:v>
                </c:pt>
                <c:pt idx="22">
                  <c:v>243719</c:v>
                </c:pt>
                <c:pt idx="23">
                  <c:v>255410</c:v>
                </c:pt>
                <c:pt idx="24">
                  <c:v>275610</c:v>
                </c:pt>
                <c:pt idx="25">
                  <c:v>214691</c:v>
                </c:pt>
                <c:pt idx="26">
                  <c:v>220918</c:v>
                </c:pt>
                <c:pt idx="27">
                  <c:v>202846</c:v>
                </c:pt>
                <c:pt idx="28">
                  <c:v>184649</c:v>
                </c:pt>
                <c:pt idx="29">
                  <c:v>167422</c:v>
                </c:pt>
                <c:pt idx="30">
                  <c:v>215459</c:v>
                </c:pt>
                <c:pt idx="31">
                  <c:v>203628</c:v>
                </c:pt>
                <c:pt idx="32">
                  <c:v>216132</c:v>
                </c:pt>
                <c:pt idx="33">
                  <c:v>227543</c:v>
                </c:pt>
                <c:pt idx="34">
                  <c:v>261261</c:v>
                </c:pt>
                <c:pt idx="35">
                  <c:v>293385</c:v>
                </c:pt>
                <c:pt idx="36">
                  <c:v>321304</c:v>
                </c:pt>
                <c:pt idx="37">
                  <c:v>237633</c:v>
                </c:pt>
                <c:pt idx="38">
                  <c:v>261862</c:v>
                </c:pt>
                <c:pt idx="39">
                  <c:v>239694</c:v>
                </c:pt>
                <c:pt idx="40">
                  <c:v>209733</c:v>
                </c:pt>
                <c:pt idx="41">
                  <c:v>197587</c:v>
                </c:pt>
                <c:pt idx="42">
                  <c:v>244027</c:v>
                </c:pt>
                <c:pt idx="43">
                  <c:v>216649</c:v>
                </c:pt>
                <c:pt idx="44">
                  <c:v>225687</c:v>
                </c:pt>
                <c:pt idx="45">
                  <c:v>225655</c:v>
                </c:pt>
                <c:pt idx="46">
                  <c:v>247326</c:v>
                </c:pt>
                <c:pt idx="47">
                  <c:v>306382</c:v>
                </c:pt>
                <c:pt idx="48">
                  <c:v>308471</c:v>
                </c:pt>
                <c:pt idx="49">
                  <c:v>255005</c:v>
                </c:pt>
                <c:pt idx="50">
                  <c:v>118614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495</c:v>
                </c:pt>
                <c:pt idx="55">
                  <c:v>890</c:v>
                </c:pt>
                <c:pt idx="56">
                  <c:v>1392</c:v>
                </c:pt>
                <c:pt idx="57">
                  <c:v>1829</c:v>
                </c:pt>
                <c:pt idx="58">
                  <c:v>3897</c:v>
                </c:pt>
                <c:pt idx="59">
                  <c:v>7865</c:v>
                </c:pt>
                <c:pt idx="60">
                  <c:v>8229</c:v>
                </c:pt>
                <c:pt idx="61">
                  <c:v>3648</c:v>
                </c:pt>
                <c:pt idx="62">
                  <c:v>5784</c:v>
                </c:pt>
                <c:pt idx="63">
                  <c:v>4959</c:v>
                </c:pt>
                <c:pt idx="64">
                  <c:v>3361</c:v>
                </c:pt>
                <c:pt idx="65">
                  <c:v>2643</c:v>
                </c:pt>
                <c:pt idx="66">
                  <c:v>2004</c:v>
                </c:pt>
                <c:pt idx="67">
                  <c:v>1883</c:v>
                </c:pt>
                <c:pt idx="68">
                  <c:v>1959</c:v>
                </c:pt>
                <c:pt idx="69">
                  <c:v>9770</c:v>
                </c:pt>
                <c:pt idx="70">
                  <c:v>35285</c:v>
                </c:pt>
                <c:pt idx="71">
                  <c:v>53384</c:v>
                </c:pt>
                <c:pt idx="72">
                  <c:v>65077</c:v>
                </c:pt>
                <c:pt idx="73">
                  <c:v>54803</c:v>
                </c:pt>
                <c:pt idx="74">
                  <c:v>86454</c:v>
                </c:pt>
                <c:pt idx="75">
                  <c:v>117027</c:v>
                </c:pt>
                <c:pt idx="76">
                  <c:v>112595</c:v>
                </c:pt>
                <c:pt idx="77">
                  <c:v>104309</c:v>
                </c:pt>
                <c:pt idx="78">
                  <c:v>147686</c:v>
                </c:pt>
                <c:pt idx="79">
                  <c:v>143140</c:v>
                </c:pt>
                <c:pt idx="80">
                  <c:v>147480</c:v>
                </c:pt>
                <c:pt idx="81">
                  <c:v>165092</c:v>
                </c:pt>
                <c:pt idx="82">
                  <c:v>196077</c:v>
                </c:pt>
                <c:pt idx="83">
                  <c:v>183609</c:v>
                </c:pt>
                <c:pt idx="84">
                  <c:v>239235</c:v>
                </c:pt>
                <c:pt idx="85">
                  <c:v>205935</c:v>
                </c:pt>
                <c:pt idx="86">
                  <c:v>221206</c:v>
                </c:pt>
                <c:pt idx="87">
                  <c:v>222626</c:v>
                </c:pt>
                <c:pt idx="88">
                  <c:v>196288</c:v>
                </c:pt>
                <c:pt idx="89">
                  <c:v>199427</c:v>
                </c:pt>
                <c:pt idx="90">
                  <c:v>263563</c:v>
                </c:pt>
                <c:pt idx="91">
                  <c:v>236928</c:v>
                </c:pt>
                <c:pt idx="92">
                  <c:v>239336</c:v>
                </c:pt>
                <c:pt idx="93">
                  <c:v>262043</c:v>
                </c:pt>
                <c:pt idx="94">
                  <c:v>311342</c:v>
                </c:pt>
                <c:pt idx="95">
                  <c:v>274711</c:v>
                </c:pt>
                <c:pt idx="96">
                  <c:v>327427</c:v>
                </c:pt>
                <c:pt idx="97">
                  <c:v>256687</c:v>
                </c:pt>
                <c:pt idx="98">
                  <c:v>278366</c:v>
                </c:pt>
                <c:pt idx="99">
                  <c:v>224410</c:v>
                </c:pt>
                <c:pt idx="100">
                  <c:v>182803</c:v>
                </c:pt>
                <c:pt idx="101">
                  <c:v>169847</c:v>
                </c:pt>
                <c:pt idx="102">
                  <c:v>233105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1-4B93-A5B6-0766A7EEA660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'Single Exponential Smoothing P.'!$S$3:$S$122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'Single Exponential Smoothing P.'!$U$3:$U$122</c:f>
              <c:numCache>
                <c:formatCode>General</c:formatCode>
                <c:ptCount val="120"/>
                <c:pt idx="102" formatCode="0">
                  <c:v>233105</c:v>
                </c:pt>
                <c:pt idx="103" formatCode="0">
                  <c:v>195099.7373551669</c:v>
                </c:pt>
                <c:pt idx="104" formatCode="0">
                  <c:v>211033.82649603186</c:v>
                </c:pt>
                <c:pt idx="105" formatCode="0">
                  <c:v>236355.04150442436</c:v>
                </c:pt>
                <c:pt idx="106" formatCode="0">
                  <c:v>302047.58261868492</c:v>
                </c:pt>
                <c:pt idx="107" formatCode="0">
                  <c:v>359066.58915643935</c:v>
                </c:pt>
                <c:pt idx="108" formatCode="0">
                  <c:v>392253.43484049762</c:v>
                </c:pt>
                <c:pt idx="109" formatCode="0">
                  <c:v>293057.85901540675</c:v>
                </c:pt>
                <c:pt idx="110" formatCode="0">
                  <c:v>294653.19979438395</c:v>
                </c:pt>
                <c:pt idx="111" formatCode="0">
                  <c:v>229895.61587382451</c:v>
                </c:pt>
                <c:pt idx="112" formatCode="0">
                  <c:v>187596.43587407138</c:v>
                </c:pt>
                <c:pt idx="113" formatCode="0">
                  <c:v>173828.70352451658</c:v>
                </c:pt>
                <c:pt idx="114" formatCode="0">
                  <c:v>220830.64302246735</c:v>
                </c:pt>
                <c:pt idx="115" formatCode="0">
                  <c:v>195099.7373551669</c:v>
                </c:pt>
                <c:pt idx="116" formatCode="0">
                  <c:v>211033.82649603186</c:v>
                </c:pt>
                <c:pt idx="117" formatCode="0">
                  <c:v>236355.04150442436</c:v>
                </c:pt>
                <c:pt idx="118" formatCode="0">
                  <c:v>302047.58261868492</c:v>
                </c:pt>
                <c:pt idx="119" formatCode="0">
                  <c:v>359066.58915643935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1-4B93-A5B6-0766A7EEA660}"/>
            </c:ext>
          </c:extLst>
        </c:ser>
        <c:ser>
          <c:idx val="2"/>
          <c:order val="2"/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'Single Exponential Smoothing P.'!$S$3:$S$122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'Single Exponential Smoothing P.'!$V$3:$V$122</c:f>
              <c:numCache>
                <c:formatCode>General</c:formatCode>
                <c:ptCount val="120"/>
                <c:pt idx="102" formatCode="0">
                  <c:v>233105</c:v>
                </c:pt>
                <c:pt idx="103" formatCode="0.00">
                  <c:v>102521.60184800523</c:v>
                </c:pt>
                <c:pt idx="104" formatCode="0.00">
                  <c:v>97630.324525249263</c:v>
                </c:pt>
                <c:pt idx="105" formatCode="0.00">
                  <c:v>105364.27495843533</c:v>
                </c:pt>
                <c:pt idx="106" formatCode="0.00">
                  <c:v>155536.83305922744</c:v>
                </c:pt>
                <c:pt idx="107" formatCode="0.00">
                  <c:v>198502.52316710204</c:v>
                </c:pt>
                <c:pt idx="108" formatCode="0.00">
                  <c:v>218745.94753446063</c:v>
                </c:pt>
                <c:pt idx="109" formatCode="0.00">
                  <c:v>107484.43713490368</c:v>
                </c:pt>
                <c:pt idx="110" formatCode="0.00">
                  <c:v>97729.945357869496</c:v>
                </c:pt>
                <c:pt idx="111" formatCode="0.00">
                  <c:v>22221.167713180912</c:v>
                </c:pt>
                <c:pt idx="112" formatCode="0.00">
                  <c:v>-30319.209114085214</c:v>
                </c:pt>
                <c:pt idx="113" formatCode="0.00">
                  <c:v>-53886.979845082911</c:v>
                </c:pt>
                <c:pt idx="114" formatCode="0.00">
                  <c:v>-16298.64104795747</c:v>
                </c:pt>
                <c:pt idx="115" formatCode="0.00">
                  <c:v>-51101.058020672732</c:v>
                </c:pt>
                <c:pt idx="116" formatCode="0.00">
                  <c:v>-43932.924025680986</c:v>
                </c:pt>
                <c:pt idx="117" formatCode="0.00">
                  <c:v>-27102.626113647304</c:v>
                </c:pt>
                <c:pt idx="118" formatCode="0.00">
                  <c:v>30348.233174412104</c:v>
                </c:pt>
                <c:pt idx="119" formatCode="0.00">
                  <c:v>79352.746031098475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1-4B93-A5B6-0766A7EEA660}"/>
            </c:ext>
          </c:extLst>
        </c:ser>
        <c:ser>
          <c:idx val="3"/>
          <c:order val="3"/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'Single Exponential Smoothing P.'!$S$3:$S$122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'Single Exponential Smoothing P.'!$W$3:$W$122</c:f>
              <c:numCache>
                <c:formatCode>General</c:formatCode>
                <c:ptCount val="120"/>
                <c:pt idx="102" formatCode="0">
                  <c:v>233105</c:v>
                </c:pt>
                <c:pt idx="103" formatCode="0.00">
                  <c:v>287677.87286232854</c:v>
                </c:pt>
                <c:pt idx="104" formatCode="0.00">
                  <c:v>324437.32846681448</c:v>
                </c:pt>
                <c:pt idx="105" formatCode="0.00">
                  <c:v>367345.80805041338</c:v>
                </c:pt>
                <c:pt idx="106" formatCode="0.00">
                  <c:v>448558.33217814239</c:v>
                </c:pt>
                <c:pt idx="107" formatCode="0.00">
                  <c:v>519630.65514577669</c:v>
                </c:pt>
                <c:pt idx="108" formatCode="0.00">
                  <c:v>565760.92214653455</c:v>
                </c:pt>
                <c:pt idx="109" formatCode="0.00">
                  <c:v>478631.28089590982</c:v>
                </c:pt>
                <c:pt idx="110" formatCode="0.00">
                  <c:v>491576.45423089841</c:v>
                </c:pt>
                <c:pt idx="111" formatCode="0.00">
                  <c:v>437570.06403446815</c:v>
                </c:pt>
                <c:pt idx="112" formatCode="0.00">
                  <c:v>405512.08086222794</c:v>
                </c:pt>
                <c:pt idx="113" formatCode="0.00">
                  <c:v>401544.38689411606</c:v>
                </c:pt>
                <c:pt idx="114" formatCode="0.00">
                  <c:v>457959.92709289218</c:v>
                </c:pt>
                <c:pt idx="115" formatCode="0.00">
                  <c:v>441300.5327310065</c:v>
                </c:pt>
                <c:pt idx="116" formatCode="0.00">
                  <c:v>466000.57701774471</c:v>
                </c:pt>
                <c:pt idx="117" formatCode="0.00">
                  <c:v>499812.70912249602</c:v>
                </c:pt>
                <c:pt idx="118" formatCode="0.00">
                  <c:v>573746.93206295767</c:v>
                </c:pt>
                <c:pt idx="119" formatCode="0.00">
                  <c:v>638780.43228178029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1-4B93-A5B6-0766A7EE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48736"/>
        <c:axId val="562742504"/>
      </c:lineChart>
      <c:dateAx>
        <c:axId val="56274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2504"/>
        <c:crosses val="autoZero"/>
        <c:auto val="1"/>
        <c:lblOffset val="100"/>
        <c:baseTimeUnit val="months"/>
      </c:dateAx>
      <c:valAx>
        <c:axId val="562742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87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0" i="0" baseline="0">
                <a:effectLst/>
              </a:rPr>
              <a:t>Turismo Receptivo</a:t>
            </a:r>
            <a:endParaRPr lang="es-AR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741559478978169E-2"/>
          <c:y val="4.8926180654931387E-2"/>
          <c:w val="0.87213054889877895"/>
          <c:h val="0.78179798985893711"/>
        </c:manualLayout>
      </c:layout>
      <c:lineChart>
        <c:grouping val="standard"/>
        <c:varyColors val="0"/>
        <c:ser>
          <c:idx val="0"/>
          <c:order val="0"/>
          <c:tx>
            <c:strRef>
              <c:f>'Single Exponential Smoothing P.'!$AL$2</c:f>
              <c:strCache>
                <c:ptCount val="1"/>
                <c:pt idx="0">
                  <c:v>SUM de Turistas CABA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'Single Exponential Smoothing P.'!$AK$3:$AK$122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'Single Exponential Smoothing P.'!$AL$3:$AL$122</c:f>
              <c:numCache>
                <c:formatCode>#,##0</c:formatCode>
                <c:ptCount val="120"/>
                <c:pt idx="0">
                  <c:v>248684</c:v>
                </c:pt>
                <c:pt idx="1">
                  <c:v>211731</c:v>
                </c:pt>
                <c:pt idx="2">
                  <c:v>210862</c:v>
                </c:pt>
                <c:pt idx="3">
                  <c:v>182419</c:v>
                </c:pt>
                <c:pt idx="4">
                  <c:v>176403</c:v>
                </c:pt>
                <c:pt idx="5">
                  <c:v>160586</c:v>
                </c:pt>
                <c:pt idx="6">
                  <c:v>205385</c:v>
                </c:pt>
                <c:pt idx="7">
                  <c:v>188354</c:v>
                </c:pt>
                <c:pt idx="8">
                  <c:v>187990</c:v>
                </c:pt>
                <c:pt idx="9">
                  <c:v>204246</c:v>
                </c:pt>
                <c:pt idx="10">
                  <c:v>230713</c:v>
                </c:pt>
                <c:pt idx="11">
                  <c:v>242419</c:v>
                </c:pt>
                <c:pt idx="12">
                  <c:v>246675</c:v>
                </c:pt>
                <c:pt idx="13">
                  <c:v>208332</c:v>
                </c:pt>
                <c:pt idx="14">
                  <c:v>215957</c:v>
                </c:pt>
                <c:pt idx="15">
                  <c:v>200426</c:v>
                </c:pt>
                <c:pt idx="16">
                  <c:v>179443</c:v>
                </c:pt>
                <c:pt idx="17">
                  <c:v>167766</c:v>
                </c:pt>
                <c:pt idx="18">
                  <c:v>211456</c:v>
                </c:pt>
                <c:pt idx="19">
                  <c:v>193354</c:v>
                </c:pt>
                <c:pt idx="20">
                  <c:v>199160</c:v>
                </c:pt>
                <c:pt idx="21">
                  <c:v>224240</c:v>
                </c:pt>
                <c:pt idx="22">
                  <c:v>243719</c:v>
                </c:pt>
                <c:pt idx="23">
                  <c:v>255410</c:v>
                </c:pt>
                <c:pt idx="24">
                  <c:v>275610</c:v>
                </c:pt>
                <c:pt idx="25">
                  <c:v>214691</c:v>
                </c:pt>
                <c:pt idx="26">
                  <c:v>220918</c:v>
                </c:pt>
                <c:pt idx="27">
                  <c:v>202846</c:v>
                </c:pt>
                <c:pt idx="28">
                  <c:v>184649</c:v>
                </c:pt>
                <c:pt idx="29">
                  <c:v>167422</c:v>
                </c:pt>
                <c:pt idx="30">
                  <c:v>215459</c:v>
                </c:pt>
                <c:pt idx="31">
                  <c:v>203628</c:v>
                </c:pt>
                <c:pt idx="32">
                  <c:v>216132</c:v>
                </c:pt>
                <c:pt idx="33">
                  <c:v>227543</c:v>
                </c:pt>
                <c:pt idx="34">
                  <c:v>261261</c:v>
                </c:pt>
                <c:pt idx="35">
                  <c:v>293385</c:v>
                </c:pt>
                <c:pt idx="36">
                  <c:v>321304</c:v>
                </c:pt>
                <c:pt idx="37">
                  <c:v>237633</c:v>
                </c:pt>
                <c:pt idx="38">
                  <c:v>261862</c:v>
                </c:pt>
                <c:pt idx="39">
                  <c:v>239694</c:v>
                </c:pt>
                <c:pt idx="40">
                  <c:v>209733</c:v>
                </c:pt>
                <c:pt idx="41">
                  <c:v>197587</c:v>
                </c:pt>
                <c:pt idx="42">
                  <c:v>244027</c:v>
                </c:pt>
                <c:pt idx="43">
                  <c:v>216649</c:v>
                </c:pt>
                <c:pt idx="44">
                  <c:v>225687</c:v>
                </c:pt>
                <c:pt idx="45">
                  <c:v>225655</c:v>
                </c:pt>
                <c:pt idx="46">
                  <c:v>247326</c:v>
                </c:pt>
                <c:pt idx="47">
                  <c:v>306382</c:v>
                </c:pt>
                <c:pt idx="48">
                  <c:v>308471</c:v>
                </c:pt>
                <c:pt idx="49">
                  <c:v>255005</c:v>
                </c:pt>
                <c:pt idx="50">
                  <c:v>118614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495</c:v>
                </c:pt>
                <c:pt idx="55">
                  <c:v>890</c:v>
                </c:pt>
                <c:pt idx="56">
                  <c:v>1392</c:v>
                </c:pt>
                <c:pt idx="57">
                  <c:v>1829</c:v>
                </c:pt>
                <c:pt idx="58">
                  <c:v>3897</c:v>
                </c:pt>
                <c:pt idx="59">
                  <c:v>7865</c:v>
                </c:pt>
                <c:pt idx="60">
                  <c:v>8229</c:v>
                </c:pt>
                <c:pt idx="61">
                  <c:v>3648</c:v>
                </c:pt>
                <c:pt idx="62">
                  <c:v>5784</c:v>
                </c:pt>
                <c:pt idx="63">
                  <c:v>4959</c:v>
                </c:pt>
                <c:pt idx="64">
                  <c:v>3361</c:v>
                </c:pt>
                <c:pt idx="65">
                  <c:v>2643</c:v>
                </c:pt>
                <c:pt idx="66">
                  <c:v>2004</c:v>
                </c:pt>
                <c:pt idx="67">
                  <c:v>1883</c:v>
                </c:pt>
                <c:pt idx="68">
                  <c:v>1959</c:v>
                </c:pt>
                <c:pt idx="69">
                  <c:v>9770</c:v>
                </c:pt>
                <c:pt idx="70">
                  <c:v>35285</c:v>
                </c:pt>
                <c:pt idx="71">
                  <c:v>53384</c:v>
                </c:pt>
                <c:pt idx="72">
                  <c:v>65077</c:v>
                </c:pt>
                <c:pt idx="73">
                  <c:v>54803</c:v>
                </c:pt>
                <c:pt idx="74">
                  <c:v>86454</c:v>
                </c:pt>
                <c:pt idx="75">
                  <c:v>117027</c:v>
                </c:pt>
                <c:pt idx="76">
                  <c:v>112595</c:v>
                </c:pt>
                <c:pt idx="77">
                  <c:v>104309</c:v>
                </c:pt>
                <c:pt idx="78">
                  <c:v>147686</c:v>
                </c:pt>
                <c:pt idx="79">
                  <c:v>143140</c:v>
                </c:pt>
                <c:pt idx="80">
                  <c:v>147480</c:v>
                </c:pt>
                <c:pt idx="81">
                  <c:v>165092</c:v>
                </c:pt>
                <c:pt idx="82">
                  <c:v>196077</c:v>
                </c:pt>
                <c:pt idx="83">
                  <c:v>183609</c:v>
                </c:pt>
                <c:pt idx="84">
                  <c:v>239235</c:v>
                </c:pt>
                <c:pt idx="85">
                  <c:v>205935</c:v>
                </c:pt>
                <c:pt idx="86">
                  <c:v>221206</c:v>
                </c:pt>
                <c:pt idx="87">
                  <c:v>222626</c:v>
                </c:pt>
                <c:pt idx="88">
                  <c:v>196288</c:v>
                </c:pt>
                <c:pt idx="89">
                  <c:v>199427</c:v>
                </c:pt>
                <c:pt idx="90">
                  <c:v>263563</c:v>
                </c:pt>
                <c:pt idx="91">
                  <c:v>236928</c:v>
                </c:pt>
                <c:pt idx="92">
                  <c:v>239336</c:v>
                </c:pt>
                <c:pt idx="93">
                  <c:v>262043</c:v>
                </c:pt>
                <c:pt idx="94">
                  <c:v>311342</c:v>
                </c:pt>
                <c:pt idx="95">
                  <c:v>274711</c:v>
                </c:pt>
                <c:pt idx="96">
                  <c:v>327427</c:v>
                </c:pt>
                <c:pt idx="97">
                  <c:v>256687</c:v>
                </c:pt>
                <c:pt idx="98">
                  <c:v>278366</c:v>
                </c:pt>
                <c:pt idx="99">
                  <c:v>224410</c:v>
                </c:pt>
                <c:pt idx="100">
                  <c:v>182803</c:v>
                </c:pt>
                <c:pt idx="101">
                  <c:v>169847</c:v>
                </c:pt>
                <c:pt idx="102">
                  <c:v>233105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3-4EA3-B85F-33CF995297E8}"/>
            </c:ext>
          </c:extLst>
        </c:ser>
        <c:ser>
          <c:idx val="1"/>
          <c:order val="1"/>
          <c:tx>
            <c:strRef>
              <c:f>'Single Exponential Smoothing P.'!$AM$2</c:f>
              <c:strCache>
                <c:ptCount val="1"/>
                <c:pt idx="0">
                  <c:v>Previsión(SUM de Turistas CABA)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'Single Exponential Smoothing P.'!$AK$3:$AK$122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'Single Exponential Smoothing P.'!$AM$3:$AM$122</c:f>
              <c:numCache>
                <c:formatCode>General</c:formatCode>
                <c:ptCount val="120"/>
                <c:pt idx="102" formatCode="0">
                  <c:v>233105</c:v>
                </c:pt>
                <c:pt idx="103" formatCode="0">
                  <c:v>201225.06543024571</c:v>
                </c:pt>
                <c:pt idx="104" formatCode="0">
                  <c:v>217659.41933255253</c:v>
                </c:pt>
                <c:pt idx="105" formatCode="0">
                  <c:v>243775.61618607002</c:v>
                </c:pt>
                <c:pt idx="106" formatCode="0">
                  <c:v>311530.63248284667</c:v>
                </c:pt>
                <c:pt idx="107" formatCode="0">
                  <c:v>370339.80094646272</c:v>
                </c:pt>
                <c:pt idx="108" formatCode="0">
                  <c:v>404568.57687782735</c:v>
                </c:pt>
                <c:pt idx="109" formatCode="0">
                  <c:v>302258.66858995648</c:v>
                </c:pt>
                <c:pt idx="110" formatCode="0">
                  <c:v>303904.0964976775</c:v>
                </c:pt>
                <c:pt idx="111" formatCode="0">
                  <c:v>237113.39119909806</c:v>
                </c:pt>
                <c:pt idx="112" formatCode="0">
                  <c:v>193486.19119112918</c:v>
                </c:pt>
                <c:pt idx="113" formatCode="0">
                  <c:v>179286.208759467</c:v>
                </c:pt>
                <c:pt idx="114" formatCode="0">
                  <c:v>227763.81554171472</c:v>
                </c:pt>
                <c:pt idx="115" formatCode="0">
                  <c:v>201225.06543024571</c:v>
                </c:pt>
                <c:pt idx="116" formatCode="0">
                  <c:v>217659.41933255253</c:v>
                </c:pt>
                <c:pt idx="117" formatCode="0">
                  <c:v>243775.61618607002</c:v>
                </c:pt>
                <c:pt idx="118" formatCode="0">
                  <c:v>311530.63248284667</c:v>
                </c:pt>
                <c:pt idx="119" formatCode="0">
                  <c:v>370339.80094646272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3-4EA3-B85F-33CF995297E8}"/>
            </c:ext>
          </c:extLst>
        </c:ser>
        <c:ser>
          <c:idx val="2"/>
          <c:order val="2"/>
          <c:tx>
            <c:strRef>
              <c:f>'Single Exponential Smoothing P.'!$AN$2</c:f>
              <c:strCache>
                <c:ptCount val="1"/>
                <c:pt idx="0">
                  <c:v>Límite de confianza inferior(SUM de Turistas CABA)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'Single Exponential Smoothing P.'!$AK$3:$AK$122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'Single Exponential Smoothing P.'!$AN$3:$AN$122</c:f>
              <c:numCache>
                <c:formatCode>General</c:formatCode>
                <c:ptCount val="120"/>
                <c:pt idx="102" formatCode="0">
                  <c:v>233105</c:v>
                </c:pt>
                <c:pt idx="103" formatCode="0.00">
                  <c:v>108646.92992308404</c:v>
                </c:pt>
                <c:pt idx="104" formatCode="0.00">
                  <c:v>104255.91736176993</c:v>
                </c:pt>
                <c:pt idx="105" formatCode="0.00">
                  <c:v>112784.849640081</c:v>
                </c:pt>
                <c:pt idx="106" formatCode="0.00">
                  <c:v>165019.8829233892</c:v>
                </c:pt>
                <c:pt idx="107" formatCode="0.00">
                  <c:v>209775.73495712542</c:v>
                </c:pt>
                <c:pt idx="108" formatCode="0.00">
                  <c:v>231061.08957179036</c:v>
                </c:pt>
                <c:pt idx="109" formatCode="0.00">
                  <c:v>116685.24670945341</c:v>
                </c:pt>
                <c:pt idx="110" formatCode="0.00">
                  <c:v>106980.84206116304</c:v>
                </c:pt>
                <c:pt idx="111" formatCode="0.00">
                  <c:v>29438.943038454454</c:v>
                </c:pt>
                <c:pt idx="112" formatCode="0.00">
                  <c:v>-24429.45379702741</c:v>
                </c:pt>
                <c:pt idx="113" formatCode="0.00">
                  <c:v>-48429.474610132485</c:v>
                </c:pt>
                <c:pt idx="114" formatCode="0.00">
                  <c:v>-9365.468528710102</c:v>
                </c:pt>
                <c:pt idx="115" formatCode="0.00">
                  <c:v>-44975.729945593921</c:v>
                </c:pt>
                <c:pt idx="116" formatCode="0.00">
                  <c:v>-37307.331189160323</c:v>
                </c:pt>
                <c:pt idx="117" formatCode="0.00">
                  <c:v>-19682.051432001637</c:v>
                </c:pt>
                <c:pt idx="118" formatCode="0.00">
                  <c:v>39831.283038573863</c:v>
                </c:pt>
                <c:pt idx="119" formatCode="0.00">
                  <c:v>90625.957821121847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3-4EA3-B85F-33CF995297E8}"/>
            </c:ext>
          </c:extLst>
        </c:ser>
        <c:ser>
          <c:idx val="3"/>
          <c:order val="3"/>
          <c:tx>
            <c:strRef>
              <c:f>'Single Exponential Smoothing P.'!$AO$2</c:f>
              <c:strCache>
                <c:ptCount val="1"/>
                <c:pt idx="0">
                  <c:v>Límite de confianza superior(SUM de Turistas CABA)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'Single Exponential Smoothing P.'!$AK$3:$AK$122</c:f>
              <c:numCache>
                <c:formatCode>mmm\-yy</c:formatCode>
                <c:ptCount val="1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  <c:pt idx="106">
                  <c:v>45597</c:v>
                </c:pt>
                <c:pt idx="107">
                  <c:v>45627</c:v>
                </c:pt>
                <c:pt idx="108">
                  <c:v>45658</c:v>
                </c:pt>
                <c:pt idx="109">
                  <c:v>45689</c:v>
                </c:pt>
                <c:pt idx="110">
                  <c:v>45717</c:v>
                </c:pt>
                <c:pt idx="111">
                  <c:v>45748</c:v>
                </c:pt>
                <c:pt idx="112">
                  <c:v>45778</c:v>
                </c:pt>
                <c:pt idx="113">
                  <c:v>45809</c:v>
                </c:pt>
                <c:pt idx="114">
                  <c:v>45839</c:v>
                </c:pt>
                <c:pt idx="115">
                  <c:v>45870</c:v>
                </c:pt>
                <c:pt idx="116">
                  <c:v>45901</c:v>
                </c:pt>
                <c:pt idx="117">
                  <c:v>45931</c:v>
                </c:pt>
                <c:pt idx="118">
                  <c:v>45962</c:v>
                </c:pt>
                <c:pt idx="119">
                  <c:v>45992</c:v>
                </c:pt>
              </c:numCache>
            </c:numRef>
          </c:cat>
          <c:val>
            <c:numRef>
              <c:f>'Single Exponential Smoothing P.'!$AO$3:$AO$122</c:f>
              <c:numCache>
                <c:formatCode>General</c:formatCode>
                <c:ptCount val="120"/>
                <c:pt idx="102" formatCode="0">
                  <c:v>233105</c:v>
                </c:pt>
                <c:pt idx="103" formatCode="0.00">
                  <c:v>293803.20093740738</c:v>
                </c:pt>
                <c:pt idx="104" formatCode="0.00">
                  <c:v>331062.92130333511</c:v>
                </c:pt>
                <c:pt idx="105" formatCode="0.00">
                  <c:v>374766.38273205905</c:v>
                </c:pt>
                <c:pt idx="106" formatCode="0.00">
                  <c:v>458041.38204230415</c:v>
                </c:pt>
                <c:pt idx="107" formatCode="0.00">
                  <c:v>530903.86693580006</c:v>
                </c:pt>
                <c:pt idx="108" formatCode="0.00">
                  <c:v>578076.06418386428</c:v>
                </c:pt>
                <c:pt idx="109" formatCode="0.00">
                  <c:v>487832.09047045955</c:v>
                </c:pt>
                <c:pt idx="110" formatCode="0.00">
                  <c:v>500827.35093419196</c:v>
                </c:pt>
                <c:pt idx="111" formatCode="0.00">
                  <c:v>444787.83935974166</c:v>
                </c:pt>
                <c:pt idx="112" formatCode="0.00">
                  <c:v>411401.83617928578</c:v>
                </c:pt>
                <c:pt idx="113" formatCode="0.00">
                  <c:v>407001.89212906652</c:v>
                </c:pt>
                <c:pt idx="114" formatCode="0.00">
                  <c:v>464893.09961213951</c:v>
                </c:pt>
                <c:pt idx="115" formatCode="0.00">
                  <c:v>447425.86080608534</c:v>
                </c:pt>
                <c:pt idx="116" formatCode="0.00">
                  <c:v>472626.1698542654</c:v>
                </c:pt>
                <c:pt idx="117" formatCode="0.00">
                  <c:v>507233.28380414168</c:v>
                </c:pt>
                <c:pt idx="118" formatCode="0.00">
                  <c:v>583229.98192711943</c:v>
                </c:pt>
                <c:pt idx="119" formatCode="0.00">
                  <c:v>650053.64407180366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3-4EA3-B85F-33CF99529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48736"/>
        <c:axId val="562742504"/>
      </c:lineChart>
      <c:dateAx>
        <c:axId val="56274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2504"/>
        <c:crosses val="autoZero"/>
        <c:auto val="1"/>
        <c:lblOffset val="100"/>
        <c:baseTimeUnit val="months"/>
      </c:dateAx>
      <c:valAx>
        <c:axId val="562742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7487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144780</xdr:rowOff>
    </xdr:from>
    <xdr:to>
      <xdr:col>20</xdr:col>
      <xdr:colOff>419100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CFED52-BC04-4221-8DAC-DBC71C885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</xdr:colOff>
      <xdr:row>17</xdr:row>
      <xdr:rowOff>137160</xdr:rowOff>
    </xdr:from>
    <xdr:to>
      <xdr:col>20</xdr:col>
      <xdr:colOff>396240</xdr:colOff>
      <xdr:row>34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6C8F1D-3B0C-46CA-8E72-1EBA43987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20</xdr:col>
      <xdr:colOff>304800</xdr:colOff>
      <xdr:row>53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39024A-713F-4694-8D66-70E671420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55</xdr:row>
      <xdr:rowOff>0</xdr:rowOff>
    </xdr:from>
    <xdr:to>
      <xdr:col>20</xdr:col>
      <xdr:colOff>304800</xdr:colOff>
      <xdr:row>71</xdr:row>
      <xdr:rowOff>45720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E867E5-D670-4B06-8070-12FA096E6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1038497</xdr:colOff>
      <xdr:row>1</xdr:row>
      <xdr:rowOff>119744</xdr:rowOff>
    </xdr:from>
    <xdr:to>
      <xdr:col>12</xdr:col>
      <xdr:colOff>280851</xdr:colOff>
      <xdr:row>19</xdr:row>
      <xdr:rowOff>40279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A98360-1399-4D76-9805-CFDC46D60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348343</xdr:colOff>
      <xdr:row>21</xdr:row>
      <xdr:rowOff>21771</xdr:rowOff>
    </xdr:from>
    <xdr:to>
      <xdr:col>10</xdr:col>
      <xdr:colOff>458008</xdr:colOff>
      <xdr:row>54</xdr:row>
      <xdr:rowOff>38281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A3F270-6F28-4C6C-B79F-EC8A5F7FD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2314" y="3516085"/>
          <a:ext cx="5792008" cy="54049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330925</xdr:colOff>
      <xdr:row>2</xdr:row>
      <xdr:rowOff>0</xdr:rowOff>
    </xdr:from>
    <xdr:to>
      <xdr:col>15</xdr:col>
      <xdr:colOff>378822</xdr:colOff>
      <xdr:row>19</xdr:row>
      <xdr:rowOff>83821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DC5FEC-FD97-4099-BD46-FE3B34F24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315686</xdr:colOff>
      <xdr:row>21</xdr:row>
      <xdr:rowOff>21771</xdr:rowOff>
    </xdr:from>
    <xdr:to>
      <xdr:col>15</xdr:col>
      <xdr:colOff>11694</xdr:colOff>
      <xdr:row>54</xdr:row>
      <xdr:rowOff>38282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E004F07-4584-41D3-A111-588A9222A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3124200"/>
          <a:ext cx="5792008" cy="5404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140623</xdr:colOff>
      <xdr:row>5</xdr:row>
      <xdr:rowOff>142010</xdr:rowOff>
    </xdr:from>
    <xdr:to>
      <xdr:col>16</xdr:col>
      <xdr:colOff>178723</xdr:colOff>
      <xdr:row>23</xdr:row>
      <xdr:rowOff>58190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FA8DE0-7BDF-4B8F-80D8-22BE29730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140623</xdr:colOff>
      <xdr:row>5</xdr:row>
      <xdr:rowOff>142010</xdr:rowOff>
    </xdr:from>
    <xdr:to>
      <xdr:col>34</xdr:col>
      <xdr:colOff>178723</xdr:colOff>
      <xdr:row>23</xdr:row>
      <xdr:rowOff>58190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E9C5DB2-D578-4740-B165-7B324C613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140623</xdr:colOff>
      <xdr:row>5</xdr:row>
      <xdr:rowOff>142010</xdr:rowOff>
    </xdr:from>
    <xdr:to>
      <xdr:col>52</xdr:col>
      <xdr:colOff>178723</xdr:colOff>
      <xdr:row>23</xdr:row>
      <xdr:rowOff>58190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653F3AC-43E1-4E45-BF6A-F6DA5B992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140623</xdr:colOff>
      <xdr:row>5</xdr:row>
      <xdr:rowOff>142010</xdr:rowOff>
    </xdr:from>
    <xdr:to>
      <xdr:col>70</xdr:col>
      <xdr:colOff>178723</xdr:colOff>
      <xdr:row>23</xdr:row>
      <xdr:rowOff>58190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8D48E04-AC48-4A26-B75E-D7F60C7C2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0</xdr:colOff>
      <xdr:row>2</xdr:row>
      <xdr:rowOff>0</xdr:rowOff>
    </xdr:from>
    <xdr:to>
      <xdr:col>63</xdr:col>
      <xdr:colOff>267094</xdr:colOff>
      <xdr:row>4</xdr:row>
      <xdr:rowOff>32445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55BCCE-56B5-4389-A786-EFA536E88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29460" y="396240"/>
          <a:ext cx="2819794" cy="428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69546</xdr:colOff>
      <xdr:row>0</xdr:row>
      <xdr:rowOff>102310</xdr:rowOff>
    </xdr:from>
    <xdr:to>
      <xdr:col>14</xdr:col>
      <xdr:colOff>564846</xdr:colOff>
      <xdr:row>18</xdr:row>
      <xdr:rowOff>18490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932E87-574A-4BB6-99E7-D826A1201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423652</xdr:colOff>
      <xdr:row>5</xdr:row>
      <xdr:rowOff>142011</xdr:rowOff>
    </xdr:from>
    <xdr:to>
      <xdr:col>47</xdr:col>
      <xdr:colOff>461752</xdr:colOff>
      <xdr:row>23</xdr:row>
      <xdr:rowOff>58191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C13BB2-1121-4C1F-9658-BABD1D757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188259</xdr:colOff>
      <xdr:row>0</xdr:row>
      <xdr:rowOff>152399</xdr:rowOff>
    </xdr:from>
    <xdr:to>
      <xdr:col>31</xdr:col>
      <xdr:colOff>224118</xdr:colOff>
      <xdr:row>20</xdr:row>
      <xdr:rowOff>62752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8C78A7-4E41-4C6A-812C-134AD4194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9526</xdr:colOff>
      <xdr:row>19</xdr:row>
      <xdr:rowOff>81643</xdr:rowOff>
    </xdr:from>
    <xdr:to>
      <xdr:col>38</xdr:col>
      <xdr:colOff>333376</xdr:colOff>
      <xdr:row>44</xdr:row>
      <xdr:rowOff>59055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293914</xdr:colOff>
      <xdr:row>56</xdr:row>
      <xdr:rowOff>87086</xdr:rowOff>
    </xdr:from>
    <xdr:to>
      <xdr:col>39</xdr:col>
      <xdr:colOff>106136</xdr:colOff>
      <xdr:row>81</xdr:row>
      <xdr:rowOff>64498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DF22B105-932E-4391-B0CA-6EF22888D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228600</xdr:colOff>
      <xdr:row>18</xdr:row>
      <xdr:rowOff>163285</xdr:rowOff>
    </xdr:from>
    <xdr:to>
      <xdr:col>49</xdr:col>
      <xdr:colOff>323850</xdr:colOff>
      <xdr:row>43</xdr:row>
      <xdr:rowOff>108040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66D10DB5-8587-4BBD-893B-F3C4ED66D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FA34FE-B6F2-4542-9922-C1D1255C1B53}" name="Tabla39" displayName="Tabla39" ref="A3:E123" totalsRowShown="0">
  <autoFilter ref="A3:E123" xr:uid="{E993EED5-C4A5-4D9D-903B-74DB4515A776}"/>
  <tableColumns count="5">
    <tableColumn id="1" xr3:uid="{A8333379-AE3C-4B61-B7E2-BB7D5FA41808}" name="mes" dataDxfId="58"/>
    <tableColumn id="2" xr3:uid="{61758784-CF21-47BE-BB87-571AE6ADAC59}" name="SUM de Turistas CABA"/>
    <tableColumn id="3" xr3:uid="{28711B43-6E3F-4BA2-AACF-D3BC5C5E73E6}" name="Previsión(SUM de Turistas CABA)">
      <calculatedColumnFormula>_xlfn.FORECAST.ETS(A4,$B$4:$B$105,$A$4:$A$105,1,1)</calculatedColumnFormula>
    </tableColumn>
    <tableColumn id="4" xr3:uid="{B93BCC4B-38CC-4346-BF57-EE0D18FFE462}" name="Límite de confianza inferior(SUM de Turistas CABA)" dataDxfId="57">
      <calculatedColumnFormula>C4-_xlfn.FORECAST.ETS.CONFINT(A4,$B$4:$B$105,$A$4:$A$105,0.95,1,1)</calculatedColumnFormula>
    </tableColumn>
    <tableColumn id="5" xr3:uid="{894FBB45-0AFF-42F4-A392-98CD43FDA69A}" name="Límite de confianza superior(SUM de Turistas CABA)" dataDxfId="56">
      <calculatedColumnFormula>C4+_xlfn.FORECAST.ETS.CONFINT(A4,$B$4:$B$105,$A$4:$A$105,0.95,1,1)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52FA09-E143-4125-811C-C577AA6B79D6}" name="Tabla13196" displayName="Tabla13196" ref="A2:H122" totalsRowShown="0">
  <autoFilter ref="A2:H122" xr:uid="{642B7794-486C-4BB9-8C7E-54E4E6657E70}"/>
  <tableColumns count="8">
    <tableColumn id="1" xr3:uid="{96508165-18F2-451F-B9A0-2B3D3EEDE872}" name="mes" dataDxfId="16"/>
    <tableColumn id="2" xr3:uid="{FC00DCE4-3F06-487B-830D-83CDC2A896B6}" name="SUM de Turistas CABA"/>
    <tableColumn id="3" xr3:uid="{00F8D72B-E9E9-47F3-8768-E5094C0B7574}" name="Previsión(SUM de Turistas CABA)">
      <calculatedColumnFormula>_xlfn.FORECAST.ETS(A3,$B$3:$B$101,$A$3:$A$101,1,1)</calculatedColumnFormula>
    </tableColumn>
    <tableColumn id="4" xr3:uid="{D1D701E0-DB26-474C-97B9-2854914E749D}" name="Límite de confianza inferior(SUM de Turistas CABA)" dataDxfId="15">
      <calculatedColumnFormula>C3-_xlfn.FORECAST.ETS.CONFINT(A3,$B$3:$B$101,$A$3:$A$101,0.95,1,1)</calculatedColumnFormula>
    </tableColumn>
    <tableColumn id="5" xr3:uid="{24519D97-6677-4985-8A72-8C75196DD03A}" name="Límite de confianza superior(SUM de Turistas CABA)" dataDxfId="14">
      <calculatedColumnFormula>C3+_xlfn.FORECAST.ETS.CONFINT(A3,$B$3:$B$101,$A$3:$A$101,0.95,1,1)</calculatedColumnFormula>
    </tableColumn>
    <tableColumn id="6" xr3:uid="{01FB3EDA-AA8E-4635-8A20-F2DA187766D3}" name="Columna1"/>
    <tableColumn id="7" xr3:uid="{2BDEC6E2-1AA8-4DDE-8EFA-269E76E9D9CA}" name="Columna2"/>
    <tableColumn id="8" xr3:uid="{6EA7B0B2-45FD-4A19-A34D-0736192D60EC}" name="Columna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52E2A7-A2B6-4D11-B4D7-CB3D1ABEA8CA}" name="Tabla131968" displayName="Tabla131968" ref="AG2:AK122" totalsRowShown="0">
  <autoFilter ref="AG2:AK122" xr:uid="{7EE7DEA9-A3B8-4070-A733-F1653C743BFB}"/>
  <tableColumns count="5">
    <tableColumn id="1" xr3:uid="{9D0D5C26-9EA7-4B3C-B3D9-FFAF3F367663}" name="mes" dataDxfId="13"/>
    <tableColumn id="2" xr3:uid="{E2B8B7B4-9A34-4D5D-912B-E2A5F0A25CCC}" name="SUM de Turistas CABA"/>
    <tableColumn id="3" xr3:uid="{542A9202-CF90-42AB-A280-E6476F3632FB}" name="Previsión(SUM de Turistas CABA)">
      <calculatedColumnFormula>_xlfn.FORECAST.ETS(AG3,$B$3:$B$101,$A$3:$A$101,1,1)</calculatedColumnFormula>
    </tableColumn>
    <tableColumn id="4" xr3:uid="{C3A55F05-EB21-49A8-B5A6-FDA395991C5E}" name="Límite de confianza inferior(SUM de Turistas CABA)" dataDxfId="12">
      <calculatedColumnFormula>AI3-_xlfn.FORECAST.ETS.CONFINT(AG3,$B$3:$B$101,$A$3:$A$101,0.95,1,1)</calculatedColumnFormula>
    </tableColumn>
    <tableColumn id="5" xr3:uid="{36E13023-94BC-4B88-A1C4-6065CAD2F247}" name="Límite de confianza superior(SUM de Turistas CABA)" dataDxfId="11">
      <calculatedColumnFormula>AI3+_xlfn.FORECAST.ETS.CONFINT(AG3,$B$3:$B$101,$A$3:$A$101,0.95,1,1)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CD8754-E836-4E27-BB62-FD6D3B508BB9}" name="Tabla15" displayName="Tabla15" ref="Q2:V123" totalsRowShown="0" headerRowDxfId="2">
  <autoFilter ref="Q2:V123" xr:uid="{BF80B647-7621-4983-96C6-DFB32B4592A7}"/>
  <tableColumns count="6">
    <tableColumn id="1" xr3:uid="{C3DD5144-D2D9-4610-AE02-FDEFBDBE3640}" name="mes"/>
    <tableColumn id="2" xr3:uid="{4FCAB8F8-0D51-4C4C-9DD2-7462AA520A64}" name="Fecha" dataDxfId="4"/>
    <tableColumn id="3" xr3:uid="{F145A726-E449-415B-9B9F-50332D7418E2}" name="Cantidad de turistas (datos reales hasta febrero 2020)"/>
    <tableColumn id="4" xr3:uid="{1A0CA677-AF85-4913-891A-8CFFE6984B3D}" name="Previsión tomando datos reales hasta febrero 2020 y ficticios hasta julio 2024" dataDxfId="3">
      <calculatedColumnFormula>Q3*1250.8482 + 191629.15</calculatedColumnFormula>
    </tableColumn>
    <tableColumn id="5" xr3:uid="{11B871EB-3AF8-4E67-BF78-7426B1E2D264}" name="Límite de confianza inferior(SUM de Turistas CABA)"/>
    <tableColumn id="6" xr3:uid="{C1E75605-403D-45D3-9327-7C2A258130C2}" name="Límite de confianza superior(SUM de Turistas CABA)" dataDxfId="1">
      <calculatedColumnFormula>T3+_xlfn.FORECAST.ETS.CONFINT(R3,$S$3:$S$105,$R$3:$R$105,0.95,1,1)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4DFFEDE-226D-4750-B5D3-680A6180A2FF}" name="Tabla16" displayName="Tabla16" ref="AZ1:BG84" totalsRowShown="0">
  <autoFilter ref="AZ1:BG84" xr:uid="{A169BD19-8309-42DB-9AD3-6E8534BE9C45}"/>
  <tableColumns count="8">
    <tableColumn id="1" xr3:uid="{37887F13-7BE2-4D25-BDCA-BB81507A15AC}" name="mes" dataDxfId="0"/>
    <tableColumn id="2" xr3:uid="{431276DE-0EFA-473C-A2C3-2691553281A3}" name="SUM de Turistas CABA"/>
    <tableColumn id="3" xr3:uid="{37B665A2-B607-484F-9BA8-54F4B9053A1E}" name="Previsión(SUM de Turistas CABA)"/>
    <tableColumn id="4" xr3:uid="{87CC2E5D-0EEF-4266-BC85-5FEEBA46E72C}" name="Límite de confianza inferior(SUM de Turistas CABA)"/>
    <tableColumn id="5" xr3:uid="{1DE43FB8-DEAD-4BC9-AD35-30C96334933A}" name="Límite de confianza superior(SUM de Turistas CABA)"/>
    <tableColumn id="6" xr3:uid="{F137FAB5-02EE-425F-9A7F-A3AADB06A6A4}" name="Columna1"/>
    <tableColumn id="7" xr3:uid="{7D959E40-F4DC-4AA7-9B0D-18B2FA465DA3}" name="Columna2"/>
    <tableColumn id="8" xr3:uid="{D892EC6E-5513-4720-80A9-388DA95BA8D6}" name="Columna3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12636B-0C44-478C-98A7-BB1203D5F361}" name="Tabla4" displayName="Tabla4" ref="E21:I141" totalsRowShown="0" dataDxfId="10">
  <autoFilter ref="E21:I141" xr:uid="{8BAA0181-C7B0-45A8-A3CA-C8CE378BD397}"/>
  <tableColumns count="5">
    <tableColumn id="1" xr3:uid="{2CE378DD-0036-40B5-87C9-E3E65205A732}" name="Raw data" dataDxfId="9"/>
    <tableColumn id="2" xr3:uid="{B19966B0-B81F-48A8-AC01-8C1486C24E6D}" name="&quot;Actual&quot; Seasonal Values" dataDxfId="8">
      <calculatedColumnFormula>C22*D22</calculatedColumnFormula>
    </tableColumn>
    <tableColumn id="3" xr3:uid="{A48DCABB-992D-4842-9C53-15603446F025}" name="Previsión(SUM de Turistas CABA)"/>
    <tableColumn id="4" xr3:uid="{6F5DADBB-FF3A-4CCF-8BC9-FB59CAFA165B}" name="Límite de confianza inferior(SUM de Turistas CABA)" dataDxfId="7">
      <calculatedColumnFormula>G22-_xlfn.FORECAST.ETS.CONFINT(A22,$E$22:$E$123,$A$22:$A$123,0.95,1,1)</calculatedColumnFormula>
    </tableColumn>
    <tableColumn id="5" xr3:uid="{F7AC0540-8C72-47E1-8546-9E7AC07C4A04}" name="Límite de confianza superior(SUM de Turistas CABA)" dataDxfId="6">
      <calculatedColumnFormula>G22+_xlfn.FORECAST.ETS.CONFINT(A22,$E$22:$E$123,$A$22:$A$123,0.95,1,1)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FE2DFF7-A36E-4CC1-B392-34D35D7A4B07}" name="Tabla14" displayName="Tabla14" ref="A1:B121" totalsRowShown="0">
  <autoFilter ref="A1:B121" xr:uid="{ADF49107-B8CD-4A7F-BADC-0063F18D8FC5}"/>
  <tableColumns count="2">
    <tableColumn id="1" xr3:uid="{0102C207-63EF-444F-BBFF-A3823A74A962}" name="Mes" dataDxfId="5"/>
    <tableColumn id="3" xr3:uid="{B0F4449A-588F-4C32-B77A-3A222411567A}" name="Receptive touris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67F581-797E-495C-82CC-EE04D6654530}" name="Tabla610" displayName="Tabla610" ref="N3:AC123" totalsRowShown="0" headerRowDxfId="55">
  <autoFilter ref="N3:AC123" xr:uid="{CF2DA329-8583-4532-B54B-BD60F20B2D3C}"/>
  <tableColumns count="16">
    <tableColumn id="1" xr3:uid="{0A5C403A-1BB2-4B2E-889B-BF5E76A47776}" name="Mes" dataDxfId="54"/>
    <tableColumn id="2" xr3:uid="{6A58F5AB-A9D3-468A-8B97-E0F6F3884359}" name="t" dataDxfId="53">
      <calculatedColumnFormula>O3+1</calculatedColumnFormula>
    </tableColumn>
    <tableColumn id="3" xr3:uid="{4A715E32-FF7C-4837-AF3B-48AAFD0A31FD}" name="Receptive tourism"/>
    <tableColumn id="4" xr3:uid="{32A248B8-A97F-484F-B91A-EAB01FC102E3}" name="u" dataDxfId="52"/>
    <tableColumn id="5" xr3:uid="{1D8CD3D6-7075-48EB-B373-6139FCDE08A4}" name="v" dataDxfId="51"/>
    <tableColumn id="6" xr3:uid="{E73C5340-B8E0-42EC-ADCE-86E036FEC13A}" name="s" dataDxfId="50"/>
    <tableColumn id="7" xr3:uid="{645D56BE-C856-40DC-BB4C-91FEA3AB889C}" name="pred"/>
    <tableColumn id="8" xr3:uid="{4A72907A-8A6D-419B-8D43-21B1FFBF83DA}" name="|e|"/>
    <tableColumn id="9" xr3:uid="{44F34516-CE68-44CE-8273-1874DAC42195}" name="e^2"/>
    <tableColumn id="10" xr3:uid="{ACECD9F2-B0BC-48C3-B008-D7FB3B02FF96}" name="MAE puntual" dataDxfId="49"/>
    <tableColumn id="11" xr3:uid="{DD4FC9FD-29B3-42E1-BD8A-4DBCED89814F}" name="MAPE"/>
    <tableColumn id="12" xr3:uid="{85B5B296-35E4-4F6B-AB80-F467592B73F5}" name="Columna1"/>
    <tableColumn id="13" xr3:uid="{C3570637-E132-47BB-AE4C-1B006F102DB5}" name="t2" dataDxfId="48"/>
    <tableColumn id="14" xr3:uid="{0E454508-86AB-4531-BF6B-EA50916168FA}" name="y"/>
    <tableColumn id="16" xr3:uid="{D46652DF-0A06-4062-BD33-5C32E7D61715}" name="Columna2" dataDxfId="47">
      <calculatedColumnFormula>IF($T4=0,0,(ABS(($R4-Tabla610[[#This Row],[pred]])/$T4))*100/COUNT($R$15:$R$105))</calculatedColumnFormula>
    </tableColumn>
    <tableColumn id="15" xr3:uid="{05354F91-3111-4253-9858-B5BD6FD48D6E}" name="pred3" dataDxfId="4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96E8D1-280A-4CF3-87DE-D6075D6858E8}" name="Tabla10" displayName="Tabla10" ref="AE3:AG123" totalsRowShown="0" headerRowDxfId="45" headerRowBorderDxfId="44" tableBorderDxfId="43">
  <autoFilter ref="AE3:AG123" xr:uid="{892B8875-73DD-492E-BD2D-844E141D01AE}"/>
  <tableColumns count="3">
    <tableColumn id="1" xr3:uid="{94746C19-AE0C-42BC-9335-F78E6FE89789}" name="t" dataDxfId="42">
      <calculatedColumnFormula>AE3+1</calculatedColumnFormula>
    </tableColumn>
    <tableColumn id="2" xr3:uid="{CF6D3918-DA44-40AA-BDB7-C1B7DF204C24}" name="y"/>
    <tableColumn id="3" xr3:uid="{A26D22E6-B599-4383-8176-A0681CCF21AE}" name="pred" dataDxfId="4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D3A6AE-6B32-43E1-B254-0B1D9BFEBAE2}" name="Tabla3" displayName="Tabla3" ref="A3:E123" totalsRowShown="0">
  <autoFilter ref="A3:E123" xr:uid="{E993EED5-C4A5-4D9D-903B-74DB4515A776}"/>
  <tableColumns count="5">
    <tableColumn id="1" xr3:uid="{422CB8CC-7C11-40AA-B83B-CAA25457A437}" name="mes" dataDxfId="40"/>
    <tableColumn id="2" xr3:uid="{E25CE72E-66E6-4927-A982-833156F72809}" name="SUM de Turistas CABA"/>
    <tableColumn id="3" xr3:uid="{70C4ADD8-42EE-4075-8C16-C914315ED122}" name="Previsión(SUM de Turistas CABA)">
      <calculatedColumnFormula>_xlfn.FORECAST.ETS(A4,$B$4:$B$105,$A$4:$A$105,1,1)</calculatedColumnFormula>
    </tableColumn>
    <tableColumn id="4" xr3:uid="{BC94203D-1834-4303-AA27-3F56F7E7833D}" name="Límite de confianza inferior(SUM de Turistas CABA)" dataDxfId="39">
      <calculatedColumnFormula>C4-_xlfn.FORECAST.ETS.CONFINT(A4,$B$4:$B$105,$A$4:$A$105,0.95,1,1)</calculatedColumnFormula>
    </tableColumn>
    <tableColumn id="5" xr3:uid="{B438E0AA-208C-4BC9-B0EF-69BEBFB9CC3C}" name="Límite de confianza superior(SUM de Turistas CABA)" dataDxfId="38">
      <calculatedColumnFormula>C4+_xlfn.FORECAST.ETS.CONFINT(A4,$B$4:$B$105,$A$4:$A$105,0.95,1,1)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131EE0-5053-4B21-96EE-C038E67B000F}" name="Tabla6" displayName="Tabla6" ref="R3:AB123" totalsRowShown="0" headerRowDxfId="37">
  <autoFilter ref="R3:AB123" xr:uid="{CF2DA329-8583-4532-B54B-BD60F20B2D3C}"/>
  <tableColumns count="11">
    <tableColumn id="1" xr3:uid="{191FAE8A-0294-4B6A-B01E-B236A460ED69}" name="qtr" dataDxfId="36"/>
    <tableColumn id="2" xr3:uid="{89AD2F3B-C65F-4BE7-8791-C0A02DA02F11}" name="t" dataDxfId="35">
      <calculatedColumnFormula>S3+1</calculatedColumnFormula>
    </tableColumn>
    <tableColumn id="3" xr3:uid="{C470B82C-9E79-496B-828C-F9E272067305}" name="Receptive tourism"/>
    <tableColumn id="4" xr3:uid="{DE14B344-15A4-4B06-8D7A-CBD352C12D45}" name="u" dataDxfId="34"/>
    <tableColumn id="5" xr3:uid="{1CD3B286-3607-4B8D-B94D-C9F9A3B0E696}" name="v" dataDxfId="33"/>
    <tableColumn id="6" xr3:uid="{A2C9E584-D85A-4A14-BABD-AE48786CD850}" name="s" dataDxfId="32"/>
    <tableColumn id="7" xr3:uid="{40CD2B81-6E4C-409F-930B-A7A101820D6B}" name="pred"/>
    <tableColumn id="8" xr3:uid="{02A2A293-3753-4662-A385-53DCEDB7FE89}" name="|e|"/>
    <tableColumn id="9" xr3:uid="{D09A65D2-F68D-4314-BB26-F36E5C07A018}" name="e^2"/>
    <tableColumn id="10" xr3:uid="{0B927A3B-3572-4500-9A96-16D3C6C78B44}" name="MAE puntual" dataDxfId="31">
      <calculatedColumnFormula>Tabla6[[#This Row],[Receptive tourism]]-Tabla6[[#This Row],[pred]]</calculatedColumnFormula>
    </tableColumn>
    <tableColumn id="11" xr3:uid="{C14D4DC2-BD2C-4608-8422-4F5944796DB6}" name="MAPE" dataDxfId="30">
      <calculatedColumnFormula>IF($T4=0,0,(ABS(($T4-Tabla6[[#This Row],[pred]])/$T4))*100/COUNT($R4:$R92))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830C308-00AF-4859-A976-735B7AAEED41}" name="Tabla1313" displayName="Tabla1313" ref="A2:E122" totalsRowShown="0">
  <autoFilter ref="A2:E122" xr:uid="{642B7794-486C-4BB9-8C7E-54E4E6657E70}"/>
  <tableColumns count="5">
    <tableColumn id="1" xr3:uid="{2B10E503-E963-452D-ABC0-B77B59C302B1}" name="mes" dataDxfId="29"/>
    <tableColumn id="2" xr3:uid="{4146A15D-98F9-4525-9F42-F04A31B69E73}" name="SUM de Turistas CABA"/>
    <tableColumn id="3" xr3:uid="{14C30B2E-5DDF-4312-8E5B-57ACE3DD26E8}" name="Previsión(SUM de Turistas CABA)">
      <calculatedColumnFormula>_xlfn.FORECAST.ETS(A3,$B$3:$B$101,$A$3:$A$101,1,1)</calculatedColumnFormula>
    </tableColumn>
    <tableColumn id="4" xr3:uid="{32354D8D-A06E-4422-A1D9-E719E33C4930}" name="Límite de confianza inferior(SUM de Turistas CABA)" dataDxfId="28">
      <calculatedColumnFormula>C3-_xlfn.FORECAST.ETS.CONFINT(A3,$B$3:$B$101,$A$3:$A$101,0.95,1,1)</calculatedColumnFormula>
    </tableColumn>
    <tableColumn id="5" xr3:uid="{978FBF3F-9019-4404-9CDF-CC20D46F17D4}" name="Límite de confianza superior(SUM de Turistas CABA)" dataDxfId="27">
      <calculatedColumnFormula>C3+_xlfn.FORECAST.ETS.CONFINT(A3,$B$3:$B$101,$A$3:$A$101,0.95,1,1)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F0DDE3-D519-48B0-AA0B-077DB5D128AA}" name="Tabla13" displayName="Tabla13" ref="S2:W122" totalsRowShown="0">
  <autoFilter ref="S2:W122" xr:uid="{642B7794-486C-4BB9-8C7E-54E4E6657E70}"/>
  <tableColumns count="5">
    <tableColumn id="1" xr3:uid="{C108778A-61D3-4C00-9106-2101200D8F8B}" name="mes" dataDxfId="26"/>
    <tableColumn id="2" xr3:uid="{408BFEF6-F488-4536-ACD2-AD2EDBAE0485}" name="SUM de Turistas CABA"/>
    <tableColumn id="3" xr3:uid="{B3623A98-B8E0-4333-BF47-81887A5FFA60}" name="Previsión(SUM de Turistas CABA)" dataDxfId="25"/>
    <tableColumn id="4" xr3:uid="{5EA05524-22AD-4873-A6A8-F72A38907D19}" name="Límite de confianza inferior(SUM de Turistas CABA)" dataDxfId="24"/>
    <tableColumn id="5" xr3:uid="{767CB378-B90C-4256-9CDC-00AF6935DE7A}" name="Límite de confianza superior(SUM de Turistas CABA)" dataDxfId="2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E44C849-F621-4C59-A05A-ADD947B09477}" name="Tabla1319" displayName="Tabla1319" ref="AK2:AO122" totalsRowShown="0">
  <autoFilter ref="AK2:AO122" xr:uid="{642B7794-486C-4BB9-8C7E-54E4E6657E70}"/>
  <tableColumns count="5">
    <tableColumn id="1" xr3:uid="{5D312C9B-3FE3-421E-8CC4-B8B185D78CA3}" name="mes" dataDxfId="22"/>
    <tableColumn id="2" xr3:uid="{4D47D616-0DD8-4ACB-9DB9-85474F23ED08}" name="SUM de Turistas CABA"/>
    <tableColumn id="3" xr3:uid="{F8649A9E-DDE6-423B-82B4-D6DF66E8E16E}" name="Previsión(SUM de Turistas CABA)">
      <calculatedColumnFormula>_xlfn.FORECAST.ETS(AK3,$AL$3:$AL$101,$AK$3:$AK$101,1,1)</calculatedColumnFormula>
    </tableColumn>
    <tableColumn id="4" xr3:uid="{E5DE6A2A-B747-435B-9E19-F8EC93A85F50}" name="Límite de confianza inferior(SUM de Turistas CABA)" dataDxfId="21">
      <calculatedColumnFormula>AM3-_xlfn.FORECAST.ETS.CONFINT(AK3,$AL$3:$AL$101,$AK$3:$AK$101,0.95,1,1)</calculatedColumnFormula>
    </tableColumn>
    <tableColumn id="5" xr3:uid="{86C8553D-B0A9-48D5-8404-BA2C9A37F458}" name="Límite de confianza superior(SUM de Turistas CABA)" dataDxfId="20">
      <calculatedColumnFormula>AM3+_xlfn.FORECAST.ETS.CONFINT(AK3,$AL$3:$AL$101,$AK$3:$AK$101,0.95,1,1)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BAB23E3-E994-43EE-8359-48C5A71F19FD}" name="Tabla131912" displayName="Tabla131912" ref="BC2:BG122" totalsRowShown="0">
  <autoFilter ref="BC2:BG122" xr:uid="{642B7794-486C-4BB9-8C7E-54E4E6657E70}"/>
  <tableColumns count="5">
    <tableColumn id="1" xr3:uid="{C4BBE263-63F6-4A93-95B1-0B74971B2CB5}" name="mes" dataDxfId="19"/>
    <tableColumn id="2" xr3:uid="{16E80974-9652-4BD7-9A3B-6D5F7556A9F3}" name="SUM de Turistas CABA"/>
    <tableColumn id="3" xr3:uid="{793B3E05-12EE-4F6F-96D4-0977189D739B}" name="Previsión(SUM de Turistas CABA)">
      <calculatedColumnFormula>_xlfn.FORECAST.ETS(BC3,$BD$3:$BD$101,$BC$3:$BC$101,1,1)</calculatedColumnFormula>
    </tableColumn>
    <tableColumn id="4" xr3:uid="{234ED9C5-C79B-4A52-952A-29BA19831892}" name="Límite de confianza inferior(SUM de Turistas CABA)" dataDxfId="18">
      <calculatedColumnFormula>BE3-_xlfn.FORECAST.ETS.CONFINT(BC3,$BD$3:$BD$101,$BC$3:$BC$101,0.95,1,1)</calculatedColumnFormula>
    </tableColumn>
    <tableColumn id="5" xr3:uid="{BE07A940-F6A4-41CE-A439-A4BBD45EFAA4}" name="Límite de confianza superior(SUM de Turistas CABA)" dataDxfId="17">
      <calculatedColumnFormula>BE3+_xlfn.FORECAST.ETS.CONFINT(BC3,$BD$3:$BD$101,$BC$3:$BC$101,0.95,1,1)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tl.nist.gov/div898/handbook/pmc/section4/pmc435.htm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3546-0D9A-47EC-9BB0-C5465060258F}">
  <dimension ref="A1:M104"/>
  <sheetViews>
    <sheetView tabSelected="1" topLeftCell="A70" workbookViewId="0">
      <selection activeCell="C86" sqref="C86"/>
    </sheetView>
  </sheetViews>
  <sheetFormatPr baseColWidth="10" defaultRowHeight="13.2" x14ac:dyDescent="0.3"/>
  <cols>
    <col min="8" max="8" width="14.42578125" bestFit="1" customWidth="1"/>
    <col min="9" max="9" width="9.85546875" customWidth="1"/>
    <col min="10" max="10" width="13.7109375" customWidth="1"/>
  </cols>
  <sheetData>
    <row r="1" spans="1:13" ht="15" thickBot="1" x14ac:dyDescent="0.35">
      <c r="A1" t="s">
        <v>73</v>
      </c>
      <c r="B1" s="28" t="s">
        <v>71</v>
      </c>
      <c r="C1" s="29" t="s">
        <v>72</v>
      </c>
      <c r="D1" s="29" t="s">
        <v>82</v>
      </c>
      <c r="E1" s="29"/>
      <c r="F1" s="29" t="s">
        <v>83</v>
      </c>
      <c r="G1" s="29" t="s">
        <v>84</v>
      </c>
      <c r="H1" s="29" t="s">
        <v>85</v>
      </c>
      <c r="I1" s="29" t="s">
        <v>86</v>
      </c>
      <c r="J1" s="29" t="s">
        <v>81</v>
      </c>
      <c r="K1" s="29" t="s">
        <v>74</v>
      </c>
      <c r="L1" s="29"/>
    </row>
    <row r="2" spans="1:13" ht="13.8" thickTop="1" x14ac:dyDescent="0.3">
      <c r="A2">
        <v>1</v>
      </c>
      <c r="B2" s="30">
        <v>42370</v>
      </c>
      <c r="C2" s="31">
        <v>248684</v>
      </c>
      <c r="F2">
        <v>0</v>
      </c>
      <c r="G2">
        <f t="shared" ref="G2:G33" si="0">IF(C2&gt;$M$2,0,1)</f>
        <v>0</v>
      </c>
      <c r="I2" s="1">
        <f>IF(G2=0,C2,H2)</f>
        <v>248684</v>
      </c>
      <c r="J2" s="1">
        <f>Decomposition!I11</f>
        <v>163554.05993523935</v>
      </c>
      <c r="K2" s="31">
        <v>248684</v>
      </c>
      <c r="M2" s="1">
        <f>STDEVA(C2:C100)</f>
        <v>97427.291254533149</v>
      </c>
    </row>
    <row r="3" spans="1:13" x14ac:dyDescent="0.3">
      <c r="A3">
        <v>2</v>
      </c>
      <c r="B3" s="30">
        <v>42401</v>
      </c>
      <c r="C3" s="31">
        <v>211731</v>
      </c>
      <c r="F3">
        <v>0</v>
      </c>
      <c r="G3">
        <f t="shared" si="0"/>
        <v>0</v>
      </c>
      <c r="I3" s="1">
        <f t="shared" ref="I3:I66" si="1">IF(G3=0,C3,H3)</f>
        <v>211731</v>
      </c>
      <c r="J3" s="1">
        <f>Decomposition!I12</f>
        <v>186385.1538066793</v>
      </c>
      <c r="K3" s="31">
        <v>211731</v>
      </c>
    </row>
    <row r="4" spans="1:13" x14ac:dyDescent="0.3">
      <c r="A4">
        <v>3</v>
      </c>
      <c r="B4" s="30">
        <v>42430</v>
      </c>
      <c r="C4" s="31">
        <v>210862</v>
      </c>
      <c r="F4">
        <v>0</v>
      </c>
      <c r="G4">
        <f t="shared" si="0"/>
        <v>0</v>
      </c>
      <c r="I4" s="1">
        <f t="shared" si="1"/>
        <v>210862</v>
      </c>
      <c r="J4" s="1">
        <f>Decomposition!I13</f>
        <v>184615.17654602198</v>
      </c>
      <c r="K4" s="31">
        <v>210862</v>
      </c>
    </row>
    <row r="5" spans="1:13" x14ac:dyDescent="0.3">
      <c r="A5">
        <v>4</v>
      </c>
      <c r="B5" s="30">
        <v>42461</v>
      </c>
      <c r="C5" s="31">
        <v>182419</v>
      </c>
      <c r="F5">
        <v>0</v>
      </c>
      <c r="G5">
        <f t="shared" si="0"/>
        <v>0</v>
      </c>
      <c r="I5" s="1">
        <f t="shared" si="1"/>
        <v>182419</v>
      </c>
      <c r="J5" s="1">
        <f>Decomposition!I14</f>
        <v>204700.83844635609</v>
      </c>
      <c r="K5" s="31">
        <v>182419</v>
      </c>
    </row>
    <row r="6" spans="1:13" x14ac:dyDescent="0.3">
      <c r="A6">
        <v>5</v>
      </c>
      <c r="B6" s="30">
        <v>42491</v>
      </c>
      <c r="C6" s="31">
        <v>176403</v>
      </c>
      <c r="F6">
        <v>0</v>
      </c>
      <c r="G6">
        <f t="shared" si="0"/>
        <v>0</v>
      </c>
      <c r="I6" s="1">
        <f t="shared" si="1"/>
        <v>176403</v>
      </c>
      <c r="J6" s="1">
        <f>Decomposition!I15</f>
        <v>242583.70449869026</v>
      </c>
      <c r="K6" s="31">
        <v>176403</v>
      </c>
    </row>
    <row r="7" spans="1:13" x14ac:dyDescent="0.3">
      <c r="A7">
        <v>6</v>
      </c>
      <c r="B7" s="30">
        <v>42522</v>
      </c>
      <c r="C7" s="31">
        <v>160586</v>
      </c>
      <c r="F7">
        <v>0</v>
      </c>
      <c r="G7">
        <f t="shared" si="0"/>
        <v>0</v>
      </c>
      <c r="H7" s="1">
        <f>AVERAGE(C2:C7)</f>
        <v>198447.5</v>
      </c>
      <c r="I7" s="1">
        <f t="shared" si="1"/>
        <v>160586</v>
      </c>
      <c r="J7" s="1">
        <f>Decomposition!I16</f>
        <v>238323.25929326477</v>
      </c>
      <c r="K7" s="31">
        <v>160586</v>
      </c>
    </row>
    <row r="8" spans="1:13" x14ac:dyDescent="0.3">
      <c r="A8">
        <v>7</v>
      </c>
      <c r="B8" s="30">
        <v>42552</v>
      </c>
      <c r="C8" s="31">
        <v>205385</v>
      </c>
      <c r="F8">
        <v>0</v>
      </c>
      <c r="G8">
        <f t="shared" si="0"/>
        <v>0</v>
      </c>
      <c r="H8" s="1">
        <f t="shared" ref="H8:H71" si="2">AVERAGE(C3:C8)</f>
        <v>191231</v>
      </c>
      <c r="I8" s="1">
        <f t="shared" si="1"/>
        <v>205385</v>
      </c>
      <c r="J8" s="1">
        <f>Decomposition!I17</f>
        <v>239932.80180152546</v>
      </c>
      <c r="K8" s="31">
        <v>205385</v>
      </c>
    </row>
    <row r="9" spans="1:13" x14ac:dyDescent="0.3">
      <c r="A9">
        <v>8</v>
      </c>
      <c r="B9" s="30">
        <v>42583</v>
      </c>
      <c r="C9" s="31">
        <v>188354</v>
      </c>
      <c r="F9">
        <v>0</v>
      </c>
      <c r="G9">
        <f t="shared" si="0"/>
        <v>0</v>
      </c>
      <c r="H9" s="1">
        <f t="shared" si="2"/>
        <v>187334.83333333334</v>
      </c>
      <c r="I9" s="1">
        <f t="shared" si="1"/>
        <v>188354</v>
      </c>
      <c r="J9" s="1">
        <f>Decomposition!I18</f>
        <v>249056.79957154609</v>
      </c>
      <c r="K9" s="31">
        <v>188354</v>
      </c>
    </row>
    <row r="10" spans="1:13" x14ac:dyDescent="0.3">
      <c r="A10">
        <v>9</v>
      </c>
      <c r="B10" s="30">
        <v>42614</v>
      </c>
      <c r="C10" s="31">
        <v>187990</v>
      </c>
      <c r="F10">
        <v>0</v>
      </c>
      <c r="G10">
        <f t="shared" si="0"/>
        <v>0</v>
      </c>
      <c r="H10" s="1">
        <f t="shared" si="2"/>
        <v>183522.83333333334</v>
      </c>
      <c r="I10" s="1">
        <f t="shared" si="1"/>
        <v>187990</v>
      </c>
      <c r="J10" s="1">
        <f>Decomposition!I19</f>
        <v>229806.82064988138</v>
      </c>
      <c r="K10" s="31">
        <v>187990</v>
      </c>
    </row>
    <row r="11" spans="1:13" x14ac:dyDescent="0.3">
      <c r="A11">
        <v>10</v>
      </c>
      <c r="B11" s="30">
        <v>42644</v>
      </c>
      <c r="C11" s="31">
        <v>204246</v>
      </c>
      <c r="F11">
        <v>0</v>
      </c>
      <c r="G11">
        <f t="shared" si="0"/>
        <v>0</v>
      </c>
      <c r="H11" s="1">
        <f t="shared" si="2"/>
        <v>187160.66666666666</v>
      </c>
      <c r="I11" s="1">
        <f t="shared" si="1"/>
        <v>204246</v>
      </c>
      <c r="J11" s="1">
        <f>Decomposition!I20</f>
        <v>222930.21241106166</v>
      </c>
      <c r="K11" s="31">
        <v>204246</v>
      </c>
    </row>
    <row r="12" spans="1:13" x14ac:dyDescent="0.3">
      <c r="A12">
        <v>11</v>
      </c>
      <c r="B12" s="30">
        <v>42675</v>
      </c>
      <c r="C12" s="31">
        <v>230713</v>
      </c>
      <c r="F12">
        <v>0</v>
      </c>
      <c r="G12">
        <f t="shared" si="0"/>
        <v>0</v>
      </c>
      <c r="H12" s="1">
        <f t="shared" si="2"/>
        <v>196212.33333333334</v>
      </c>
      <c r="I12" s="1">
        <f t="shared" si="1"/>
        <v>230713</v>
      </c>
      <c r="J12" s="1">
        <f>Decomposition!I21</f>
        <v>197050.22828587753</v>
      </c>
      <c r="K12" s="31">
        <v>230713</v>
      </c>
    </row>
    <row r="13" spans="1:13" ht="13.8" thickBot="1" x14ac:dyDescent="0.35">
      <c r="A13">
        <v>12</v>
      </c>
      <c r="B13" s="30">
        <v>42705</v>
      </c>
      <c r="C13" s="32">
        <v>242419</v>
      </c>
      <c r="F13">
        <v>0</v>
      </c>
      <c r="G13">
        <f t="shared" si="0"/>
        <v>0</v>
      </c>
      <c r="H13" s="1">
        <f t="shared" si="2"/>
        <v>209851.16666666666</v>
      </c>
      <c r="I13" s="1">
        <f t="shared" si="1"/>
        <v>242419</v>
      </c>
      <c r="J13" s="1">
        <f>Decomposition!I22</f>
        <v>174169.41747995917</v>
      </c>
      <c r="K13" s="32">
        <v>242419</v>
      </c>
    </row>
    <row r="14" spans="1:13" x14ac:dyDescent="0.3">
      <c r="A14">
        <v>13</v>
      </c>
      <c r="B14" s="30">
        <v>42736</v>
      </c>
      <c r="C14" s="31">
        <v>246675</v>
      </c>
      <c r="D14">
        <f t="shared" ref="D14:D45" si="3">(C14-C2)/C2</f>
        <v>-8.0785253574817834E-3</v>
      </c>
      <c r="E14">
        <f>ABS(D14)</f>
        <v>8.0785253574817834E-3</v>
      </c>
      <c r="F14">
        <f>IF(E14&lt;0.5,0,1)</f>
        <v>0</v>
      </c>
      <c r="G14">
        <f t="shared" si="0"/>
        <v>0</v>
      </c>
      <c r="H14" s="1">
        <f t="shared" si="2"/>
        <v>216732.83333333334</v>
      </c>
      <c r="I14" s="1">
        <f t="shared" si="1"/>
        <v>246675</v>
      </c>
      <c r="J14" s="1">
        <f>Decomposition!I23</f>
        <v>162232.78431473341</v>
      </c>
      <c r="K14" s="31">
        <v>246675</v>
      </c>
    </row>
    <row r="15" spans="1:13" x14ac:dyDescent="0.3">
      <c r="A15">
        <v>14</v>
      </c>
      <c r="B15" s="30">
        <v>42767</v>
      </c>
      <c r="C15" s="31">
        <v>208332</v>
      </c>
      <c r="D15">
        <f t="shared" si="3"/>
        <v>-1.6053388497669213E-2</v>
      </c>
      <c r="E15">
        <f t="shared" ref="E15:E78" si="4">ABS(D15)</f>
        <v>1.6053388497669213E-2</v>
      </c>
      <c r="F15">
        <f t="shared" ref="F15:F78" si="5">IF(E15&lt;0.5,0,1)</f>
        <v>0</v>
      </c>
      <c r="G15">
        <f t="shared" si="0"/>
        <v>0</v>
      </c>
      <c r="H15" s="1">
        <f t="shared" si="2"/>
        <v>220062.5</v>
      </c>
      <c r="I15" s="1">
        <f t="shared" si="1"/>
        <v>208332</v>
      </c>
      <c r="J15" s="1">
        <f>Decomposition!I24</f>
        <v>183393.04052242285</v>
      </c>
      <c r="K15" s="31">
        <v>208332</v>
      </c>
    </row>
    <row r="16" spans="1:13" x14ac:dyDescent="0.3">
      <c r="A16">
        <v>15</v>
      </c>
      <c r="B16" s="30">
        <v>42795</v>
      </c>
      <c r="C16" s="31">
        <v>215957</v>
      </c>
      <c r="D16">
        <f t="shared" si="3"/>
        <v>2.4162722538911705E-2</v>
      </c>
      <c r="E16">
        <f t="shared" si="4"/>
        <v>2.4162722538911705E-2</v>
      </c>
      <c r="F16">
        <f t="shared" si="5"/>
        <v>0</v>
      </c>
      <c r="G16">
        <f t="shared" si="0"/>
        <v>0</v>
      </c>
      <c r="H16" s="1">
        <f t="shared" si="2"/>
        <v>224723.66666666666</v>
      </c>
      <c r="I16" s="1">
        <f t="shared" si="1"/>
        <v>215957</v>
      </c>
      <c r="J16" s="1">
        <f>Decomposition!I25</f>
        <v>189075.9818333757</v>
      </c>
      <c r="K16" s="31">
        <v>215957</v>
      </c>
    </row>
    <row r="17" spans="1:11" x14ac:dyDescent="0.3">
      <c r="A17">
        <v>16</v>
      </c>
      <c r="B17" s="30">
        <v>42826</v>
      </c>
      <c r="C17" s="31">
        <v>200426</v>
      </c>
      <c r="D17">
        <f t="shared" si="3"/>
        <v>9.8712305187507884E-2</v>
      </c>
      <c r="E17">
        <f t="shared" si="4"/>
        <v>9.8712305187507884E-2</v>
      </c>
      <c r="F17">
        <f t="shared" si="5"/>
        <v>0</v>
      </c>
      <c r="G17">
        <f t="shared" si="0"/>
        <v>0</v>
      </c>
      <c r="H17" s="1">
        <f t="shared" si="2"/>
        <v>224087</v>
      </c>
      <c r="I17" s="1">
        <f t="shared" si="1"/>
        <v>200426</v>
      </c>
      <c r="J17" s="1">
        <f>Decomposition!I26</f>
        <v>224907.33008321153</v>
      </c>
      <c r="K17" s="31">
        <v>200426</v>
      </c>
    </row>
    <row r="18" spans="1:11" x14ac:dyDescent="0.3">
      <c r="A18">
        <v>17</v>
      </c>
      <c r="B18" s="30">
        <v>42856</v>
      </c>
      <c r="C18" s="31">
        <v>179443</v>
      </c>
      <c r="D18">
        <f t="shared" si="3"/>
        <v>1.7233267007930705E-2</v>
      </c>
      <c r="E18">
        <f t="shared" si="4"/>
        <v>1.7233267007930705E-2</v>
      </c>
      <c r="F18">
        <f t="shared" si="5"/>
        <v>0</v>
      </c>
      <c r="G18">
        <f t="shared" si="0"/>
        <v>0</v>
      </c>
      <c r="H18" s="1">
        <f t="shared" si="2"/>
        <v>215542</v>
      </c>
      <c r="I18" s="1">
        <f t="shared" si="1"/>
        <v>179443</v>
      </c>
      <c r="J18" s="1">
        <f>Decomposition!I27</f>
        <v>246764.21425008914</v>
      </c>
      <c r="K18" s="31">
        <v>179443</v>
      </c>
    </row>
    <row r="19" spans="1:11" x14ac:dyDescent="0.3">
      <c r="A19">
        <v>18</v>
      </c>
      <c r="B19" s="30">
        <v>42887</v>
      </c>
      <c r="C19" s="31">
        <v>167766</v>
      </c>
      <c r="D19">
        <f t="shared" si="3"/>
        <v>4.4711245064949619E-2</v>
      </c>
      <c r="E19">
        <f t="shared" si="4"/>
        <v>4.4711245064949619E-2</v>
      </c>
      <c r="F19">
        <f t="shared" si="5"/>
        <v>0</v>
      </c>
      <c r="G19">
        <f t="shared" si="0"/>
        <v>0</v>
      </c>
      <c r="H19" s="1">
        <f t="shared" si="2"/>
        <v>203099.83333333334</v>
      </c>
      <c r="I19" s="1">
        <f t="shared" si="1"/>
        <v>167766</v>
      </c>
      <c r="J19" s="1">
        <f>Decomposition!I28</f>
        <v>248978.98894420348</v>
      </c>
      <c r="K19" s="31">
        <v>167766</v>
      </c>
    </row>
    <row r="20" spans="1:11" x14ac:dyDescent="0.3">
      <c r="A20">
        <v>19</v>
      </c>
      <c r="B20" s="30">
        <v>42917</v>
      </c>
      <c r="C20" s="31">
        <v>211456</v>
      </c>
      <c r="D20">
        <f t="shared" si="3"/>
        <v>2.9559120675803977E-2</v>
      </c>
      <c r="E20">
        <f t="shared" si="4"/>
        <v>2.9559120675803977E-2</v>
      </c>
      <c r="F20">
        <f t="shared" si="5"/>
        <v>0</v>
      </c>
      <c r="G20">
        <f t="shared" si="0"/>
        <v>0</v>
      </c>
      <c r="H20" s="1">
        <f t="shared" si="2"/>
        <v>197230</v>
      </c>
      <c r="I20" s="1">
        <f t="shared" si="1"/>
        <v>211456</v>
      </c>
      <c r="J20" s="1">
        <f>Decomposition!I29</f>
        <v>247025.0044440605</v>
      </c>
      <c r="K20" s="31">
        <v>211456</v>
      </c>
    </row>
    <row r="21" spans="1:11" x14ac:dyDescent="0.3">
      <c r="A21">
        <v>20</v>
      </c>
      <c r="B21" s="30">
        <v>42948</v>
      </c>
      <c r="C21" s="31">
        <v>193354</v>
      </c>
      <c r="D21">
        <f t="shared" si="3"/>
        <v>2.6545759580364633E-2</v>
      </c>
      <c r="E21">
        <f t="shared" si="4"/>
        <v>2.6545759580364633E-2</v>
      </c>
      <c r="F21">
        <f t="shared" si="5"/>
        <v>0</v>
      </c>
      <c r="G21">
        <f t="shared" si="0"/>
        <v>0</v>
      </c>
      <c r="H21" s="1">
        <f t="shared" si="2"/>
        <v>194733.66666666666</v>
      </c>
      <c r="I21" s="1">
        <f t="shared" si="1"/>
        <v>193354</v>
      </c>
      <c r="J21" s="1">
        <f>Decomposition!I30</f>
        <v>255668.2014948274</v>
      </c>
      <c r="K21" s="31">
        <v>193354</v>
      </c>
    </row>
    <row r="22" spans="1:11" x14ac:dyDescent="0.3">
      <c r="A22">
        <v>21</v>
      </c>
      <c r="B22" s="30">
        <v>42979</v>
      </c>
      <c r="C22" s="31">
        <v>199160</v>
      </c>
      <c r="D22">
        <f t="shared" si="3"/>
        <v>5.9418054151816585E-2</v>
      </c>
      <c r="E22">
        <f t="shared" si="4"/>
        <v>5.9418054151816585E-2</v>
      </c>
      <c r="F22">
        <f t="shared" si="5"/>
        <v>0</v>
      </c>
      <c r="G22">
        <f t="shared" si="0"/>
        <v>0</v>
      </c>
      <c r="H22" s="1">
        <f t="shared" si="2"/>
        <v>191934.16666666666</v>
      </c>
      <c r="I22" s="1">
        <f t="shared" si="1"/>
        <v>199160</v>
      </c>
      <c r="J22" s="1">
        <f>Decomposition!I31</f>
        <v>243461.49476371284</v>
      </c>
      <c r="K22" s="31">
        <v>199160</v>
      </c>
    </row>
    <row r="23" spans="1:11" x14ac:dyDescent="0.3">
      <c r="A23">
        <v>22</v>
      </c>
      <c r="B23" s="30">
        <v>43009</v>
      </c>
      <c r="C23" s="31">
        <v>224240</v>
      </c>
      <c r="D23">
        <f t="shared" si="3"/>
        <v>9.7891757978124425E-2</v>
      </c>
      <c r="E23">
        <f t="shared" si="4"/>
        <v>9.7891757978124425E-2</v>
      </c>
      <c r="F23">
        <f t="shared" si="5"/>
        <v>0</v>
      </c>
      <c r="G23">
        <f t="shared" si="0"/>
        <v>0</v>
      </c>
      <c r="H23" s="1">
        <f t="shared" si="2"/>
        <v>195903.16666666666</v>
      </c>
      <c r="I23" s="1">
        <f t="shared" si="1"/>
        <v>224240</v>
      </c>
      <c r="J23" s="1">
        <f>Decomposition!I32</f>
        <v>244753.2428104172</v>
      </c>
      <c r="K23" s="31">
        <v>224240</v>
      </c>
    </row>
    <row r="24" spans="1:11" x14ac:dyDescent="0.3">
      <c r="A24">
        <v>23</v>
      </c>
      <c r="B24" s="30">
        <v>43040</v>
      </c>
      <c r="C24" s="31">
        <v>243719</v>
      </c>
      <c r="D24">
        <f t="shared" si="3"/>
        <v>5.6373069571285538E-2</v>
      </c>
      <c r="E24">
        <f t="shared" si="4"/>
        <v>5.6373069571285538E-2</v>
      </c>
      <c r="F24">
        <f t="shared" si="5"/>
        <v>0</v>
      </c>
      <c r="G24">
        <f t="shared" si="0"/>
        <v>0</v>
      </c>
      <c r="H24" s="1">
        <f t="shared" si="2"/>
        <v>206615.83333333334</v>
      </c>
      <c r="I24" s="1">
        <f t="shared" si="1"/>
        <v>243719</v>
      </c>
      <c r="J24" s="1">
        <f>Decomposition!I33</f>
        <v>208158.55451407499</v>
      </c>
      <c r="K24" s="31">
        <v>243719</v>
      </c>
    </row>
    <row r="25" spans="1:11" ht="13.8" thickBot="1" x14ac:dyDescent="0.35">
      <c r="A25">
        <v>24</v>
      </c>
      <c r="B25" s="30">
        <v>43070</v>
      </c>
      <c r="C25" s="32">
        <v>255410</v>
      </c>
      <c r="D25">
        <f t="shared" si="3"/>
        <v>5.3589033862857287E-2</v>
      </c>
      <c r="E25">
        <f t="shared" si="4"/>
        <v>5.3589033862857287E-2</v>
      </c>
      <c r="F25">
        <f t="shared" si="5"/>
        <v>0</v>
      </c>
      <c r="G25">
        <f t="shared" si="0"/>
        <v>0</v>
      </c>
      <c r="H25" s="1">
        <f t="shared" si="2"/>
        <v>221223.16666666666</v>
      </c>
      <c r="I25" s="1">
        <f t="shared" si="1"/>
        <v>255410</v>
      </c>
      <c r="J25" s="1">
        <f>Decomposition!I34</f>
        <v>183502.98829116684</v>
      </c>
      <c r="K25" s="32">
        <v>255410</v>
      </c>
    </row>
    <row r="26" spans="1:11" x14ac:dyDescent="0.3">
      <c r="A26">
        <v>25</v>
      </c>
      <c r="B26" s="30">
        <v>43101</v>
      </c>
      <c r="C26" s="31">
        <v>275610</v>
      </c>
      <c r="D26">
        <f t="shared" si="3"/>
        <v>0.11730009121313469</v>
      </c>
      <c r="E26">
        <f t="shared" si="4"/>
        <v>0.11730009121313469</v>
      </c>
      <c r="F26">
        <f t="shared" si="5"/>
        <v>0</v>
      </c>
      <c r="G26">
        <f t="shared" si="0"/>
        <v>0</v>
      </c>
      <c r="H26" s="1">
        <f t="shared" si="2"/>
        <v>231915.5</v>
      </c>
      <c r="I26" s="1">
        <f t="shared" si="1"/>
        <v>275610</v>
      </c>
      <c r="J26" s="1">
        <f>Decomposition!I35</f>
        <v>181262.70471261247</v>
      </c>
      <c r="K26" s="31">
        <v>275610</v>
      </c>
    </row>
    <row r="27" spans="1:11" x14ac:dyDescent="0.3">
      <c r="A27">
        <v>26</v>
      </c>
      <c r="B27" s="30">
        <v>43132</v>
      </c>
      <c r="C27" s="31">
        <v>214691</v>
      </c>
      <c r="D27">
        <f t="shared" si="3"/>
        <v>3.052339534973024E-2</v>
      </c>
      <c r="E27">
        <f t="shared" si="4"/>
        <v>3.052339534973024E-2</v>
      </c>
      <c r="F27">
        <f t="shared" si="5"/>
        <v>0</v>
      </c>
      <c r="G27">
        <f t="shared" si="0"/>
        <v>0</v>
      </c>
      <c r="H27" s="1">
        <f t="shared" si="2"/>
        <v>235471.66666666666</v>
      </c>
      <c r="I27" s="1">
        <f t="shared" si="1"/>
        <v>214691</v>
      </c>
      <c r="J27" s="1">
        <f>Decomposition!I36</f>
        <v>188990.81880267785</v>
      </c>
      <c r="K27" s="31">
        <v>214691</v>
      </c>
    </row>
    <row r="28" spans="1:11" x14ac:dyDescent="0.3">
      <c r="A28">
        <v>27</v>
      </c>
      <c r="B28" s="30">
        <v>43160</v>
      </c>
      <c r="C28" s="31">
        <v>220918</v>
      </c>
      <c r="D28">
        <f t="shared" si="3"/>
        <v>2.2972165755219789E-2</v>
      </c>
      <c r="E28">
        <f t="shared" si="4"/>
        <v>2.2972165755219789E-2</v>
      </c>
      <c r="F28">
        <f t="shared" si="5"/>
        <v>0</v>
      </c>
      <c r="G28">
        <f t="shared" si="0"/>
        <v>0</v>
      </c>
      <c r="H28" s="1">
        <f t="shared" si="2"/>
        <v>239098</v>
      </c>
      <c r="I28" s="1">
        <f t="shared" si="1"/>
        <v>220918</v>
      </c>
      <c r="J28" s="1">
        <f>Decomposition!I37</f>
        <v>193419.46662838294</v>
      </c>
      <c r="K28" s="31">
        <v>220918</v>
      </c>
    </row>
    <row r="29" spans="1:11" x14ac:dyDescent="0.3">
      <c r="A29">
        <v>28</v>
      </c>
      <c r="B29" s="30">
        <v>43191</v>
      </c>
      <c r="C29" s="31">
        <v>202846</v>
      </c>
      <c r="D29">
        <f t="shared" si="3"/>
        <v>1.2074281779809007E-2</v>
      </c>
      <c r="E29">
        <f t="shared" si="4"/>
        <v>1.2074281779809007E-2</v>
      </c>
      <c r="F29">
        <f t="shared" si="5"/>
        <v>0</v>
      </c>
      <c r="G29">
        <f t="shared" si="0"/>
        <v>0</v>
      </c>
      <c r="H29" s="1">
        <f t="shared" si="2"/>
        <v>235532.33333333334</v>
      </c>
      <c r="I29" s="1">
        <f t="shared" si="1"/>
        <v>202846</v>
      </c>
      <c r="J29" s="1">
        <f>Decomposition!I38</f>
        <v>227622.92456098075</v>
      </c>
      <c r="K29" s="31">
        <v>202846</v>
      </c>
    </row>
    <row r="30" spans="1:11" x14ac:dyDescent="0.3">
      <c r="A30">
        <v>29</v>
      </c>
      <c r="B30" s="30">
        <v>43221</v>
      </c>
      <c r="C30" s="31">
        <v>184649</v>
      </c>
      <c r="D30">
        <f t="shared" si="3"/>
        <v>2.9011998238995113E-2</v>
      </c>
      <c r="E30">
        <f t="shared" si="4"/>
        <v>2.9011998238995113E-2</v>
      </c>
      <c r="F30">
        <f t="shared" si="5"/>
        <v>0</v>
      </c>
      <c r="G30">
        <f t="shared" si="0"/>
        <v>0</v>
      </c>
      <c r="H30" s="1">
        <f t="shared" si="2"/>
        <v>225687.33333333334</v>
      </c>
      <c r="I30" s="1">
        <f t="shared" si="1"/>
        <v>184649</v>
      </c>
      <c r="J30" s="1">
        <f>Decomposition!I39</f>
        <v>253923.33719935975</v>
      </c>
      <c r="K30" s="31">
        <v>184649</v>
      </c>
    </row>
    <row r="31" spans="1:11" x14ac:dyDescent="0.3">
      <c r="A31">
        <v>30</v>
      </c>
      <c r="B31" s="30">
        <v>43252</v>
      </c>
      <c r="C31" s="31">
        <v>167422</v>
      </c>
      <c r="D31">
        <f t="shared" si="3"/>
        <v>-2.0504750664616191E-3</v>
      </c>
      <c r="E31">
        <f t="shared" si="4"/>
        <v>2.0504750664616191E-3</v>
      </c>
      <c r="F31">
        <f t="shared" si="5"/>
        <v>0</v>
      </c>
      <c r="G31">
        <f t="shared" si="0"/>
        <v>0</v>
      </c>
      <c r="H31" s="1">
        <f t="shared" si="2"/>
        <v>211022.66666666666</v>
      </c>
      <c r="I31" s="1">
        <f t="shared" si="1"/>
        <v>167422</v>
      </c>
      <c r="J31" s="1">
        <f>Decomposition!I40</f>
        <v>248468.46373530055</v>
      </c>
      <c r="K31" s="31">
        <v>167422</v>
      </c>
    </row>
    <row r="32" spans="1:11" x14ac:dyDescent="0.3">
      <c r="A32">
        <v>31</v>
      </c>
      <c r="B32" s="30">
        <v>43282</v>
      </c>
      <c r="C32" s="31">
        <v>215459</v>
      </c>
      <c r="D32">
        <f t="shared" si="3"/>
        <v>1.8930652239709442E-2</v>
      </c>
      <c r="E32">
        <f t="shared" si="4"/>
        <v>1.8930652239709442E-2</v>
      </c>
      <c r="F32">
        <f t="shared" si="5"/>
        <v>0</v>
      </c>
      <c r="G32">
        <f t="shared" si="0"/>
        <v>0</v>
      </c>
      <c r="H32" s="1">
        <f t="shared" si="2"/>
        <v>200997.5</v>
      </c>
      <c r="I32" s="1">
        <f t="shared" si="1"/>
        <v>215459</v>
      </c>
      <c r="J32" s="1">
        <f>Decomposition!I41</f>
        <v>251701.34889770369</v>
      </c>
      <c r="K32" s="31">
        <v>215459</v>
      </c>
    </row>
    <row r="33" spans="1:11" x14ac:dyDescent="0.3">
      <c r="A33">
        <v>32</v>
      </c>
      <c r="B33" s="30">
        <v>43313</v>
      </c>
      <c r="C33" s="31">
        <v>203628</v>
      </c>
      <c r="D33">
        <f t="shared" si="3"/>
        <v>5.313569928731756E-2</v>
      </c>
      <c r="E33">
        <f t="shared" si="4"/>
        <v>5.313569928731756E-2</v>
      </c>
      <c r="F33">
        <f t="shared" si="5"/>
        <v>0</v>
      </c>
      <c r="G33">
        <f t="shared" si="0"/>
        <v>0</v>
      </c>
      <c r="H33" s="1">
        <f t="shared" si="2"/>
        <v>199153.66666666666</v>
      </c>
      <c r="I33" s="1">
        <f t="shared" si="1"/>
        <v>203628</v>
      </c>
      <c r="J33" s="1">
        <f>Decomposition!I42</f>
        <v>269253.31016678584</v>
      </c>
      <c r="K33" s="31">
        <v>203628</v>
      </c>
    </row>
    <row r="34" spans="1:11" x14ac:dyDescent="0.3">
      <c r="A34">
        <v>33</v>
      </c>
      <c r="B34" s="30">
        <v>43344</v>
      </c>
      <c r="C34" s="31">
        <v>216132</v>
      </c>
      <c r="D34">
        <f t="shared" si="3"/>
        <v>8.5217915244024903E-2</v>
      </c>
      <c r="E34">
        <f t="shared" si="4"/>
        <v>8.5217915244024903E-2</v>
      </c>
      <c r="F34">
        <f t="shared" si="5"/>
        <v>0</v>
      </c>
      <c r="G34">
        <f t="shared" ref="G34:G65" si="6">IF(C34&gt;$M$2,0,1)</f>
        <v>0</v>
      </c>
      <c r="H34" s="1">
        <f t="shared" si="2"/>
        <v>198356</v>
      </c>
      <c r="I34" s="1">
        <f t="shared" si="1"/>
        <v>216132</v>
      </c>
      <c r="J34" s="1">
        <f>Decomposition!I43</f>
        <v>264208.77578967053</v>
      </c>
      <c r="K34" s="31">
        <v>216132</v>
      </c>
    </row>
    <row r="35" spans="1:11" x14ac:dyDescent="0.3">
      <c r="A35">
        <v>34</v>
      </c>
      <c r="B35" s="30">
        <v>43374</v>
      </c>
      <c r="C35" s="31">
        <v>227543</v>
      </c>
      <c r="D35">
        <f t="shared" si="3"/>
        <v>1.4729753835176596E-2</v>
      </c>
      <c r="E35">
        <f t="shared" si="4"/>
        <v>1.4729753835176596E-2</v>
      </c>
      <c r="F35">
        <f t="shared" si="5"/>
        <v>0</v>
      </c>
      <c r="G35">
        <f t="shared" si="6"/>
        <v>0</v>
      </c>
      <c r="H35" s="1">
        <f t="shared" si="2"/>
        <v>202472.16666666666</v>
      </c>
      <c r="I35" s="1">
        <f t="shared" si="1"/>
        <v>227543</v>
      </c>
      <c r="J35" s="1">
        <f>Decomposition!I44</f>
        <v>248358.39782737583</v>
      </c>
      <c r="K35" s="31">
        <v>227543</v>
      </c>
    </row>
    <row r="36" spans="1:11" x14ac:dyDescent="0.3">
      <c r="A36">
        <v>35</v>
      </c>
      <c r="B36" s="30">
        <v>43405</v>
      </c>
      <c r="C36" s="31">
        <v>261261</v>
      </c>
      <c r="D36">
        <f t="shared" si="3"/>
        <v>7.1976333400350409E-2</v>
      </c>
      <c r="E36">
        <f t="shared" si="4"/>
        <v>7.1976333400350409E-2</v>
      </c>
      <c r="F36">
        <f t="shared" si="5"/>
        <v>0</v>
      </c>
      <c r="G36">
        <f t="shared" si="6"/>
        <v>0</v>
      </c>
      <c r="H36" s="1">
        <f t="shared" si="2"/>
        <v>215240.83333333334</v>
      </c>
      <c r="I36" s="1">
        <f t="shared" si="1"/>
        <v>261261</v>
      </c>
      <c r="J36" s="1">
        <f>Decomposition!I45</f>
        <v>223141.04403391507</v>
      </c>
      <c r="K36" s="31">
        <v>261261</v>
      </c>
    </row>
    <row r="37" spans="1:11" ht="13.8" thickBot="1" x14ac:dyDescent="0.35">
      <c r="A37">
        <v>36</v>
      </c>
      <c r="B37" s="30">
        <v>43435</v>
      </c>
      <c r="C37" s="32">
        <v>293385</v>
      </c>
      <c r="D37">
        <f t="shared" si="3"/>
        <v>0.14868251047335657</v>
      </c>
      <c r="E37">
        <f t="shared" si="4"/>
        <v>0.14868251047335657</v>
      </c>
      <c r="F37">
        <f t="shared" si="5"/>
        <v>0</v>
      </c>
      <c r="G37">
        <f t="shared" si="6"/>
        <v>0</v>
      </c>
      <c r="H37" s="1">
        <f t="shared" si="2"/>
        <v>236234.66666666666</v>
      </c>
      <c r="I37" s="1">
        <f t="shared" si="1"/>
        <v>293385</v>
      </c>
      <c r="J37" s="1">
        <f>Decomposition!I46</f>
        <v>210786.67326966047</v>
      </c>
      <c r="K37" s="32">
        <v>293385</v>
      </c>
    </row>
    <row r="38" spans="1:11" x14ac:dyDescent="0.3">
      <c r="A38">
        <v>37</v>
      </c>
      <c r="B38" s="30">
        <v>43466</v>
      </c>
      <c r="C38" s="31">
        <v>321304</v>
      </c>
      <c r="D38">
        <f t="shared" si="3"/>
        <v>0.16579224266173215</v>
      </c>
      <c r="E38">
        <f t="shared" si="4"/>
        <v>0.16579224266173215</v>
      </c>
      <c r="F38">
        <f t="shared" si="5"/>
        <v>0</v>
      </c>
      <c r="G38">
        <f t="shared" si="6"/>
        <v>0</v>
      </c>
      <c r="H38" s="1">
        <f t="shared" si="2"/>
        <v>253875.5</v>
      </c>
      <c r="I38" s="1">
        <f t="shared" si="1"/>
        <v>321304</v>
      </c>
      <c r="J38" s="1">
        <f>Decomposition!I47</f>
        <v>211314.65503784781</v>
      </c>
      <c r="K38" s="31">
        <v>321304</v>
      </c>
    </row>
    <row r="39" spans="1:11" x14ac:dyDescent="0.3">
      <c r="A39">
        <v>38</v>
      </c>
      <c r="B39" s="30">
        <v>43497</v>
      </c>
      <c r="C39" s="31">
        <v>237633</v>
      </c>
      <c r="D39">
        <f t="shared" si="3"/>
        <v>0.1068605577318099</v>
      </c>
      <c r="E39">
        <f t="shared" si="4"/>
        <v>0.1068605577318099</v>
      </c>
      <c r="F39">
        <f t="shared" si="5"/>
        <v>0</v>
      </c>
      <c r="G39">
        <f t="shared" si="6"/>
        <v>0</v>
      </c>
      <c r="H39" s="1">
        <f t="shared" si="2"/>
        <v>259543</v>
      </c>
      <c r="I39" s="1">
        <f t="shared" si="1"/>
        <v>237633</v>
      </c>
      <c r="J39" s="1">
        <f>Decomposition!I48</f>
        <v>209186.48310612343</v>
      </c>
      <c r="K39" s="31">
        <v>237633</v>
      </c>
    </row>
    <row r="40" spans="1:11" x14ac:dyDescent="0.3">
      <c r="A40">
        <v>39</v>
      </c>
      <c r="B40" s="30">
        <v>43525</v>
      </c>
      <c r="C40" s="31">
        <v>261862</v>
      </c>
      <c r="D40">
        <f t="shared" si="3"/>
        <v>0.18533573543124598</v>
      </c>
      <c r="E40">
        <f t="shared" si="4"/>
        <v>0.18533573543124598</v>
      </c>
      <c r="F40">
        <f t="shared" si="5"/>
        <v>0</v>
      </c>
      <c r="G40">
        <f t="shared" si="6"/>
        <v>0</v>
      </c>
      <c r="H40" s="1">
        <f t="shared" si="2"/>
        <v>267164.66666666669</v>
      </c>
      <c r="I40" s="1">
        <f t="shared" si="1"/>
        <v>261862</v>
      </c>
      <c r="J40" s="1">
        <f>Decomposition!I49</f>
        <v>229267.00572267364</v>
      </c>
      <c r="K40" s="31">
        <v>261862</v>
      </c>
    </row>
    <row r="41" spans="1:11" x14ac:dyDescent="0.3">
      <c r="A41">
        <v>40</v>
      </c>
      <c r="B41" s="30">
        <v>43556</v>
      </c>
      <c r="C41" s="31">
        <v>239694</v>
      </c>
      <c r="D41">
        <f t="shared" si="3"/>
        <v>0.18165504865760232</v>
      </c>
      <c r="E41">
        <f t="shared" si="4"/>
        <v>0.18165504865760232</v>
      </c>
      <c r="F41">
        <f t="shared" si="5"/>
        <v>0</v>
      </c>
      <c r="G41">
        <f t="shared" si="6"/>
        <v>0</v>
      </c>
      <c r="H41" s="1">
        <f t="shared" si="2"/>
        <v>269189.83333333331</v>
      </c>
      <c r="I41" s="1">
        <f t="shared" si="1"/>
        <v>239694</v>
      </c>
      <c r="J41" s="1">
        <f>Decomposition!I50</f>
        <v>268971.77799769148</v>
      </c>
      <c r="K41" s="31">
        <v>239694</v>
      </c>
    </row>
    <row r="42" spans="1:11" x14ac:dyDescent="0.3">
      <c r="A42">
        <v>41</v>
      </c>
      <c r="B42" s="30">
        <v>43586</v>
      </c>
      <c r="C42" s="31">
        <v>209733</v>
      </c>
      <c r="D42">
        <f t="shared" si="3"/>
        <v>0.13584693120460983</v>
      </c>
      <c r="E42">
        <f t="shared" si="4"/>
        <v>0.13584693120460983</v>
      </c>
      <c r="F42">
        <f t="shared" si="5"/>
        <v>0</v>
      </c>
      <c r="G42">
        <f t="shared" si="6"/>
        <v>0</v>
      </c>
      <c r="H42" s="1">
        <f t="shared" si="2"/>
        <v>260601.83333333334</v>
      </c>
      <c r="I42" s="1">
        <f t="shared" si="1"/>
        <v>209733</v>
      </c>
      <c r="J42" s="1">
        <f>Decomposition!I51</f>
        <v>288418.04331912613</v>
      </c>
      <c r="K42" s="31">
        <v>209733</v>
      </c>
    </row>
    <row r="43" spans="1:11" x14ac:dyDescent="0.3">
      <c r="A43">
        <v>42</v>
      </c>
      <c r="B43" s="30">
        <v>43617</v>
      </c>
      <c r="C43" s="31">
        <v>197587</v>
      </c>
      <c r="D43">
        <f t="shared" si="3"/>
        <v>0.18017345390689396</v>
      </c>
      <c r="E43">
        <f t="shared" si="4"/>
        <v>0.18017345390689396</v>
      </c>
      <c r="F43">
        <f t="shared" si="5"/>
        <v>0</v>
      </c>
      <c r="G43">
        <f t="shared" si="6"/>
        <v>0</v>
      </c>
      <c r="H43" s="1">
        <f t="shared" si="2"/>
        <v>244635.5</v>
      </c>
      <c r="I43" s="1">
        <f t="shared" si="1"/>
        <v>197587</v>
      </c>
      <c r="J43" s="1">
        <f>Decomposition!I52</f>
        <v>293235.88503342948</v>
      </c>
      <c r="K43" s="31">
        <v>197587</v>
      </c>
    </row>
    <row r="44" spans="1:11" x14ac:dyDescent="0.3">
      <c r="A44">
        <v>43</v>
      </c>
      <c r="B44" s="30">
        <v>43647</v>
      </c>
      <c r="C44" s="31">
        <v>244027</v>
      </c>
      <c r="D44">
        <f t="shared" si="3"/>
        <v>0.1325913514868258</v>
      </c>
      <c r="E44">
        <f t="shared" si="4"/>
        <v>0.1325913514868258</v>
      </c>
      <c r="F44">
        <f t="shared" si="5"/>
        <v>0</v>
      </c>
      <c r="G44">
        <f t="shared" si="6"/>
        <v>0</v>
      </c>
      <c r="H44" s="1">
        <f t="shared" si="2"/>
        <v>231756</v>
      </c>
      <c r="I44" s="1">
        <f t="shared" si="1"/>
        <v>244027</v>
      </c>
      <c r="J44" s="1">
        <f>Decomposition!I53</f>
        <v>285074.77091910731</v>
      </c>
      <c r="K44" s="31">
        <v>244027</v>
      </c>
    </row>
    <row r="45" spans="1:11" x14ac:dyDescent="0.3">
      <c r="A45">
        <v>44</v>
      </c>
      <c r="B45" s="30">
        <v>43678</v>
      </c>
      <c r="C45" s="31">
        <v>216649</v>
      </c>
      <c r="D45">
        <f t="shared" si="3"/>
        <v>6.394503702830652E-2</v>
      </c>
      <c r="E45">
        <f t="shared" si="4"/>
        <v>6.394503702830652E-2</v>
      </c>
      <c r="F45">
        <f t="shared" si="5"/>
        <v>0</v>
      </c>
      <c r="G45">
        <f t="shared" si="6"/>
        <v>0</v>
      </c>
      <c r="H45" s="1">
        <f t="shared" si="2"/>
        <v>228258.66666666666</v>
      </c>
      <c r="I45" s="1">
        <f t="shared" si="1"/>
        <v>216649</v>
      </c>
      <c r="J45" s="1">
        <f>Decomposition!I54</f>
        <v>286470.72305539506</v>
      </c>
      <c r="K45" s="31">
        <v>216649</v>
      </c>
    </row>
    <row r="46" spans="1:11" x14ac:dyDescent="0.3">
      <c r="A46">
        <v>45</v>
      </c>
      <c r="B46" s="30">
        <v>43709</v>
      </c>
      <c r="C46" s="31">
        <v>225687</v>
      </c>
      <c r="D46">
        <f t="shared" ref="D46:D77" si="7">(C46-C34)/C34</f>
        <v>4.4209094442285268E-2</v>
      </c>
      <c r="E46">
        <f t="shared" si="4"/>
        <v>4.4209094442285268E-2</v>
      </c>
      <c r="F46">
        <f t="shared" si="5"/>
        <v>0</v>
      </c>
      <c r="G46">
        <f t="shared" si="6"/>
        <v>0</v>
      </c>
      <c r="H46" s="1">
        <f t="shared" si="2"/>
        <v>222229.5</v>
      </c>
      <c r="I46" s="1">
        <f t="shared" si="1"/>
        <v>225687</v>
      </c>
      <c r="J46" s="1">
        <f>Decomposition!I55</f>
        <v>275889.20651103667</v>
      </c>
      <c r="K46" s="31">
        <v>225687</v>
      </c>
    </row>
    <row r="47" spans="1:11" x14ac:dyDescent="0.3">
      <c r="A47">
        <v>46</v>
      </c>
      <c r="B47" s="30">
        <v>43739</v>
      </c>
      <c r="C47" s="31">
        <v>225655</v>
      </c>
      <c r="D47">
        <f t="shared" si="7"/>
        <v>-8.2973328118201833E-3</v>
      </c>
      <c r="E47">
        <f t="shared" si="4"/>
        <v>8.2973328118201833E-3</v>
      </c>
      <c r="F47">
        <f t="shared" si="5"/>
        <v>0</v>
      </c>
      <c r="G47">
        <f t="shared" si="6"/>
        <v>0</v>
      </c>
      <c r="H47" s="1">
        <f t="shared" si="2"/>
        <v>219889.66666666666</v>
      </c>
      <c r="I47" s="1">
        <f t="shared" si="1"/>
        <v>225655</v>
      </c>
      <c r="J47" s="1">
        <f>Decomposition!I56</f>
        <v>246297.68554399165</v>
      </c>
      <c r="K47" s="31">
        <v>225655</v>
      </c>
    </row>
    <row r="48" spans="1:11" x14ac:dyDescent="0.3">
      <c r="A48">
        <v>47</v>
      </c>
      <c r="B48" s="30">
        <v>43770</v>
      </c>
      <c r="C48" s="31">
        <v>247326</v>
      </c>
      <c r="D48">
        <f t="shared" si="7"/>
        <v>-5.3337467130570582E-2</v>
      </c>
      <c r="E48">
        <f t="shared" si="4"/>
        <v>5.3337467130570582E-2</v>
      </c>
      <c r="F48">
        <f t="shared" si="5"/>
        <v>0</v>
      </c>
      <c r="G48">
        <f t="shared" si="6"/>
        <v>0</v>
      </c>
      <c r="H48" s="1">
        <f t="shared" si="2"/>
        <v>226155.16666666666</v>
      </c>
      <c r="I48" s="1">
        <f t="shared" si="1"/>
        <v>247326</v>
      </c>
      <c r="J48" s="1">
        <f>Decomposition!I57</f>
        <v>211239.26593227492</v>
      </c>
      <c r="K48" s="31">
        <v>247326</v>
      </c>
    </row>
    <row r="49" spans="1:11" ht="13.8" thickBot="1" x14ac:dyDescent="0.35">
      <c r="A49">
        <v>48</v>
      </c>
      <c r="B49" s="30">
        <v>43800</v>
      </c>
      <c r="C49" s="32">
        <v>306382</v>
      </c>
      <c r="D49">
        <f t="shared" si="7"/>
        <v>4.4300151677829476E-2</v>
      </c>
      <c r="E49">
        <f t="shared" si="4"/>
        <v>4.4300151677829476E-2</v>
      </c>
      <c r="F49">
        <f t="shared" si="5"/>
        <v>0</v>
      </c>
      <c r="G49">
        <f t="shared" si="6"/>
        <v>0</v>
      </c>
      <c r="H49" s="1">
        <f t="shared" si="2"/>
        <v>244287.66666666666</v>
      </c>
      <c r="I49" s="1">
        <f t="shared" si="1"/>
        <v>306382</v>
      </c>
      <c r="J49" s="1">
        <f>Decomposition!I58</f>
        <v>220124.55486717151</v>
      </c>
      <c r="K49" s="32">
        <v>306382</v>
      </c>
    </row>
    <row r="50" spans="1:11" x14ac:dyDescent="0.3">
      <c r="A50">
        <v>49</v>
      </c>
      <c r="B50" s="30">
        <v>43831</v>
      </c>
      <c r="C50" s="31">
        <v>308471</v>
      </c>
      <c r="D50">
        <f t="shared" si="7"/>
        <v>-3.994036800039838E-2</v>
      </c>
      <c r="E50">
        <f t="shared" si="4"/>
        <v>3.994036800039838E-2</v>
      </c>
      <c r="F50">
        <f t="shared" si="5"/>
        <v>0</v>
      </c>
      <c r="G50">
        <f t="shared" si="6"/>
        <v>0</v>
      </c>
      <c r="H50" s="1">
        <f t="shared" si="2"/>
        <v>255028.33333333334</v>
      </c>
      <c r="I50" s="1">
        <f t="shared" si="1"/>
        <v>308471</v>
      </c>
      <c r="J50" s="1">
        <f>Decomposition!I59</f>
        <v>202874.66995175893</v>
      </c>
      <c r="K50" s="31">
        <v>308471</v>
      </c>
    </row>
    <row r="51" spans="1:11" x14ac:dyDescent="0.3">
      <c r="A51">
        <v>50</v>
      </c>
      <c r="B51" s="30">
        <v>43862</v>
      </c>
      <c r="C51" s="31">
        <v>255005</v>
      </c>
      <c r="D51">
        <f t="shared" si="7"/>
        <v>7.3104324736042559E-2</v>
      </c>
      <c r="E51">
        <f t="shared" si="4"/>
        <v>7.3104324736042559E-2</v>
      </c>
      <c r="F51">
        <f t="shared" si="5"/>
        <v>0</v>
      </c>
      <c r="G51">
        <f t="shared" si="6"/>
        <v>0</v>
      </c>
      <c r="H51" s="1">
        <f t="shared" si="2"/>
        <v>261421</v>
      </c>
      <c r="I51" s="1">
        <f t="shared" si="1"/>
        <v>255005</v>
      </c>
      <c r="J51" s="1">
        <f>Decomposition!I60</f>
        <v>224478.91969750417</v>
      </c>
      <c r="K51" s="31">
        <v>255005</v>
      </c>
    </row>
    <row r="52" spans="1:11" x14ac:dyDescent="0.3">
      <c r="A52">
        <v>51</v>
      </c>
      <c r="B52" s="30">
        <v>43891</v>
      </c>
      <c r="C52" s="31">
        <v>118614</v>
      </c>
      <c r="D52">
        <f t="shared" si="7"/>
        <v>-0.54703622518731243</v>
      </c>
      <c r="E52">
        <f t="shared" si="4"/>
        <v>0.54703622518731243</v>
      </c>
      <c r="F52">
        <f t="shared" si="5"/>
        <v>1</v>
      </c>
      <c r="G52">
        <f t="shared" si="6"/>
        <v>0</v>
      </c>
      <c r="H52" s="1">
        <f t="shared" si="2"/>
        <v>243575.5</v>
      </c>
      <c r="I52" s="1">
        <f t="shared" si="1"/>
        <v>118614</v>
      </c>
      <c r="J52" s="1">
        <f>Decomposition!I61</f>
        <v>103849.6483521443</v>
      </c>
      <c r="K52">
        <f>AVERAGE($C$2:$C$103)</f>
        <v>169408.91176470587</v>
      </c>
    </row>
    <row r="53" spans="1:11" x14ac:dyDescent="0.3">
      <c r="A53">
        <v>52</v>
      </c>
      <c r="B53" s="30">
        <v>43922</v>
      </c>
      <c r="C53" s="31">
        <v>0</v>
      </c>
      <c r="D53">
        <f t="shared" si="7"/>
        <v>-1</v>
      </c>
      <c r="E53">
        <f t="shared" si="4"/>
        <v>1</v>
      </c>
      <c r="F53">
        <f t="shared" si="5"/>
        <v>1</v>
      </c>
      <c r="G53">
        <f t="shared" si="6"/>
        <v>1</v>
      </c>
      <c r="H53" s="1">
        <f t="shared" si="2"/>
        <v>205966.33333333334</v>
      </c>
      <c r="I53" s="1">
        <f t="shared" si="1"/>
        <v>205966.33333333334</v>
      </c>
      <c r="J53" s="1">
        <f>Decomposition!I62</f>
        <v>0</v>
      </c>
      <c r="K53">
        <f t="shared" ref="K53:K76" si="8">AVERAGE($C$2:$C$103)</f>
        <v>169408.91176470587</v>
      </c>
    </row>
    <row r="54" spans="1:11" x14ac:dyDescent="0.3">
      <c r="A54">
        <v>53</v>
      </c>
      <c r="B54" s="30">
        <v>43952</v>
      </c>
      <c r="C54" s="31">
        <v>0</v>
      </c>
      <c r="D54">
        <f t="shared" si="7"/>
        <v>-1</v>
      </c>
      <c r="E54">
        <f t="shared" si="4"/>
        <v>1</v>
      </c>
      <c r="F54">
        <f t="shared" si="5"/>
        <v>1</v>
      </c>
      <c r="G54">
        <f t="shared" si="6"/>
        <v>1</v>
      </c>
      <c r="H54" s="1">
        <f t="shared" si="2"/>
        <v>164745.33333333334</v>
      </c>
      <c r="I54" s="1">
        <f t="shared" si="1"/>
        <v>164745.33333333334</v>
      </c>
      <c r="J54" s="1">
        <f>Decomposition!I63</f>
        <v>0</v>
      </c>
      <c r="K54">
        <f t="shared" si="8"/>
        <v>169408.91176470587</v>
      </c>
    </row>
    <row r="55" spans="1:11" x14ac:dyDescent="0.3">
      <c r="A55">
        <v>54</v>
      </c>
      <c r="B55" s="30">
        <v>43983</v>
      </c>
      <c r="C55" s="31">
        <v>0</v>
      </c>
      <c r="D55">
        <f t="shared" si="7"/>
        <v>-1</v>
      </c>
      <c r="E55">
        <f t="shared" si="4"/>
        <v>1</v>
      </c>
      <c r="F55">
        <f t="shared" si="5"/>
        <v>1</v>
      </c>
      <c r="G55">
        <f t="shared" si="6"/>
        <v>1</v>
      </c>
      <c r="H55" s="1">
        <f t="shared" si="2"/>
        <v>113681.66666666667</v>
      </c>
      <c r="I55" s="1">
        <f t="shared" si="1"/>
        <v>113681.66666666667</v>
      </c>
      <c r="J55" s="1">
        <f>Decomposition!I64</f>
        <v>0</v>
      </c>
      <c r="K55">
        <f t="shared" si="8"/>
        <v>169408.91176470587</v>
      </c>
    </row>
    <row r="56" spans="1:11" x14ac:dyDescent="0.3">
      <c r="A56">
        <v>55</v>
      </c>
      <c r="B56" s="30">
        <v>44013</v>
      </c>
      <c r="C56" s="31">
        <v>495</v>
      </c>
      <c r="D56">
        <f t="shared" si="7"/>
        <v>-0.99797153593659715</v>
      </c>
      <c r="E56">
        <f t="shared" si="4"/>
        <v>0.99797153593659715</v>
      </c>
      <c r="F56">
        <f t="shared" si="5"/>
        <v>1</v>
      </c>
      <c r="G56">
        <f t="shared" si="6"/>
        <v>1</v>
      </c>
      <c r="H56" s="1">
        <f t="shared" si="2"/>
        <v>62352.333333333336</v>
      </c>
      <c r="I56" s="1">
        <f t="shared" si="1"/>
        <v>62352.333333333336</v>
      </c>
      <c r="J56" s="1">
        <f>Decomposition!I65</f>
        <v>578.26392819220052</v>
      </c>
      <c r="K56">
        <f t="shared" si="8"/>
        <v>169408.91176470587</v>
      </c>
    </row>
    <row r="57" spans="1:11" x14ac:dyDescent="0.3">
      <c r="A57">
        <v>56</v>
      </c>
      <c r="B57" s="30">
        <v>44044</v>
      </c>
      <c r="C57" s="31">
        <v>890</v>
      </c>
      <c r="D57">
        <f t="shared" si="7"/>
        <v>-0.99589197273008412</v>
      </c>
      <c r="E57">
        <f t="shared" si="4"/>
        <v>0.99589197273008412</v>
      </c>
      <c r="F57">
        <f t="shared" si="5"/>
        <v>1</v>
      </c>
      <c r="G57">
        <f t="shared" si="6"/>
        <v>1</v>
      </c>
      <c r="H57" s="1">
        <f t="shared" si="2"/>
        <v>19999.833333333332</v>
      </c>
      <c r="I57" s="1">
        <f t="shared" si="1"/>
        <v>19999.833333333332</v>
      </c>
      <c r="J57" s="1">
        <f>Decomposition!I66</f>
        <v>1176.8295423440757</v>
      </c>
      <c r="K57">
        <f t="shared" si="8"/>
        <v>169408.91176470587</v>
      </c>
    </row>
    <row r="58" spans="1:11" ht="13.8" thickBot="1" x14ac:dyDescent="0.35">
      <c r="A58">
        <v>57</v>
      </c>
      <c r="B58" s="30">
        <v>44075</v>
      </c>
      <c r="C58" s="32">
        <v>1392</v>
      </c>
      <c r="D58">
        <f t="shared" si="7"/>
        <v>-0.99383216578712996</v>
      </c>
      <c r="E58">
        <f t="shared" si="4"/>
        <v>0.99383216578712996</v>
      </c>
      <c r="F58">
        <f t="shared" si="5"/>
        <v>1</v>
      </c>
      <c r="G58">
        <f t="shared" si="6"/>
        <v>1</v>
      </c>
      <c r="H58" s="1">
        <f t="shared" si="2"/>
        <v>462.83333333333331</v>
      </c>
      <c r="I58" s="1">
        <f t="shared" si="1"/>
        <v>462.83333333333331</v>
      </c>
      <c r="J58" s="1">
        <f>Decomposition!I67</f>
        <v>1701.6388868803388</v>
      </c>
      <c r="K58">
        <f t="shared" si="8"/>
        <v>169408.91176470587</v>
      </c>
    </row>
    <row r="59" spans="1:11" x14ac:dyDescent="0.3">
      <c r="A59">
        <v>58</v>
      </c>
      <c r="B59" s="30">
        <v>44105</v>
      </c>
      <c r="C59" s="31">
        <v>1829</v>
      </c>
      <c r="D59">
        <f t="shared" si="7"/>
        <v>-0.99189470652101663</v>
      </c>
      <c r="E59">
        <f t="shared" si="4"/>
        <v>0.99189470652101663</v>
      </c>
      <c r="F59">
        <f t="shared" si="5"/>
        <v>1</v>
      </c>
      <c r="G59">
        <f t="shared" si="6"/>
        <v>1</v>
      </c>
      <c r="H59" s="1">
        <f t="shared" si="2"/>
        <v>767.66666666666663</v>
      </c>
      <c r="I59" s="1">
        <f t="shared" si="1"/>
        <v>767.66666666666663</v>
      </c>
      <c r="J59" s="1">
        <f>Decomposition!I68</f>
        <v>1996.3150245284205</v>
      </c>
      <c r="K59">
        <f t="shared" si="8"/>
        <v>169408.91176470587</v>
      </c>
    </row>
    <row r="60" spans="1:11" x14ac:dyDescent="0.3">
      <c r="A60">
        <v>59</v>
      </c>
      <c r="B60" s="30">
        <v>44136</v>
      </c>
      <c r="C60" s="31">
        <v>3897</v>
      </c>
      <c r="D60">
        <f t="shared" si="7"/>
        <v>-0.98424346813517383</v>
      </c>
      <c r="E60">
        <f t="shared" si="4"/>
        <v>0.98424346813517383</v>
      </c>
      <c r="F60">
        <f t="shared" si="5"/>
        <v>1</v>
      </c>
      <c r="G60">
        <f t="shared" si="6"/>
        <v>1</v>
      </c>
      <c r="H60" s="1">
        <f t="shared" si="2"/>
        <v>1417.1666666666667</v>
      </c>
      <c r="I60" s="1">
        <f t="shared" si="1"/>
        <v>1417.1666666666667</v>
      </c>
      <c r="J60" s="1">
        <f>Decomposition!I69</f>
        <v>3328.3982247643812</v>
      </c>
      <c r="K60">
        <f t="shared" si="8"/>
        <v>169408.91176470587</v>
      </c>
    </row>
    <row r="61" spans="1:11" x14ac:dyDescent="0.3">
      <c r="A61">
        <v>60</v>
      </c>
      <c r="B61" s="30">
        <v>44166</v>
      </c>
      <c r="C61" s="31">
        <v>7865</v>
      </c>
      <c r="D61">
        <f t="shared" si="7"/>
        <v>-0.97432943188568522</v>
      </c>
      <c r="E61">
        <f t="shared" si="4"/>
        <v>0.97432943188568522</v>
      </c>
      <c r="F61">
        <f t="shared" si="5"/>
        <v>1</v>
      </c>
      <c r="G61">
        <f t="shared" si="6"/>
        <v>1</v>
      </c>
      <c r="H61" s="1">
        <f t="shared" si="2"/>
        <v>2728</v>
      </c>
      <c r="I61" s="1">
        <f t="shared" si="1"/>
        <v>2728</v>
      </c>
      <c r="J61" s="1">
        <f>Decomposition!I70</f>
        <v>5650.7223793509538</v>
      </c>
      <c r="K61">
        <f t="shared" si="8"/>
        <v>169408.91176470587</v>
      </c>
    </row>
    <row r="62" spans="1:11" x14ac:dyDescent="0.3">
      <c r="A62">
        <v>61</v>
      </c>
      <c r="B62" s="30">
        <v>44197</v>
      </c>
      <c r="C62" s="31">
        <v>8229</v>
      </c>
      <c r="D62">
        <f t="shared" si="7"/>
        <v>-0.97332326215430298</v>
      </c>
      <c r="E62">
        <f t="shared" si="4"/>
        <v>0.97332326215430298</v>
      </c>
      <c r="F62">
        <f t="shared" si="5"/>
        <v>1</v>
      </c>
      <c r="G62">
        <f t="shared" si="6"/>
        <v>1</v>
      </c>
      <c r="H62" s="1">
        <f t="shared" si="2"/>
        <v>4017</v>
      </c>
      <c r="I62" s="1">
        <f t="shared" si="1"/>
        <v>4017</v>
      </c>
      <c r="J62" s="1">
        <f>Decomposition!I71</f>
        <v>5412.0343858353754</v>
      </c>
      <c r="K62">
        <f t="shared" si="8"/>
        <v>169408.91176470587</v>
      </c>
    </row>
    <row r="63" spans="1:11" x14ac:dyDescent="0.3">
      <c r="A63">
        <v>62</v>
      </c>
      <c r="B63" s="30">
        <v>44228</v>
      </c>
      <c r="C63" s="31">
        <v>3648</v>
      </c>
      <c r="D63">
        <f t="shared" si="7"/>
        <v>-0.98569439814905591</v>
      </c>
      <c r="E63">
        <f t="shared" si="4"/>
        <v>0.98569439814905591</v>
      </c>
      <c r="F63">
        <f t="shared" si="5"/>
        <v>1</v>
      </c>
      <c r="G63">
        <f t="shared" si="6"/>
        <v>1</v>
      </c>
      <c r="H63" s="1">
        <f t="shared" si="2"/>
        <v>4476.666666666667</v>
      </c>
      <c r="I63" s="1">
        <f t="shared" si="1"/>
        <v>4476.666666666667</v>
      </c>
      <c r="J63" s="1">
        <f>Decomposition!I72</f>
        <v>3211.3060491225474</v>
      </c>
      <c r="K63">
        <f t="shared" si="8"/>
        <v>169408.91176470587</v>
      </c>
    </row>
    <row r="64" spans="1:11" x14ac:dyDescent="0.3">
      <c r="A64">
        <v>63</v>
      </c>
      <c r="B64" s="30">
        <v>44256</v>
      </c>
      <c r="C64" s="31">
        <v>5784</v>
      </c>
      <c r="D64">
        <f t="shared" si="7"/>
        <v>-0.95123678486519303</v>
      </c>
      <c r="E64">
        <f t="shared" si="4"/>
        <v>0.95123678486519303</v>
      </c>
      <c r="F64">
        <f t="shared" si="5"/>
        <v>1</v>
      </c>
      <c r="G64">
        <f t="shared" si="6"/>
        <v>1</v>
      </c>
      <c r="H64" s="1">
        <f t="shared" si="2"/>
        <v>5208.666666666667</v>
      </c>
      <c r="I64" s="1">
        <f t="shared" si="1"/>
        <v>5208.666666666667</v>
      </c>
      <c r="J64" s="1">
        <f>Decomposition!I73</f>
        <v>5064.04274426967</v>
      </c>
      <c r="K64">
        <f t="shared" si="8"/>
        <v>169408.91176470587</v>
      </c>
    </row>
    <row r="65" spans="1:11" x14ac:dyDescent="0.3">
      <c r="A65">
        <v>64</v>
      </c>
      <c r="B65" s="30">
        <v>44287</v>
      </c>
      <c r="C65" s="31">
        <v>4959</v>
      </c>
      <c r="D65">
        <v>0</v>
      </c>
      <c r="E65">
        <f t="shared" si="4"/>
        <v>0</v>
      </c>
      <c r="F65">
        <f t="shared" si="5"/>
        <v>0</v>
      </c>
      <c r="G65">
        <f t="shared" si="6"/>
        <v>1</v>
      </c>
      <c r="H65" s="1">
        <f t="shared" si="2"/>
        <v>5730.333333333333</v>
      </c>
      <c r="I65" s="1">
        <f t="shared" si="1"/>
        <v>5730.333333333333</v>
      </c>
      <c r="J65" s="1">
        <f>Decomposition!I74</f>
        <v>5564.7243864700486</v>
      </c>
      <c r="K65">
        <f t="shared" si="8"/>
        <v>169408.91176470587</v>
      </c>
    </row>
    <row r="66" spans="1:11" x14ac:dyDescent="0.3">
      <c r="A66">
        <v>65</v>
      </c>
      <c r="B66" s="30">
        <v>44317</v>
      </c>
      <c r="C66" s="31">
        <v>3361</v>
      </c>
      <c r="D66">
        <v>0</v>
      </c>
      <c r="E66">
        <f t="shared" si="4"/>
        <v>0</v>
      </c>
      <c r="F66">
        <f t="shared" si="5"/>
        <v>0</v>
      </c>
      <c r="G66">
        <f t="shared" ref="G66:G100" si="9">IF(C66&gt;$M$2,0,1)</f>
        <v>1</v>
      </c>
      <c r="H66" s="1">
        <f t="shared" si="2"/>
        <v>5641</v>
      </c>
      <c r="I66" s="1">
        <f t="shared" si="1"/>
        <v>5641</v>
      </c>
      <c r="J66" s="1">
        <f>Decomposition!I75</f>
        <v>4621.9385771222596</v>
      </c>
      <c r="K66">
        <f t="shared" si="8"/>
        <v>169408.91176470587</v>
      </c>
    </row>
    <row r="67" spans="1:11" x14ac:dyDescent="0.3">
      <c r="A67">
        <v>66</v>
      </c>
      <c r="B67" s="30">
        <v>44348</v>
      </c>
      <c r="C67" s="31">
        <v>2643</v>
      </c>
      <c r="D67">
        <v>0</v>
      </c>
      <c r="E67">
        <f t="shared" si="4"/>
        <v>0</v>
      </c>
      <c r="F67">
        <f t="shared" si="5"/>
        <v>0</v>
      </c>
      <c r="G67">
        <f t="shared" si="9"/>
        <v>1</v>
      </c>
      <c r="H67" s="1">
        <f t="shared" si="2"/>
        <v>4770.666666666667</v>
      </c>
      <c r="I67" s="1">
        <f t="shared" ref="I67:I100" si="10">IF(G67=0,C67,H67)</f>
        <v>4770.666666666667</v>
      </c>
      <c r="J67" s="1">
        <f>Decomposition!I76</f>
        <v>3922.4364160767364</v>
      </c>
      <c r="K67">
        <f t="shared" si="8"/>
        <v>169408.91176470587</v>
      </c>
    </row>
    <row r="68" spans="1:11" x14ac:dyDescent="0.3">
      <c r="A68">
        <v>67</v>
      </c>
      <c r="B68" s="30">
        <v>44378</v>
      </c>
      <c r="C68" s="31">
        <v>2004</v>
      </c>
      <c r="D68">
        <f t="shared" si="7"/>
        <v>3.0484848484848484</v>
      </c>
      <c r="E68">
        <f t="shared" si="4"/>
        <v>3.0484848484848484</v>
      </c>
      <c r="F68">
        <f t="shared" si="5"/>
        <v>1</v>
      </c>
      <c r="G68">
        <f t="shared" si="9"/>
        <v>1</v>
      </c>
      <c r="H68" s="1">
        <f t="shared" si="2"/>
        <v>3733.1666666666665</v>
      </c>
      <c r="I68" s="1">
        <f t="shared" si="10"/>
        <v>3733.1666666666665</v>
      </c>
      <c r="J68" s="1">
        <f>Decomposition!I77</f>
        <v>2341.0927517114542</v>
      </c>
      <c r="K68">
        <f t="shared" si="8"/>
        <v>169408.91176470587</v>
      </c>
    </row>
    <row r="69" spans="1:11" x14ac:dyDescent="0.3">
      <c r="A69">
        <v>68</v>
      </c>
      <c r="B69" s="30">
        <v>44409</v>
      </c>
      <c r="C69" s="31">
        <v>1883</v>
      </c>
      <c r="D69">
        <f t="shared" si="7"/>
        <v>1.1157303370786518</v>
      </c>
      <c r="E69">
        <f t="shared" si="4"/>
        <v>1.1157303370786518</v>
      </c>
      <c r="F69">
        <f t="shared" si="5"/>
        <v>1</v>
      </c>
      <c r="G69">
        <f t="shared" si="9"/>
        <v>1</v>
      </c>
      <c r="H69" s="1">
        <f t="shared" si="2"/>
        <v>3439</v>
      </c>
      <c r="I69" s="1">
        <f t="shared" si="10"/>
        <v>3439</v>
      </c>
      <c r="J69" s="1">
        <f>Decomposition!I78</f>
        <v>2489.8539643077465</v>
      </c>
      <c r="K69">
        <f t="shared" si="8"/>
        <v>169408.91176470587</v>
      </c>
    </row>
    <row r="70" spans="1:11" ht="13.8" thickBot="1" x14ac:dyDescent="0.35">
      <c r="A70">
        <v>69</v>
      </c>
      <c r="B70" s="30">
        <v>44440</v>
      </c>
      <c r="C70" s="32">
        <v>1959</v>
      </c>
      <c r="D70">
        <f t="shared" si="7"/>
        <v>0.40732758620689657</v>
      </c>
      <c r="E70">
        <f t="shared" si="4"/>
        <v>0.40732758620689657</v>
      </c>
      <c r="F70">
        <f t="shared" si="5"/>
        <v>0</v>
      </c>
      <c r="G70">
        <f t="shared" si="9"/>
        <v>1</v>
      </c>
      <c r="H70" s="1">
        <f t="shared" si="2"/>
        <v>2801.5</v>
      </c>
      <c r="I70" s="1">
        <f t="shared" si="10"/>
        <v>2801.5</v>
      </c>
      <c r="J70" s="1">
        <f>Decomposition!I79</f>
        <v>2394.7633472690973</v>
      </c>
      <c r="K70">
        <f t="shared" si="8"/>
        <v>169408.91176470587</v>
      </c>
    </row>
    <row r="71" spans="1:11" x14ac:dyDescent="0.3">
      <c r="A71">
        <v>70</v>
      </c>
      <c r="B71" s="30">
        <v>44470</v>
      </c>
      <c r="C71" s="31">
        <v>9770</v>
      </c>
      <c r="D71">
        <f t="shared" si="7"/>
        <v>4.3417167851284857</v>
      </c>
      <c r="E71">
        <f t="shared" si="4"/>
        <v>4.3417167851284857</v>
      </c>
      <c r="F71">
        <f t="shared" si="5"/>
        <v>1</v>
      </c>
      <c r="G71">
        <f t="shared" si="9"/>
        <v>1</v>
      </c>
      <c r="H71" s="1">
        <f t="shared" si="2"/>
        <v>3603.3333333333335</v>
      </c>
      <c r="I71" s="1">
        <f t="shared" si="10"/>
        <v>3603.3333333333335</v>
      </c>
      <c r="J71" s="1">
        <f>Decomposition!I80</f>
        <v>10663.749474927648</v>
      </c>
      <c r="K71">
        <f t="shared" si="8"/>
        <v>169408.91176470587</v>
      </c>
    </row>
    <row r="72" spans="1:11" x14ac:dyDescent="0.3">
      <c r="A72">
        <v>71</v>
      </c>
      <c r="B72" s="30">
        <v>44501</v>
      </c>
      <c r="C72" s="31">
        <v>35285</v>
      </c>
      <c r="D72">
        <f t="shared" si="7"/>
        <v>8.0544008211444709</v>
      </c>
      <c r="E72">
        <f t="shared" si="4"/>
        <v>8.0544008211444709</v>
      </c>
      <c r="F72">
        <f t="shared" si="5"/>
        <v>1</v>
      </c>
      <c r="G72">
        <f t="shared" si="9"/>
        <v>1</v>
      </c>
      <c r="H72" s="1">
        <f t="shared" ref="H72:H100" si="11">AVERAGE(C67:C72)</f>
        <v>8924</v>
      </c>
      <c r="I72" s="1">
        <f t="shared" si="10"/>
        <v>8924</v>
      </c>
      <c r="J72" s="1">
        <f>Decomposition!I81</f>
        <v>30136.651619402412</v>
      </c>
      <c r="K72">
        <f t="shared" si="8"/>
        <v>169408.91176470587</v>
      </c>
    </row>
    <row r="73" spans="1:11" x14ac:dyDescent="0.3">
      <c r="A73">
        <v>72</v>
      </c>
      <c r="B73" s="30">
        <v>44531</v>
      </c>
      <c r="C73" s="31">
        <v>53384</v>
      </c>
      <c r="D73">
        <f t="shared" si="7"/>
        <v>5.7875397329942784</v>
      </c>
      <c r="E73">
        <f t="shared" si="4"/>
        <v>5.7875397329942784</v>
      </c>
      <c r="F73">
        <f t="shared" si="5"/>
        <v>1</v>
      </c>
      <c r="G73">
        <f t="shared" si="9"/>
        <v>1</v>
      </c>
      <c r="H73" s="1">
        <f t="shared" si="11"/>
        <v>17380.833333333332</v>
      </c>
      <c r="I73" s="1">
        <f t="shared" si="10"/>
        <v>17380.833333333332</v>
      </c>
      <c r="J73" s="1">
        <f>Decomposition!I82</f>
        <v>38354.502669964568</v>
      </c>
      <c r="K73">
        <f t="shared" si="8"/>
        <v>169408.91176470587</v>
      </c>
    </row>
    <row r="74" spans="1:11" x14ac:dyDescent="0.3">
      <c r="A74">
        <v>73</v>
      </c>
      <c r="B74" s="30">
        <v>44562</v>
      </c>
      <c r="C74" s="31">
        <v>65077</v>
      </c>
      <c r="D74">
        <f t="shared" si="7"/>
        <v>6.9082513063555719</v>
      </c>
      <c r="E74">
        <f t="shared" si="4"/>
        <v>6.9082513063555719</v>
      </c>
      <c r="F74">
        <f t="shared" si="5"/>
        <v>1</v>
      </c>
      <c r="G74">
        <f t="shared" si="9"/>
        <v>1</v>
      </c>
      <c r="H74" s="1">
        <f t="shared" si="11"/>
        <v>27893</v>
      </c>
      <c r="I74" s="1">
        <f t="shared" si="10"/>
        <v>27893</v>
      </c>
      <c r="J74" s="1">
        <f>Decomposition!I83</f>
        <v>42799.728001823882</v>
      </c>
      <c r="K74">
        <f t="shared" si="8"/>
        <v>169408.91176470587</v>
      </c>
    </row>
    <row r="75" spans="1:11" x14ac:dyDescent="0.3">
      <c r="A75">
        <v>74</v>
      </c>
      <c r="B75" s="30">
        <v>44593</v>
      </c>
      <c r="C75" s="31">
        <v>54803</v>
      </c>
      <c r="D75">
        <f t="shared" si="7"/>
        <v>14.022752192982455</v>
      </c>
      <c r="E75">
        <f t="shared" si="4"/>
        <v>14.022752192982455</v>
      </c>
      <c r="F75">
        <f t="shared" si="5"/>
        <v>1</v>
      </c>
      <c r="G75">
        <f t="shared" si="9"/>
        <v>1</v>
      </c>
      <c r="H75" s="1">
        <f t="shared" si="11"/>
        <v>36713</v>
      </c>
      <c r="I75" s="1">
        <f t="shared" si="10"/>
        <v>36713</v>
      </c>
      <c r="J75" s="1">
        <f>Decomposition!I84</f>
        <v>48242.654991793577</v>
      </c>
      <c r="K75">
        <f t="shared" si="8"/>
        <v>169408.91176470587</v>
      </c>
    </row>
    <row r="76" spans="1:11" x14ac:dyDescent="0.3">
      <c r="A76">
        <v>75</v>
      </c>
      <c r="B76" s="30">
        <v>44621</v>
      </c>
      <c r="C76" s="31">
        <v>86454</v>
      </c>
      <c r="D76">
        <f t="shared" si="7"/>
        <v>13.947095435684647</v>
      </c>
      <c r="E76">
        <f t="shared" si="4"/>
        <v>13.947095435684647</v>
      </c>
      <c r="F76">
        <f t="shared" si="5"/>
        <v>1</v>
      </c>
      <c r="G76">
        <f t="shared" si="9"/>
        <v>1</v>
      </c>
      <c r="H76" s="1">
        <f t="shared" si="11"/>
        <v>50795.5</v>
      </c>
      <c r="I76" s="1">
        <f t="shared" si="10"/>
        <v>50795.5</v>
      </c>
      <c r="J76" s="1">
        <f>Decomposition!I85</f>
        <v>75692.730188985137</v>
      </c>
      <c r="K76">
        <f t="shared" si="8"/>
        <v>169408.91176470587</v>
      </c>
    </row>
    <row r="77" spans="1:11" x14ac:dyDescent="0.3">
      <c r="A77">
        <v>76</v>
      </c>
      <c r="B77" s="30">
        <v>44652</v>
      </c>
      <c r="C77" s="31">
        <v>117027</v>
      </c>
      <c r="D77">
        <f t="shared" si="7"/>
        <v>22.5989110707804</v>
      </c>
      <c r="E77">
        <f t="shared" si="4"/>
        <v>22.5989110707804</v>
      </c>
      <c r="F77">
        <f t="shared" si="5"/>
        <v>1</v>
      </c>
      <c r="G77">
        <f t="shared" si="9"/>
        <v>0</v>
      </c>
      <c r="H77" s="1">
        <f t="shared" si="11"/>
        <v>68671.666666666672</v>
      </c>
      <c r="I77" s="1">
        <f t="shared" si="10"/>
        <v>117027</v>
      </c>
      <c r="J77" s="1">
        <f>Decomposition!I86</f>
        <v>131321.4359297097</v>
      </c>
      <c r="K77" s="31">
        <v>147686</v>
      </c>
    </row>
    <row r="78" spans="1:11" x14ac:dyDescent="0.3">
      <c r="A78">
        <v>77</v>
      </c>
      <c r="B78" s="30">
        <v>44682</v>
      </c>
      <c r="C78" s="31">
        <v>112595</v>
      </c>
      <c r="D78">
        <f t="shared" ref="D78:D100" si="12">(C78-C66)/C66</f>
        <v>32.500446295745313</v>
      </c>
      <c r="E78">
        <f t="shared" si="4"/>
        <v>32.500446295745313</v>
      </c>
      <c r="F78">
        <f t="shared" si="5"/>
        <v>1</v>
      </c>
      <c r="G78">
        <f t="shared" si="9"/>
        <v>0</v>
      </c>
      <c r="H78" s="1">
        <f t="shared" si="11"/>
        <v>81556.666666666672</v>
      </c>
      <c r="I78" s="1">
        <f t="shared" si="10"/>
        <v>112595</v>
      </c>
      <c r="J78" s="1">
        <f>Decomposition!I87</f>
        <v>154837.00508511777</v>
      </c>
      <c r="K78" s="31">
        <v>143140</v>
      </c>
    </row>
    <row r="79" spans="1:11" x14ac:dyDescent="0.3">
      <c r="A79">
        <v>78</v>
      </c>
      <c r="B79" s="30">
        <v>44713</v>
      </c>
      <c r="C79" s="31">
        <v>104309</v>
      </c>
      <c r="D79">
        <f t="shared" si="12"/>
        <v>38.466136965569426</v>
      </c>
      <c r="E79">
        <f t="shared" ref="E79:E100" si="13">ABS(D79)</f>
        <v>38.466136965569426</v>
      </c>
      <c r="F79">
        <f t="shared" ref="F79:F103" si="14">IF(E79&lt;0.5,0,1)</f>
        <v>1</v>
      </c>
      <c r="G79">
        <f t="shared" si="9"/>
        <v>0</v>
      </c>
      <c r="H79" s="1">
        <f t="shared" si="11"/>
        <v>90044.166666666672</v>
      </c>
      <c r="I79" s="1">
        <f t="shared" si="10"/>
        <v>104309</v>
      </c>
      <c r="J79" s="1">
        <f>Decomposition!I88</f>
        <v>154803.41283562177</v>
      </c>
      <c r="K79" s="31">
        <v>147480</v>
      </c>
    </row>
    <row r="80" spans="1:11" x14ac:dyDescent="0.3">
      <c r="A80">
        <v>79</v>
      </c>
      <c r="B80" s="30">
        <v>44743</v>
      </c>
      <c r="C80" s="31">
        <v>147686</v>
      </c>
      <c r="D80">
        <f t="shared" si="12"/>
        <v>72.69560878243513</v>
      </c>
      <c r="E80">
        <f t="shared" si="13"/>
        <v>72.69560878243513</v>
      </c>
      <c r="F80">
        <f t="shared" si="14"/>
        <v>1</v>
      </c>
      <c r="G80">
        <f t="shared" si="9"/>
        <v>0</v>
      </c>
      <c r="H80" s="1">
        <f t="shared" si="11"/>
        <v>103812.33333333333</v>
      </c>
      <c r="I80" s="1">
        <f t="shared" si="10"/>
        <v>147686</v>
      </c>
      <c r="J80" s="1">
        <f>Decomposition!I89</f>
        <v>172528.25555352186</v>
      </c>
      <c r="K80" s="31">
        <v>165092</v>
      </c>
    </row>
    <row r="81" spans="1:11" x14ac:dyDescent="0.3">
      <c r="A81">
        <v>80</v>
      </c>
      <c r="B81" s="30">
        <v>44774</v>
      </c>
      <c r="C81" s="31">
        <v>143140</v>
      </c>
      <c r="D81">
        <f t="shared" si="12"/>
        <v>75.0169941582581</v>
      </c>
      <c r="E81">
        <f t="shared" si="13"/>
        <v>75.0169941582581</v>
      </c>
      <c r="F81">
        <f t="shared" si="14"/>
        <v>1</v>
      </c>
      <c r="G81">
        <f t="shared" si="9"/>
        <v>0</v>
      </c>
      <c r="H81" s="1">
        <f t="shared" si="11"/>
        <v>118535.16666666667</v>
      </c>
      <c r="I81" s="1">
        <f t="shared" si="10"/>
        <v>143140</v>
      </c>
      <c r="J81" s="1">
        <f>Decomposition!I90</f>
        <v>189271.21425969774</v>
      </c>
      <c r="K81" s="31">
        <v>196077</v>
      </c>
    </row>
    <row r="82" spans="1:11" ht="13.8" thickBot="1" x14ac:dyDescent="0.35">
      <c r="A82">
        <v>81</v>
      </c>
      <c r="B82" s="30">
        <v>44805</v>
      </c>
      <c r="C82" s="32">
        <v>147480</v>
      </c>
      <c r="D82">
        <f t="shared" si="12"/>
        <v>74.283307810107203</v>
      </c>
      <c r="E82">
        <f t="shared" si="13"/>
        <v>74.283307810107203</v>
      </c>
      <c r="F82">
        <f t="shared" si="14"/>
        <v>1</v>
      </c>
      <c r="G82">
        <f t="shared" si="9"/>
        <v>0</v>
      </c>
      <c r="H82" s="1">
        <f t="shared" si="11"/>
        <v>128706.16666666667</v>
      </c>
      <c r="I82" s="1">
        <f t="shared" si="10"/>
        <v>147480</v>
      </c>
      <c r="J82" s="1">
        <f>Decomposition!I91</f>
        <v>180285.70620482211</v>
      </c>
      <c r="K82" s="32">
        <v>183609</v>
      </c>
    </row>
    <row r="83" spans="1:11" x14ac:dyDescent="0.3">
      <c r="A83">
        <v>82</v>
      </c>
      <c r="B83" s="30">
        <v>44835</v>
      </c>
      <c r="C83" s="31">
        <v>165092</v>
      </c>
      <c r="D83">
        <f t="shared" si="12"/>
        <v>15.897850562947799</v>
      </c>
      <c r="E83">
        <f t="shared" si="13"/>
        <v>15.897850562947799</v>
      </c>
      <c r="F83">
        <f t="shared" si="14"/>
        <v>1</v>
      </c>
      <c r="G83">
        <f t="shared" si="9"/>
        <v>0</v>
      </c>
      <c r="H83" s="1">
        <f t="shared" si="11"/>
        <v>136717</v>
      </c>
      <c r="I83" s="1">
        <f t="shared" si="10"/>
        <v>165092</v>
      </c>
      <c r="J83" s="1">
        <f>Decomposition!I92</f>
        <v>180194.44506804046</v>
      </c>
      <c r="K83" s="31">
        <v>239235</v>
      </c>
    </row>
    <row r="84" spans="1:11" x14ac:dyDescent="0.3">
      <c r="A84">
        <v>83</v>
      </c>
      <c r="B84" s="30">
        <v>44866</v>
      </c>
      <c r="C84" s="31">
        <v>196077</v>
      </c>
      <c r="D84">
        <f t="shared" si="12"/>
        <v>4.5569505455576023</v>
      </c>
      <c r="E84">
        <f t="shared" si="13"/>
        <v>4.5569505455576023</v>
      </c>
      <c r="F84">
        <f t="shared" si="14"/>
        <v>1</v>
      </c>
      <c r="G84">
        <f t="shared" si="9"/>
        <v>0</v>
      </c>
      <c r="H84" s="1">
        <f t="shared" si="11"/>
        <v>150630.66666666666</v>
      </c>
      <c r="I84" s="1">
        <f t="shared" si="10"/>
        <v>196077</v>
      </c>
      <c r="J84" s="1">
        <f>Decomposition!I93</f>
        <v>167467.88265771762</v>
      </c>
      <c r="K84" s="31">
        <v>205935</v>
      </c>
    </row>
    <row r="85" spans="1:11" x14ac:dyDescent="0.3">
      <c r="A85">
        <v>84</v>
      </c>
      <c r="B85" s="30">
        <v>44896</v>
      </c>
      <c r="C85" s="31">
        <v>183609</v>
      </c>
      <c r="D85">
        <f t="shared" si="12"/>
        <v>2.4394013187471901</v>
      </c>
      <c r="E85">
        <f t="shared" si="13"/>
        <v>2.4394013187471901</v>
      </c>
      <c r="F85">
        <f t="shared" si="14"/>
        <v>1</v>
      </c>
      <c r="G85">
        <f t="shared" si="9"/>
        <v>0</v>
      </c>
      <c r="H85" s="1">
        <f t="shared" si="11"/>
        <v>163847.33333333334</v>
      </c>
      <c r="I85" s="1">
        <f t="shared" si="10"/>
        <v>183609</v>
      </c>
      <c r="J85" s="1">
        <f>Decomposition!I94</f>
        <v>131916.52706296876</v>
      </c>
      <c r="K85" s="31">
        <v>221206</v>
      </c>
    </row>
    <row r="86" spans="1:11" x14ac:dyDescent="0.3">
      <c r="A86">
        <v>85</v>
      </c>
      <c r="B86" s="30">
        <v>44927</v>
      </c>
      <c r="C86" s="31">
        <v>239235</v>
      </c>
      <c r="D86">
        <f t="shared" si="12"/>
        <v>2.6761835978917281</v>
      </c>
      <c r="E86">
        <f t="shared" si="13"/>
        <v>2.6761835978917281</v>
      </c>
      <c r="F86">
        <f t="shared" si="14"/>
        <v>1</v>
      </c>
      <c r="G86">
        <f t="shared" si="9"/>
        <v>0</v>
      </c>
      <c r="H86" s="1">
        <f t="shared" si="11"/>
        <v>179105.5</v>
      </c>
      <c r="I86" s="1">
        <f t="shared" si="10"/>
        <v>239235</v>
      </c>
      <c r="J86" s="1">
        <f>Decomposition!I95</f>
        <v>157339.65807453229</v>
      </c>
      <c r="K86" s="31">
        <v>222626</v>
      </c>
    </row>
    <row r="87" spans="1:11" x14ac:dyDescent="0.3">
      <c r="A87">
        <v>86</v>
      </c>
      <c r="B87" s="30">
        <v>44958</v>
      </c>
      <c r="C87" s="31">
        <v>205935</v>
      </c>
      <c r="D87">
        <f t="shared" si="12"/>
        <v>2.7577322409357152</v>
      </c>
      <c r="E87">
        <f t="shared" si="13"/>
        <v>2.7577322409357152</v>
      </c>
      <c r="F87">
        <f t="shared" si="14"/>
        <v>1</v>
      </c>
      <c r="G87">
        <f t="shared" si="9"/>
        <v>0</v>
      </c>
      <c r="H87" s="1">
        <f t="shared" si="11"/>
        <v>189571.33333333334</v>
      </c>
      <c r="I87" s="1">
        <f t="shared" si="10"/>
        <v>205935</v>
      </c>
      <c r="J87" s="1">
        <f>Decomposition!I96</f>
        <v>181282.98005100104</v>
      </c>
      <c r="K87" s="31">
        <v>196288</v>
      </c>
    </row>
    <row r="88" spans="1:11" x14ac:dyDescent="0.3">
      <c r="A88">
        <v>87</v>
      </c>
      <c r="B88" s="30">
        <v>44986</v>
      </c>
      <c r="C88" s="31">
        <v>221206</v>
      </c>
      <c r="D88">
        <f t="shared" si="12"/>
        <v>1.5586554699609041</v>
      </c>
      <c r="E88">
        <f t="shared" si="13"/>
        <v>1.5586554699609041</v>
      </c>
      <c r="F88">
        <f t="shared" si="14"/>
        <v>1</v>
      </c>
      <c r="G88">
        <f t="shared" si="9"/>
        <v>0</v>
      </c>
      <c r="H88" s="1">
        <f t="shared" si="11"/>
        <v>201859</v>
      </c>
      <c r="I88" s="1">
        <f t="shared" si="10"/>
        <v>221206</v>
      </c>
      <c r="J88" s="1">
        <f>Decomposition!I97</f>
        <v>193671.61813432167</v>
      </c>
      <c r="K88" s="31">
        <v>199427</v>
      </c>
    </row>
    <row r="89" spans="1:11" x14ac:dyDescent="0.3">
      <c r="A89">
        <v>88</v>
      </c>
      <c r="B89" s="30">
        <v>45017</v>
      </c>
      <c r="C89" s="31">
        <v>222626</v>
      </c>
      <c r="D89">
        <f t="shared" si="12"/>
        <v>0.90234732155827291</v>
      </c>
      <c r="E89">
        <f t="shared" si="13"/>
        <v>0.90234732155827291</v>
      </c>
      <c r="F89">
        <f t="shared" si="14"/>
        <v>1</v>
      </c>
      <c r="G89">
        <f t="shared" si="9"/>
        <v>0</v>
      </c>
      <c r="H89" s="1">
        <f t="shared" si="11"/>
        <v>211448</v>
      </c>
      <c r="I89" s="1">
        <f t="shared" si="10"/>
        <v>222626</v>
      </c>
      <c r="J89" s="1">
        <f>Decomposition!I98</f>
        <v>249818.9819040696</v>
      </c>
      <c r="K89" s="31">
        <v>263563</v>
      </c>
    </row>
    <row r="90" spans="1:11" x14ac:dyDescent="0.3">
      <c r="A90">
        <v>89</v>
      </c>
      <c r="B90" s="30">
        <v>45047</v>
      </c>
      <c r="C90" s="31">
        <v>196288</v>
      </c>
      <c r="D90">
        <f t="shared" si="12"/>
        <v>0.74331009369865442</v>
      </c>
      <c r="E90">
        <f t="shared" si="13"/>
        <v>0.74331009369865442</v>
      </c>
      <c r="F90">
        <f t="shared" si="14"/>
        <v>1</v>
      </c>
      <c r="G90">
        <f t="shared" si="9"/>
        <v>0</v>
      </c>
      <c r="H90" s="1">
        <f t="shared" si="11"/>
        <v>211483.16666666666</v>
      </c>
      <c r="I90" s="1">
        <f t="shared" si="10"/>
        <v>196288</v>
      </c>
      <c r="J90" s="1">
        <f>Decomposition!I99</f>
        <v>269928.91384295572</v>
      </c>
      <c r="K90" s="31">
        <v>236928</v>
      </c>
    </row>
    <row r="91" spans="1:11" x14ac:dyDescent="0.3">
      <c r="A91">
        <v>90</v>
      </c>
      <c r="B91" s="30">
        <v>45078</v>
      </c>
      <c r="C91" s="31">
        <v>199427</v>
      </c>
      <c r="D91">
        <f t="shared" si="12"/>
        <v>0.91188679787937765</v>
      </c>
      <c r="E91">
        <f t="shared" si="13"/>
        <v>0.91188679787937765</v>
      </c>
      <c r="F91">
        <f t="shared" si="14"/>
        <v>1</v>
      </c>
      <c r="G91">
        <f t="shared" si="9"/>
        <v>0</v>
      </c>
      <c r="H91" s="1">
        <f t="shared" si="11"/>
        <v>214119.5</v>
      </c>
      <c r="I91" s="1">
        <f t="shared" si="10"/>
        <v>199427</v>
      </c>
      <c r="J91" s="1">
        <f>Decomposition!I100</f>
        <v>295966.60126709624</v>
      </c>
      <c r="K91" s="31">
        <v>239336</v>
      </c>
    </row>
    <row r="92" spans="1:11" x14ac:dyDescent="0.3">
      <c r="A92">
        <v>91</v>
      </c>
      <c r="B92" s="30">
        <v>45108</v>
      </c>
      <c r="C92" s="31">
        <v>263563</v>
      </c>
      <c r="D92">
        <f t="shared" si="12"/>
        <v>0.78461736386658176</v>
      </c>
      <c r="E92">
        <f t="shared" si="13"/>
        <v>0.78461736386658176</v>
      </c>
      <c r="F92">
        <f t="shared" si="14"/>
        <v>1</v>
      </c>
      <c r="G92">
        <f t="shared" si="9"/>
        <v>0</v>
      </c>
      <c r="H92" s="1">
        <f t="shared" si="11"/>
        <v>218174.16666666666</v>
      </c>
      <c r="I92" s="1">
        <f t="shared" si="10"/>
        <v>263563</v>
      </c>
      <c r="J92" s="1">
        <f>Decomposition!I101</f>
        <v>307896.92061842617</v>
      </c>
      <c r="K92" s="31">
        <v>262043</v>
      </c>
    </row>
    <row r="93" spans="1:11" x14ac:dyDescent="0.3">
      <c r="A93">
        <v>92</v>
      </c>
      <c r="B93" s="30">
        <v>45139</v>
      </c>
      <c r="C93" s="31">
        <v>236928</v>
      </c>
      <c r="D93">
        <f t="shared" si="12"/>
        <v>0.65521866703926224</v>
      </c>
      <c r="E93">
        <f t="shared" si="13"/>
        <v>0.65521866703926224</v>
      </c>
      <c r="F93">
        <f t="shared" si="14"/>
        <v>1</v>
      </c>
      <c r="G93">
        <f t="shared" si="9"/>
        <v>0</v>
      </c>
      <c r="H93" s="1">
        <f t="shared" si="11"/>
        <v>223339.66666666666</v>
      </c>
      <c r="I93" s="1">
        <f t="shared" si="10"/>
        <v>236928</v>
      </c>
      <c r="J93" s="1">
        <f>Decomposition!I102</f>
        <v>313285.24697583949</v>
      </c>
      <c r="K93" s="31">
        <v>311342</v>
      </c>
    </row>
    <row r="94" spans="1:11" ht="13.8" thickBot="1" x14ac:dyDescent="0.35">
      <c r="A94">
        <v>93</v>
      </c>
      <c r="B94" s="30">
        <v>45170</v>
      </c>
      <c r="C94" s="32">
        <v>239336</v>
      </c>
      <c r="D94">
        <f t="shared" si="12"/>
        <v>0.62283699484675892</v>
      </c>
      <c r="E94">
        <f t="shared" si="13"/>
        <v>0.62283699484675892</v>
      </c>
      <c r="F94">
        <f t="shared" si="14"/>
        <v>1</v>
      </c>
      <c r="G94">
        <f t="shared" si="9"/>
        <v>0</v>
      </c>
      <c r="H94" s="1">
        <f t="shared" si="11"/>
        <v>226361.33333333334</v>
      </c>
      <c r="I94" s="1">
        <f t="shared" si="10"/>
        <v>239336</v>
      </c>
      <c r="J94" s="1">
        <f>Decomposition!I103</f>
        <v>292574.31367125915</v>
      </c>
      <c r="K94" s="32">
        <v>274711</v>
      </c>
    </row>
    <row r="95" spans="1:11" x14ac:dyDescent="0.3">
      <c r="A95">
        <v>94</v>
      </c>
      <c r="B95" s="30">
        <v>45200</v>
      </c>
      <c r="C95" s="31">
        <v>262043</v>
      </c>
      <c r="D95">
        <f t="shared" si="12"/>
        <v>0.58725437937634772</v>
      </c>
      <c r="E95">
        <f t="shared" si="13"/>
        <v>0.58725437937634772</v>
      </c>
      <c r="F95">
        <f t="shared" si="14"/>
        <v>1</v>
      </c>
      <c r="G95">
        <f t="shared" si="9"/>
        <v>0</v>
      </c>
      <c r="H95" s="1">
        <f t="shared" si="11"/>
        <v>232930.83333333334</v>
      </c>
      <c r="I95" s="1">
        <f t="shared" si="10"/>
        <v>262043</v>
      </c>
      <c r="J95" s="1">
        <f>Decomposition!I104</f>
        <v>286014.42207353795</v>
      </c>
      <c r="K95" s="31">
        <v>327427</v>
      </c>
    </row>
    <row r="96" spans="1:11" x14ac:dyDescent="0.3">
      <c r="A96">
        <v>95</v>
      </c>
      <c r="B96" s="30">
        <v>45231</v>
      </c>
      <c r="C96" s="31">
        <v>311342</v>
      </c>
      <c r="D96">
        <f t="shared" si="12"/>
        <v>0.58785579134727683</v>
      </c>
      <c r="E96">
        <f t="shared" si="13"/>
        <v>0.58785579134727683</v>
      </c>
      <c r="F96">
        <f t="shared" si="14"/>
        <v>1</v>
      </c>
      <c r="G96">
        <f t="shared" si="9"/>
        <v>0</v>
      </c>
      <c r="H96" s="1">
        <f t="shared" si="11"/>
        <v>252106.5</v>
      </c>
      <c r="I96" s="1">
        <f t="shared" si="10"/>
        <v>311342</v>
      </c>
      <c r="J96" s="1">
        <f>Decomposition!I105</f>
        <v>265914.84734272311</v>
      </c>
      <c r="K96" s="31">
        <v>256687</v>
      </c>
    </row>
    <row r="97" spans="1:11" x14ac:dyDescent="0.3">
      <c r="A97">
        <v>96</v>
      </c>
      <c r="B97" s="30">
        <v>45261</v>
      </c>
      <c r="C97" s="31">
        <v>274711</v>
      </c>
      <c r="D97">
        <f t="shared" si="12"/>
        <v>0.49617393482890271</v>
      </c>
      <c r="E97">
        <f t="shared" si="13"/>
        <v>0.49617393482890271</v>
      </c>
      <c r="F97">
        <f t="shared" si="14"/>
        <v>0</v>
      </c>
      <c r="G97">
        <f t="shared" si="9"/>
        <v>0</v>
      </c>
      <c r="H97" s="1">
        <f t="shared" si="11"/>
        <v>264653.83333333331</v>
      </c>
      <c r="I97" s="1">
        <f t="shared" si="10"/>
        <v>274711</v>
      </c>
      <c r="J97" s="1">
        <f>Decomposition!I106</f>
        <v>197370.0693647654</v>
      </c>
      <c r="K97" s="31">
        <v>278366</v>
      </c>
    </row>
    <row r="98" spans="1:11" x14ac:dyDescent="0.3">
      <c r="A98">
        <v>97</v>
      </c>
      <c r="B98" s="30">
        <v>45292</v>
      </c>
      <c r="C98" s="31">
        <v>327427</v>
      </c>
      <c r="D98">
        <f t="shared" si="12"/>
        <v>0.3686417121240621</v>
      </c>
      <c r="E98">
        <f t="shared" si="13"/>
        <v>0.3686417121240621</v>
      </c>
      <c r="F98">
        <f t="shared" si="14"/>
        <v>0</v>
      </c>
      <c r="G98">
        <f t="shared" si="9"/>
        <v>0</v>
      </c>
      <c r="H98" s="1">
        <f t="shared" si="11"/>
        <v>275297.83333333331</v>
      </c>
      <c r="I98" s="1">
        <f t="shared" si="10"/>
        <v>327427</v>
      </c>
      <c r="J98" s="1">
        <f>Decomposition!I107</f>
        <v>215341.61901214236</v>
      </c>
      <c r="K98" s="31">
        <v>224410</v>
      </c>
    </row>
    <row r="99" spans="1:11" x14ac:dyDescent="0.3">
      <c r="A99">
        <v>98</v>
      </c>
      <c r="B99" s="30">
        <v>45323</v>
      </c>
      <c r="C99" s="31">
        <v>256687</v>
      </c>
      <c r="D99">
        <f t="shared" si="12"/>
        <v>0.24644669434530314</v>
      </c>
      <c r="E99">
        <f t="shared" si="13"/>
        <v>0.24644669434530314</v>
      </c>
      <c r="F99">
        <f t="shared" si="14"/>
        <v>0</v>
      </c>
      <c r="G99">
        <f t="shared" si="9"/>
        <v>0</v>
      </c>
      <c r="H99" s="1">
        <f t="shared" si="11"/>
        <v>278591</v>
      </c>
      <c r="I99" s="1">
        <f t="shared" si="10"/>
        <v>256687</v>
      </c>
      <c r="J99" s="1">
        <f>Decomposition!I108</f>
        <v>225959.57122563577</v>
      </c>
      <c r="K99" s="31">
        <v>182803</v>
      </c>
    </row>
    <row r="100" spans="1:11" x14ac:dyDescent="0.3">
      <c r="A100">
        <v>99</v>
      </c>
      <c r="B100" s="30">
        <v>45352</v>
      </c>
      <c r="C100" s="31">
        <v>278366</v>
      </c>
      <c r="D100">
        <f t="shared" si="12"/>
        <v>0.25840167084075477</v>
      </c>
      <c r="E100">
        <f t="shared" si="13"/>
        <v>0.25840167084075477</v>
      </c>
      <c r="F100">
        <f t="shared" si="14"/>
        <v>0</v>
      </c>
      <c r="G100">
        <f t="shared" si="9"/>
        <v>0</v>
      </c>
      <c r="H100" s="1">
        <f t="shared" si="11"/>
        <v>285096</v>
      </c>
      <c r="I100" s="1">
        <f t="shared" si="10"/>
        <v>278366</v>
      </c>
      <c r="J100" s="1">
        <f>Decomposition!I109</f>
        <v>243716.687854663</v>
      </c>
      <c r="K100" s="31">
        <v>169847</v>
      </c>
    </row>
    <row r="101" spans="1:11" x14ac:dyDescent="0.3">
      <c r="A101">
        <v>100</v>
      </c>
      <c r="B101" s="30">
        <v>45383</v>
      </c>
      <c r="C101">
        <v>224410</v>
      </c>
      <c r="D101">
        <f t="shared" ref="D101:D104" si="15">(C101-C89)/C89</f>
        <v>8.0134395802826264E-3</v>
      </c>
      <c r="E101">
        <f t="shared" ref="E101:E104" si="16">ABS(D101)</f>
        <v>8.0134395802826264E-3</v>
      </c>
      <c r="F101">
        <f t="shared" si="14"/>
        <v>0</v>
      </c>
      <c r="G101">
        <f t="shared" ref="G101:G104" si="17">IF(C101&gt;$M$2,0,1)</f>
        <v>0</v>
      </c>
      <c r="H101" s="1">
        <f t="shared" ref="H101:H104" si="18">AVERAGE(C96:C101)</f>
        <v>278823.83333333331</v>
      </c>
      <c r="I101" s="1">
        <f t="shared" ref="I101:I104" si="19">IF(G101=0,C101,H101)</f>
        <v>224410</v>
      </c>
      <c r="J101" s="1">
        <f>Decomposition!I110</f>
        <v>251820.89122156557</v>
      </c>
      <c r="K101">
        <f t="shared" ref="K101" si="20">AVERAGE($C$2:$C$100)</f>
        <v>168713.62626262626</v>
      </c>
    </row>
    <row r="102" spans="1:11" x14ac:dyDescent="0.3">
      <c r="A102">
        <v>101</v>
      </c>
      <c r="B102" s="30">
        <v>45413</v>
      </c>
      <c r="C102">
        <v>182803</v>
      </c>
      <c r="D102">
        <f t="shared" si="15"/>
        <v>-6.8700073361591132E-2</v>
      </c>
      <c r="E102">
        <f t="shared" si="16"/>
        <v>6.8700073361591132E-2</v>
      </c>
      <c r="F102">
        <f t="shared" si="14"/>
        <v>0</v>
      </c>
      <c r="G102">
        <f t="shared" si="17"/>
        <v>0</v>
      </c>
      <c r="H102" s="1">
        <f t="shared" si="18"/>
        <v>257400.66666666666</v>
      </c>
      <c r="I102" s="1">
        <f t="shared" si="19"/>
        <v>182803</v>
      </c>
      <c r="J102" s="1">
        <f>Decomposition!I111</f>
        <v>251384.77765953002</v>
      </c>
      <c r="K102" s="31">
        <v>271739.81521739101</v>
      </c>
    </row>
    <row r="103" spans="1:11" x14ac:dyDescent="0.3">
      <c r="A103">
        <v>102</v>
      </c>
      <c r="B103" s="30">
        <v>45444</v>
      </c>
      <c r="C103">
        <v>169847</v>
      </c>
      <c r="D103">
        <f t="shared" si="15"/>
        <v>-0.1483249509845708</v>
      </c>
      <c r="E103">
        <f t="shared" si="16"/>
        <v>0.1483249509845708</v>
      </c>
      <c r="F103">
        <f t="shared" si="14"/>
        <v>0</v>
      </c>
      <c r="G103">
        <f t="shared" si="17"/>
        <v>0</v>
      </c>
      <c r="H103" s="1">
        <f t="shared" si="18"/>
        <v>239923.33333333334</v>
      </c>
      <c r="I103" s="1">
        <f t="shared" si="19"/>
        <v>169847</v>
      </c>
      <c r="J103" s="1">
        <f>Decomposition!I112</f>
        <v>252067.36964108417</v>
      </c>
      <c r="K103" s="31">
        <v>275828.12043478299</v>
      </c>
    </row>
    <row r="104" spans="1:11" x14ac:dyDescent="0.3">
      <c r="A104">
        <v>103</v>
      </c>
      <c r="B104" s="30">
        <v>45474</v>
      </c>
      <c r="C104">
        <v>233105</v>
      </c>
      <c r="D104">
        <f t="shared" si="15"/>
        <v>-0.11556250308275441</v>
      </c>
      <c r="E104">
        <f t="shared" si="16"/>
        <v>0.11556250308275441</v>
      </c>
      <c r="F104">
        <f t="shared" ref="F104" si="21">IF(E104&lt;0.5,0,1)</f>
        <v>0</v>
      </c>
      <c r="G104">
        <f t="shared" si="17"/>
        <v>0</v>
      </c>
      <c r="H104" s="1">
        <f t="shared" si="18"/>
        <v>224203</v>
      </c>
      <c r="I104" s="1">
        <f t="shared" si="19"/>
        <v>233105</v>
      </c>
      <c r="J104" s="1">
        <f>Decomposition!I113</f>
        <v>272315.58178028866</v>
      </c>
      <c r="K104" s="31">
        <v>160125.35714285701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4"/>
  <sheetViews>
    <sheetView topLeftCell="A55" workbookViewId="0">
      <selection activeCell="E62" sqref="E62"/>
    </sheetView>
  </sheetViews>
  <sheetFormatPr baseColWidth="10" defaultColWidth="9.5703125" defaultRowHeight="13.2" x14ac:dyDescent="0.3"/>
  <cols>
    <col min="1" max="3" width="9.5703125" customWidth="1"/>
    <col min="4" max="5" width="22.5703125" customWidth="1"/>
    <col min="6" max="6" width="24.140625" customWidth="1"/>
  </cols>
  <sheetData>
    <row r="1" spans="1:6" ht="15.6" x14ac:dyDescent="0.3">
      <c r="A1" s="8" t="s">
        <v>34</v>
      </c>
    </row>
    <row r="2" spans="1:6" ht="15.6" x14ac:dyDescent="0.3">
      <c r="A2" s="8" t="s">
        <v>35</v>
      </c>
    </row>
    <row r="3" spans="1:6" ht="15.6" x14ac:dyDescent="0.3">
      <c r="A3" s="8" t="s">
        <v>36</v>
      </c>
    </row>
    <row r="4" spans="1:6" ht="15.6" x14ac:dyDescent="0.3">
      <c r="A4" s="8" t="s">
        <v>41</v>
      </c>
    </row>
    <row r="9" spans="1:6" ht="15.6" x14ac:dyDescent="0.3">
      <c r="A9" s="7" t="s">
        <v>37</v>
      </c>
      <c r="B9" s="7"/>
      <c r="C9" s="7"/>
    </row>
    <row r="10" spans="1:6" x14ac:dyDescent="0.3">
      <c r="A10" t="s">
        <v>0</v>
      </c>
      <c r="B10" t="s">
        <v>0</v>
      </c>
      <c r="C10" t="s">
        <v>20</v>
      </c>
    </row>
    <row r="11" spans="1:6" x14ac:dyDescent="0.3">
      <c r="A11" t="s">
        <v>0</v>
      </c>
      <c r="B11" t="s">
        <v>0</v>
      </c>
      <c r="D11" t="s">
        <v>39</v>
      </c>
      <c r="E11" s="5" t="s">
        <v>40</v>
      </c>
      <c r="F11" t="s">
        <v>88</v>
      </c>
    </row>
    <row r="12" spans="1:6" x14ac:dyDescent="0.3">
      <c r="A12" s="30">
        <v>42370</v>
      </c>
      <c r="B12" t="s">
        <v>1</v>
      </c>
      <c r="C12" s="1">
        <v>192889.63472763138</v>
      </c>
      <c r="D12" s="1">
        <f>AVERAGE(C12)</f>
        <v>192889.63472763138</v>
      </c>
      <c r="E12" s="5"/>
      <c r="F12" s="1"/>
    </row>
    <row r="13" spans="1:6" x14ac:dyDescent="0.3">
      <c r="A13" s="30">
        <v>42401</v>
      </c>
      <c r="B13" t="s">
        <v>2</v>
      </c>
      <c r="C13" s="1">
        <v>203321.06833518235</v>
      </c>
      <c r="D13" s="1">
        <f>AVERAGE(C12:C13)</f>
        <v>198105.35153140686</v>
      </c>
      <c r="E13" s="9">
        <f>C13-C12</f>
        <v>10431.433607550978</v>
      </c>
      <c r="F13" s="1">
        <f>D13-D12</f>
        <v>5215.7168037754891</v>
      </c>
    </row>
    <row r="14" spans="1:6" x14ac:dyDescent="0.3">
      <c r="A14" s="30">
        <v>42430</v>
      </c>
      <c r="B14" t="s">
        <v>3</v>
      </c>
      <c r="C14" s="1">
        <v>235437.11120227986</v>
      </c>
      <c r="D14" s="1">
        <f>AVERAGE($C$12:C14)</f>
        <v>210549.27142169783</v>
      </c>
      <c r="E14" s="9">
        <f t="shared" ref="E14:E77" si="0">C14-C13</f>
        <v>32116.042867097509</v>
      </c>
      <c r="F14" s="1">
        <f t="shared" ref="F14:F77" si="1">D14-D13</f>
        <v>12443.91989029097</v>
      </c>
    </row>
    <row r="15" spans="1:6" x14ac:dyDescent="0.3">
      <c r="A15" s="30">
        <v>42461</v>
      </c>
      <c r="B15" t="s">
        <v>4</v>
      </c>
      <c r="C15" s="1">
        <v>236567.78431876167</v>
      </c>
      <c r="D15" s="1">
        <f>AVERAGE($C$12:C15)</f>
        <v>217053.8996459638</v>
      </c>
      <c r="E15" s="9">
        <f t="shared" si="0"/>
        <v>1130.6731164818048</v>
      </c>
      <c r="F15" s="1">
        <f t="shared" si="1"/>
        <v>6504.6282242659654</v>
      </c>
    </row>
    <row r="16" spans="1:6" x14ac:dyDescent="0.3">
      <c r="A16" s="30">
        <v>42491</v>
      </c>
      <c r="B16" t="s">
        <v>5</v>
      </c>
      <c r="C16" s="1">
        <v>257951.12662719752</v>
      </c>
      <c r="D16" s="1">
        <f>AVERAGE($C$12:C16)</f>
        <v>225233.34504221054</v>
      </c>
      <c r="E16" s="9">
        <f t="shared" si="0"/>
        <v>21383.342308435851</v>
      </c>
      <c r="F16" s="1">
        <f t="shared" si="1"/>
        <v>8179.4453962467378</v>
      </c>
    </row>
    <row r="17" spans="1:6" x14ac:dyDescent="0.3">
      <c r="A17" s="30">
        <v>42522</v>
      </c>
      <c r="B17" t="s">
        <v>6</v>
      </c>
      <c r="C17" s="1">
        <v>238524.47464047992</v>
      </c>
      <c r="D17" s="1">
        <f>AVERAGE($C$12:C17)</f>
        <v>227448.53330858878</v>
      </c>
      <c r="E17" s="9">
        <f t="shared" si="0"/>
        <v>-19426.651986717596</v>
      </c>
      <c r="F17" s="1">
        <f t="shared" si="1"/>
        <v>2215.1882663782453</v>
      </c>
    </row>
    <row r="18" spans="1:6" x14ac:dyDescent="0.3">
      <c r="A18" s="30">
        <v>42552</v>
      </c>
      <c r="B18" t="s">
        <v>7</v>
      </c>
      <c r="C18" s="1">
        <v>246812.42458312324</v>
      </c>
      <c r="D18" s="1">
        <f>AVERAGE($C$12:C18)</f>
        <v>230214.80349066513</v>
      </c>
      <c r="E18" s="9">
        <f t="shared" si="0"/>
        <v>8287.9499426433176</v>
      </c>
      <c r="F18" s="1">
        <f t="shared" si="1"/>
        <v>2766.2701820763468</v>
      </c>
    </row>
    <row r="19" spans="1:6" x14ac:dyDescent="0.3">
      <c r="A19" s="30">
        <v>42583</v>
      </c>
      <c r="B19" t="s">
        <v>8</v>
      </c>
      <c r="C19" s="1">
        <v>198872.6617438824</v>
      </c>
      <c r="D19" s="1">
        <f>AVERAGE($C$12:C19)</f>
        <v>226297.03577231729</v>
      </c>
      <c r="E19" s="9">
        <f t="shared" si="0"/>
        <v>-47939.762839240837</v>
      </c>
      <c r="F19" s="1">
        <f t="shared" si="1"/>
        <v>-3917.7677183478372</v>
      </c>
    </row>
    <row r="20" spans="1:6" x14ac:dyDescent="0.3">
      <c r="A20" s="30">
        <v>42614</v>
      </c>
      <c r="B20" t="s">
        <v>9</v>
      </c>
      <c r="C20" s="1">
        <v>159891.34292476947</v>
      </c>
      <c r="D20" s="1">
        <f>AVERAGE($C$12:C20)</f>
        <v>218918.62545592309</v>
      </c>
      <c r="E20" s="9">
        <f t="shared" si="0"/>
        <v>-38981.31881911293</v>
      </c>
      <c r="F20" s="1">
        <f t="shared" si="1"/>
        <v>-7378.4103163942054</v>
      </c>
    </row>
    <row r="21" spans="1:6" x14ac:dyDescent="0.3">
      <c r="A21" s="30">
        <v>42644</v>
      </c>
      <c r="B21" t="s">
        <v>10</v>
      </c>
      <c r="C21" s="1">
        <v>158953.12224000591</v>
      </c>
      <c r="D21" s="1">
        <f>AVERAGE($C$12:C21)</f>
        <v>212922.07513433136</v>
      </c>
      <c r="E21" s="9">
        <f t="shared" si="0"/>
        <v>-938.22068476356799</v>
      </c>
      <c r="F21" s="1">
        <f t="shared" si="1"/>
        <v>-5996.550321591727</v>
      </c>
    </row>
    <row r="22" spans="1:6" x14ac:dyDescent="0.3">
      <c r="A22" s="30">
        <v>42675</v>
      </c>
      <c r="B22" t="s">
        <v>11</v>
      </c>
      <c r="C22" s="1">
        <v>209321.18848072793</v>
      </c>
      <c r="D22" s="1">
        <f>AVERAGE($C$12:C22)</f>
        <v>212594.72180218558</v>
      </c>
      <c r="E22" s="9">
        <f t="shared" si="0"/>
        <v>50368.066240722022</v>
      </c>
      <c r="F22" s="1">
        <f t="shared" si="1"/>
        <v>-327.35333214577986</v>
      </c>
    </row>
    <row r="23" spans="1:6" x14ac:dyDescent="0.3">
      <c r="A23" s="30">
        <v>42705</v>
      </c>
      <c r="B23" t="s">
        <v>12</v>
      </c>
      <c r="C23" s="1">
        <v>185988.19731898108</v>
      </c>
      <c r="D23" s="1">
        <f>AVERAGE($C$12:C23)</f>
        <v>210377.51142858519</v>
      </c>
      <c r="E23" s="9">
        <f t="shared" si="0"/>
        <v>-23332.991161746846</v>
      </c>
      <c r="F23" s="1">
        <f t="shared" si="1"/>
        <v>-2217.2103736003919</v>
      </c>
    </row>
    <row r="24" spans="1:6" x14ac:dyDescent="0.3">
      <c r="A24" s="30">
        <v>42736</v>
      </c>
      <c r="B24" t="s">
        <v>1</v>
      </c>
      <c r="C24" s="1">
        <v>191331.3709222888</v>
      </c>
      <c r="D24" s="1">
        <f>AVERAGE($C$12:C24)</f>
        <v>208912.42369733163</v>
      </c>
      <c r="E24" s="9">
        <f t="shared" si="0"/>
        <v>5343.1736033077177</v>
      </c>
      <c r="F24" s="1">
        <f t="shared" si="1"/>
        <v>-1465.0877312535595</v>
      </c>
    </row>
    <row r="25" spans="1:6" x14ac:dyDescent="0.3">
      <c r="A25" s="30">
        <v>42767</v>
      </c>
      <c r="B25" t="s">
        <v>2</v>
      </c>
      <c r="C25" s="1">
        <v>200057.07623543651</v>
      </c>
      <c r="D25" s="1">
        <f>AVERAGE($C$12:C25)</f>
        <v>208279.89887862484</v>
      </c>
      <c r="E25" s="9">
        <f t="shared" si="0"/>
        <v>8725.7053131477151</v>
      </c>
      <c r="F25" s="1">
        <f t="shared" si="1"/>
        <v>-632.52481870679185</v>
      </c>
    </row>
    <row r="26" spans="1:6" x14ac:dyDescent="0.3">
      <c r="A26" s="30">
        <v>42795</v>
      </c>
      <c r="B26" t="s">
        <v>3</v>
      </c>
      <c r="C26" s="1">
        <v>241125.91279562344</v>
      </c>
      <c r="D26" s="1">
        <f>AVERAGE($C$12:C26)</f>
        <v>210469.63313975805</v>
      </c>
      <c r="E26" s="9">
        <f t="shared" si="0"/>
        <v>41068.83656018693</v>
      </c>
      <c r="F26" s="1">
        <f t="shared" si="1"/>
        <v>2189.7342611332133</v>
      </c>
    </row>
    <row r="27" spans="1:6" x14ac:dyDescent="0.3">
      <c r="A27" s="30">
        <v>42826</v>
      </c>
      <c r="B27" t="s">
        <v>4</v>
      </c>
      <c r="C27" s="1">
        <v>259919.93564196781</v>
      </c>
      <c r="D27" s="1">
        <f>AVERAGE($C$12:C27)</f>
        <v>213560.27704614616</v>
      </c>
      <c r="E27" s="9">
        <f t="shared" si="0"/>
        <v>18794.022846344364</v>
      </c>
      <c r="F27" s="1">
        <f t="shared" si="1"/>
        <v>3090.6439063881116</v>
      </c>
    </row>
    <row r="28" spans="1:6" x14ac:dyDescent="0.3">
      <c r="A28" s="30">
        <v>42856</v>
      </c>
      <c r="B28" t="s">
        <v>5</v>
      </c>
      <c r="C28" s="1">
        <v>262396.46726736054</v>
      </c>
      <c r="D28" s="1">
        <f>AVERAGE($C$12:C28)</f>
        <v>216432.99411798231</v>
      </c>
      <c r="E28" s="9">
        <f t="shared" si="0"/>
        <v>2476.5316253927303</v>
      </c>
      <c r="F28" s="1">
        <f t="shared" si="1"/>
        <v>2872.7170718361449</v>
      </c>
    </row>
    <row r="29" spans="1:6" x14ac:dyDescent="0.3">
      <c r="A29" s="30">
        <v>42887</v>
      </c>
      <c r="B29" t="s">
        <v>6</v>
      </c>
      <c r="C29" s="1">
        <v>249189.20088011879</v>
      </c>
      <c r="D29" s="1">
        <f>AVERAGE($C$12:C29)</f>
        <v>218252.78338254543</v>
      </c>
      <c r="E29" s="9">
        <f t="shared" si="0"/>
        <v>-13207.266387241747</v>
      </c>
      <c r="F29" s="1">
        <f t="shared" si="1"/>
        <v>1819.7892645631218</v>
      </c>
    </row>
    <row r="30" spans="1:6" x14ac:dyDescent="0.3">
      <c r="A30" s="30">
        <v>42917</v>
      </c>
      <c r="B30" t="s">
        <v>7</v>
      </c>
      <c r="C30" s="1">
        <v>254107.98282566355</v>
      </c>
      <c r="D30" s="1">
        <f>AVERAGE($C$12:C30)</f>
        <v>220139.89914270953</v>
      </c>
      <c r="E30" s="9">
        <f t="shared" si="0"/>
        <v>4918.7819455447607</v>
      </c>
      <c r="F30" s="1">
        <f t="shared" si="1"/>
        <v>1887.1157601641025</v>
      </c>
    </row>
    <row r="31" spans="1:6" x14ac:dyDescent="0.3">
      <c r="A31" s="30">
        <v>42948</v>
      </c>
      <c r="B31" t="s">
        <v>8</v>
      </c>
      <c r="C31" s="1">
        <v>204151.8876096427</v>
      </c>
      <c r="D31" s="1">
        <f>AVERAGE($C$12:C31)</f>
        <v>219340.49856605619</v>
      </c>
      <c r="E31" s="9">
        <f t="shared" si="0"/>
        <v>-49956.095216020854</v>
      </c>
      <c r="F31" s="1">
        <f t="shared" si="1"/>
        <v>-799.40057665333734</v>
      </c>
    </row>
    <row r="32" spans="1:6" x14ac:dyDescent="0.3">
      <c r="A32" s="30">
        <v>42979</v>
      </c>
      <c r="B32" t="s">
        <v>9</v>
      </c>
      <c r="C32" s="1">
        <v>169391.77539708011</v>
      </c>
      <c r="D32" s="1">
        <f>AVERAGE($C$12:C32)</f>
        <v>216961.98793896209</v>
      </c>
      <c r="E32" s="9">
        <f t="shared" si="0"/>
        <v>-34760.112212562584</v>
      </c>
      <c r="F32" s="1">
        <f t="shared" si="1"/>
        <v>-2378.5106270941033</v>
      </c>
    </row>
    <row r="33" spans="1:6" x14ac:dyDescent="0.3">
      <c r="A33" s="30">
        <v>43009</v>
      </c>
      <c r="B33" t="s">
        <v>10</v>
      </c>
      <c r="C33" s="1">
        <v>174513.32281219179</v>
      </c>
      <c r="D33" s="1">
        <f>AVERAGE($C$12:C33)</f>
        <v>215032.50316047252</v>
      </c>
      <c r="E33" s="9">
        <f t="shared" si="0"/>
        <v>5121.5474151116796</v>
      </c>
      <c r="F33" s="1">
        <f t="shared" si="1"/>
        <v>-1929.4847784895683</v>
      </c>
    </row>
    <row r="34" spans="1:6" x14ac:dyDescent="0.3">
      <c r="A34" s="30">
        <v>43040</v>
      </c>
      <c r="B34" t="s">
        <v>11</v>
      </c>
      <c r="C34" s="1">
        <v>221121.26640169619</v>
      </c>
      <c r="D34" s="1">
        <f>AVERAGE($C$12:C34)</f>
        <v>215297.23199704746</v>
      </c>
      <c r="E34" s="9">
        <f t="shared" si="0"/>
        <v>46607.943589504401</v>
      </c>
      <c r="F34" s="1">
        <f t="shared" si="1"/>
        <v>264.72883657494094</v>
      </c>
    </row>
    <row r="35" spans="1:6" x14ac:dyDescent="0.3">
      <c r="A35" s="30">
        <v>43070</v>
      </c>
      <c r="B35" t="s">
        <v>12</v>
      </c>
      <c r="C35" s="1">
        <v>195955.12512319972</v>
      </c>
      <c r="D35" s="1">
        <f>AVERAGE($C$12:C35)</f>
        <v>214491.31087730383</v>
      </c>
      <c r="E35" s="9">
        <f t="shared" si="0"/>
        <v>-25166.141278496478</v>
      </c>
      <c r="F35" s="1">
        <f t="shared" si="1"/>
        <v>-805.92111974363797</v>
      </c>
    </row>
    <row r="36" spans="1:6" x14ac:dyDescent="0.3">
      <c r="A36" s="30">
        <v>43101</v>
      </c>
      <c r="B36" t="s">
        <v>1</v>
      </c>
      <c r="C36" s="1">
        <v>213774.55818340738</v>
      </c>
      <c r="D36" s="1">
        <f>AVERAGE($C$12:C36)</f>
        <v>214462.64076954796</v>
      </c>
      <c r="E36" s="9">
        <f t="shared" si="0"/>
        <v>17819.433060207666</v>
      </c>
      <c r="F36" s="1">
        <f t="shared" si="1"/>
        <v>-28.67010775586823</v>
      </c>
    </row>
    <row r="37" spans="1:6" x14ac:dyDescent="0.3">
      <c r="A37" s="30">
        <v>43132</v>
      </c>
      <c r="B37" t="s">
        <v>2</v>
      </c>
      <c r="C37" s="1">
        <v>206163.49746588187</v>
      </c>
      <c r="D37" s="1">
        <f>AVERAGE($C$12:C37)</f>
        <v>214143.44295017619</v>
      </c>
      <c r="E37" s="9">
        <f t="shared" si="0"/>
        <v>-7611.0607175255136</v>
      </c>
      <c r="F37" s="1">
        <f t="shared" si="1"/>
        <v>-319.19781937176595</v>
      </c>
    </row>
    <row r="38" spans="1:6" x14ac:dyDescent="0.3">
      <c r="A38" s="30">
        <v>43160</v>
      </c>
      <c r="B38" t="s">
        <v>3</v>
      </c>
      <c r="C38" s="1">
        <v>246665.09723224316</v>
      </c>
      <c r="D38" s="1">
        <f>AVERAGE($C$12:C38)</f>
        <v>215347.9486643268</v>
      </c>
      <c r="E38" s="9">
        <f t="shared" si="0"/>
        <v>40501.599766361294</v>
      </c>
      <c r="F38" s="1">
        <f t="shared" si="1"/>
        <v>1204.5057141506113</v>
      </c>
    </row>
    <row r="39" spans="1:6" x14ac:dyDescent="0.3">
      <c r="A39" s="30">
        <v>43191</v>
      </c>
      <c r="B39" t="s">
        <v>4</v>
      </c>
      <c r="C39" s="1">
        <v>263058.28218509874</v>
      </c>
      <c r="D39" s="1">
        <f>AVERAGE($C$12:C39)</f>
        <v>217051.88914721154</v>
      </c>
      <c r="E39" s="9">
        <f t="shared" si="0"/>
        <v>16393.184952855576</v>
      </c>
      <c r="F39" s="1">
        <f t="shared" si="1"/>
        <v>1703.9404828847328</v>
      </c>
    </row>
    <row r="40" spans="1:6" x14ac:dyDescent="0.3">
      <c r="A40" s="30">
        <v>43221</v>
      </c>
      <c r="B40" t="s">
        <v>5</v>
      </c>
      <c r="C40" s="1">
        <v>270009.11311363976</v>
      </c>
      <c r="D40" s="1">
        <f>AVERAGE($C$12:C40)</f>
        <v>218878.00031846768</v>
      </c>
      <c r="E40" s="9">
        <f t="shared" si="0"/>
        <v>6950.8309285410214</v>
      </c>
      <c r="F40" s="1">
        <f t="shared" si="1"/>
        <v>1826.1111712561396</v>
      </c>
    </row>
    <row r="41" spans="1:6" x14ac:dyDescent="0.3">
      <c r="A41" s="30">
        <v>43252</v>
      </c>
      <c r="B41" t="s">
        <v>6</v>
      </c>
      <c r="C41" s="1">
        <v>248678.24463688262</v>
      </c>
      <c r="D41" s="1">
        <f>AVERAGE($C$12:C41)</f>
        <v>219871.34179574819</v>
      </c>
      <c r="E41" s="9">
        <f t="shared" si="0"/>
        <v>-21330.868476757139</v>
      </c>
      <c r="F41" s="1">
        <f t="shared" si="1"/>
        <v>993.34147728051175</v>
      </c>
    </row>
    <row r="42" spans="1:6" x14ac:dyDescent="0.3">
      <c r="A42" s="30">
        <v>43282</v>
      </c>
      <c r="B42" t="s">
        <v>7</v>
      </c>
      <c r="C42" s="1">
        <v>258918.41267987023</v>
      </c>
      <c r="D42" s="1">
        <f>AVERAGE($C$12:C42)</f>
        <v>221130.92472749407</v>
      </c>
      <c r="E42" s="9">
        <f t="shared" si="0"/>
        <v>10240.168042987614</v>
      </c>
      <c r="F42" s="1">
        <f t="shared" si="1"/>
        <v>1259.5829317458847</v>
      </c>
    </row>
    <row r="43" spans="1:6" x14ac:dyDescent="0.3">
      <c r="A43" s="30">
        <v>43313</v>
      </c>
      <c r="B43" t="s">
        <v>8</v>
      </c>
      <c r="C43" s="1">
        <v>214999.64091860692</v>
      </c>
      <c r="D43" s="1">
        <f>AVERAGE($C$12:C43)</f>
        <v>220939.32210846635</v>
      </c>
      <c r="E43" s="9">
        <f t="shared" si="0"/>
        <v>-43918.771761263313</v>
      </c>
      <c r="F43" s="1">
        <f t="shared" si="1"/>
        <v>-191.6026190277189</v>
      </c>
    </row>
    <row r="44" spans="1:6" x14ac:dyDescent="0.3">
      <c r="A44" s="30">
        <v>43344</v>
      </c>
      <c r="B44" t="s">
        <v>9</v>
      </c>
      <c r="C44" s="1">
        <v>183826.98935590338</v>
      </c>
      <c r="D44" s="1">
        <f>AVERAGE($C$12:C44)</f>
        <v>219814.7059644493</v>
      </c>
      <c r="E44" s="9">
        <f t="shared" si="0"/>
        <v>-31172.651562703541</v>
      </c>
      <c r="F44" s="1">
        <f t="shared" si="1"/>
        <v>-1124.6161440170545</v>
      </c>
    </row>
    <row r="45" spans="1:6" x14ac:dyDescent="0.3">
      <c r="A45" s="30">
        <v>43374</v>
      </c>
      <c r="B45" t="s">
        <v>10</v>
      </c>
      <c r="C45" s="1">
        <v>177083.86109817406</v>
      </c>
      <c r="D45" s="1">
        <f>AVERAGE($C$12:C45)</f>
        <v>218557.91640955885</v>
      </c>
      <c r="E45" s="9">
        <f t="shared" si="0"/>
        <v>-6743.1282577293168</v>
      </c>
      <c r="F45" s="1">
        <f t="shared" si="1"/>
        <v>-1256.7895548904489</v>
      </c>
    </row>
    <row r="46" spans="1:6" x14ac:dyDescent="0.3">
      <c r="A46" s="30">
        <v>43405</v>
      </c>
      <c r="B46" t="s">
        <v>11</v>
      </c>
      <c r="C46" s="1">
        <v>237036.76439413236</v>
      </c>
      <c r="D46" s="1">
        <f>AVERAGE($C$12:C46)</f>
        <v>219085.88349483238</v>
      </c>
      <c r="E46" s="9">
        <f t="shared" si="0"/>
        <v>59952.903295958298</v>
      </c>
      <c r="F46" s="1">
        <f t="shared" si="1"/>
        <v>527.96708527352894</v>
      </c>
    </row>
    <row r="47" spans="1:6" x14ac:dyDescent="0.3">
      <c r="A47" s="30">
        <v>43435</v>
      </c>
      <c r="B47" t="s">
        <v>12</v>
      </c>
      <c r="C47" s="1">
        <v>225090.22506663777</v>
      </c>
      <c r="D47" s="1">
        <f>AVERAGE($C$12:C47)</f>
        <v>219252.67076071585</v>
      </c>
      <c r="E47" s="9">
        <f t="shared" si="0"/>
        <v>-11946.539327494596</v>
      </c>
      <c r="F47" s="1">
        <f t="shared" si="1"/>
        <v>166.78726588346763</v>
      </c>
    </row>
    <row r="48" spans="1:6" x14ac:dyDescent="0.3">
      <c r="A48" s="30">
        <v>43466</v>
      </c>
      <c r="B48" t="s">
        <v>1</v>
      </c>
      <c r="C48" s="1">
        <v>249216.72160865544</v>
      </c>
      <c r="D48" s="1">
        <f>AVERAGE($C$12:C48)</f>
        <v>220062.50997282233</v>
      </c>
      <c r="E48" s="9">
        <f t="shared" si="0"/>
        <v>24126.496542017674</v>
      </c>
      <c r="F48" s="1">
        <f t="shared" si="1"/>
        <v>809.83921210648259</v>
      </c>
    </row>
    <row r="49" spans="1:6" x14ac:dyDescent="0.3">
      <c r="A49" s="30">
        <v>43497</v>
      </c>
      <c r="B49" t="s">
        <v>2</v>
      </c>
      <c r="C49" s="1">
        <v>228194.24378902657</v>
      </c>
      <c r="D49" s="1">
        <f>AVERAGE($C$12:C49)</f>
        <v>220276.50296798558</v>
      </c>
      <c r="E49" s="9">
        <f t="shared" si="0"/>
        <v>-21022.477819628868</v>
      </c>
      <c r="F49" s="1">
        <f t="shared" si="1"/>
        <v>213.99299516325118</v>
      </c>
    </row>
    <row r="50" spans="1:6" x14ac:dyDescent="0.3">
      <c r="A50" s="30">
        <v>43525</v>
      </c>
      <c r="B50" t="s">
        <v>3</v>
      </c>
      <c r="C50" s="1">
        <v>292380.95443300076</v>
      </c>
      <c r="D50" s="1">
        <f>AVERAGE($C$12:C50)</f>
        <v>222125.33505683215</v>
      </c>
      <c r="E50" s="9">
        <f t="shared" si="0"/>
        <v>64186.710643974191</v>
      </c>
      <c r="F50" s="1">
        <f t="shared" si="1"/>
        <v>1848.8320888465678</v>
      </c>
    </row>
    <row r="51" spans="1:6" x14ac:dyDescent="0.3">
      <c r="A51" s="30">
        <v>43556</v>
      </c>
      <c r="B51" t="s">
        <v>4</v>
      </c>
      <c r="C51" s="1">
        <v>310844.14723521814</v>
      </c>
      <c r="D51" s="1">
        <f>AVERAGE($C$12:C51)</f>
        <v>224343.3053612918</v>
      </c>
      <c r="E51" s="9">
        <f t="shared" si="0"/>
        <v>18463.192802217382</v>
      </c>
      <c r="F51" s="1">
        <f t="shared" si="1"/>
        <v>2217.9703044596536</v>
      </c>
    </row>
    <row r="52" spans="1:6" x14ac:dyDescent="0.3">
      <c r="A52" s="30">
        <v>43586</v>
      </c>
      <c r="B52" t="s">
        <v>5</v>
      </c>
      <c r="C52" s="1">
        <v>306689.02252740611</v>
      </c>
      <c r="D52" s="1">
        <f>AVERAGE($C$12:C52)</f>
        <v>226351.73748729459</v>
      </c>
      <c r="E52" s="9">
        <f t="shared" si="0"/>
        <v>-4155.1247078120359</v>
      </c>
      <c r="F52" s="1">
        <f t="shared" si="1"/>
        <v>2008.4321260027937</v>
      </c>
    </row>
    <row r="53" spans="1:6" x14ac:dyDescent="0.3">
      <c r="A53" s="30">
        <v>43617</v>
      </c>
      <c r="B53" t="s">
        <v>6</v>
      </c>
      <c r="C53" s="1">
        <v>293483.46288461331</v>
      </c>
      <c r="D53" s="1">
        <f>AVERAGE($C$12:C53)</f>
        <v>227950.11190151644</v>
      </c>
      <c r="E53" s="9">
        <f t="shared" si="0"/>
        <v>-13205.559642792796</v>
      </c>
      <c r="F53" s="1">
        <f t="shared" si="1"/>
        <v>1598.3744142218493</v>
      </c>
    </row>
    <row r="54" spans="1:6" x14ac:dyDescent="0.3">
      <c r="A54" s="30">
        <v>43647</v>
      </c>
      <c r="B54" t="s">
        <v>7</v>
      </c>
      <c r="C54" s="1">
        <v>293248.75494191796</v>
      </c>
      <c r="D54" s="1">
        <f>AVERAGE($C$12:C54)</f>
        <v>229468.68499547927</v>
      </c>
      <c r="E54" s="9">
        <f t="shared" si="0"/>
        <v>-234.70794269535691</v>
      </c>
      <c r="F54" s="1">
        <f t="shared" si="1"/>
        <v>1518.5730939628265</v>
      </c>
    </row>
    <row r="55" spans="1:6" x14ac:dyDescent="0.3">
      <c r="A55" s="30">
        <v>43678</v>
      </c>
      <c r="B55" t="s">
        <v>8</v>
      </c>
      <c r="C55" s="1">
        <v>228747.80091821984</v>
      </c>
      <c r="D55" s="1">
        <f>AVERAGE($C$12:C55)</f>
        <v>229452.30126645064</v>
      </c>
      <c r="E55" s="9">
        <f t="shared" si="0"/>
        <v>-64500.954023698112</v>
      </c>
      <c r="F55" s="1">
        <f t="shared" si="1"/>
        <v>-16.383729028631933</v>
      </c>
    </row>
    <row r="56" spans="1:6" x14ac:dyDescent="0.3">
      <c r="A56" s="30">
        <v>43709</v>
      </c>
      <c r="B56" t="s">
        <v>9</v>
      </c>
      <c r="C56" s="1">
        <v>191953.81408937948</v>
      </c>
      <c r="D56" s="1">
        <f>AVERAGE($C$12:C56)</f>
        <v>228619.00155140462</v>
      </c>
      <c r="E56" s="9">
        <f t="shared" si="0"/>
        <v>-36793.986828840367</v>
      </c>
      <c r="F56" s="1">
        <f t="shared" si="1"/>
        <v>-833.29971504601417</v>
      </c>
    </row>
    <row r="57" spans="1:6" x14ac:dyDescent="0.3">
      <c r="A57" s="30">
        <v>43739</v>
      </c>
      <c r="B57" t="s">
        <v>10</v>
      </c>
      <c r="C57" s="1">
        <v>175614.53736704038</v>
      </c>
      <c r="D57" s="1">
        <f>AVERAGE($C$12:C57)</f>
        <v>227466.73059087497</v>
      </c>
      <c r="E57" s="9">
        <f t="shared" si="0"/>
        <v>-16339.276722339098</v>
      </c>
      <c r="F57" s="1">
        <f t="shared" si="1"/>
        <v>-1152.270960529655</v>
      </c>
    </row>
    <row r="58" spans="1:6" x14ac:dyDescent="0.3">
      <c r="A58" s="30">
        <v>43770</v>
      </c>
      <c r="B58" t="s">
        <v>11</v>
      </c>
      <c r="C58" s="1">
        <v>224393.82376452352</v>
      </c>
      <c r="D58" s="1">
        <f>AVERAGE($C$12:C58)</f>
        <v>227401.34959456962</v>
      </c>
      <c r="E58" s="9">
        <f t="shared" si="0"/>
        <v>48779.286397483142</v>
      </c>
      <c r="F58" s="1">
        <f t="shared" si="1"/>
        <v>-65.380996305349981</v>
      </c>
    </row>
    <row r="59" spans="1:6" x14ac:dyDescent="0.3">
      <c r="A59" s="30">
        <v>43800</v>
      </c>
      <c r="B59" t="s">
        <v>12</v>
      </c>
      <c r="C59" s="1">
        <v>235061.7561782866</v>
      </c>
      <c r="D59" s="1">
        <f>AVERAGE($C$12:C59)</f>
        <v>227560.94139839706</v>
      </c>
      <c r="E59" s="9">
        <f t="shared" si="0"/>
        <v>10667.932413763076</v>
      </c>
      <c r="F59" s="1">
        <f t="shared" si="1"/>
        <v>159.59180382743943</v>
      </c>
    </row>
    <row r="60" spans="1:6" x14ac:dyDescent="0.3">
      <c r="A60" s="30">
        <v>43831</v>
      </c>
      <c r="B60" t="s">
        <v>1</v>
      </c>
      <c r="C60" s="1">
        <v>239262.91403575291</v>
      </c>
      <c r="D60" s="1">
        <f>AVERAGE($C$12:C60)</f>
        <v>227799.75716650634</v>
      </c>
      <c r="E60" s="9">
        <f t="shared" si="0"/>
        <v>4201.1578574663145</v>
      </c>
      <c r="F60" s="1">
        <f t="shared" si="1"/>
        <v>238.81576810928527</v>
      </c>
    </row>
    <row r="61" spans="1:6" x14ac:dyDescent="0.3">
      <c r="A61" s="30">
        <v>43862</v>
      </c>
      <c r="B61" t="s">
        <v>2</v>
      </c>
      <c r="C61" s="1">
        <v>244876.22988987525</v>
      </c>
      <c r="D61" s="1">
        <f>AVERAGE($C$12:C61)</f>
        <v>228141.28662097373</v>
      </c>
      <c r="E61" s="9">
        <f t="shared" si="0"/>
        <v>5613.3158541223384</v>
      </c>
      <c r="F61" s="1">
        <f t="shared" si="1"/>
        <v>341.52945446738158</v>
      </c>
    </row>
    <row r="62" spans="1:6" x14ac:dyDescent="0.3">
      <c r="A62" s="30">
        <v>43891</v>
      </c>
      <c r="B62" t="s">
        <v>3</v>
      </c>
      <c r="C62" s="1">
        <v>132437.98080330843</v>
      </c>
      <c r="D62" s="1">
        <f>AVERAGE($C$12:C62)</f>
        <v>226264.75121278421</v>
      </c>
      <c r="E62" s="9">
        <f t="shared" si="0"/>
        <v>-112438.24908656682</v>
      </c>
      <c r="F62" s="1">
        <f t="shared" si="1"/>
        <v>-1876.5354081895202</v>
      </c>
    </row>
    <row r="63" spans="1:6" x14ac:dyDescent="0.3">
      <c r="A63" s="30">
        <v>43922</v>
      </c>
      <c r="B63" t="s">
        <v>4</v>
      </c>
      <c r="C63" s="1">
        <v>641.93452018587436</v>
      </c>
      <c r="D63" s="1">
        <f>AVERAGE($C$12:C63)</f>
        <v>221925.85089177269</v>
      </c>
      <c r="E63" s="9">
        <f t="shared" si="0"/>
        <v>-131796.04628312256</v>
      </c>
      <c r="F63" s="1">
        <f t="shared" si="1"/>
        <v>-4338.9003210115188</v>
      </c>
    </row>
    <row r="64" spans="1:6" x14ac:dyDescent="0.3">
      <c r="A64" s="30">
        <v>43952</v>
      </c>
      <c r="B64" t="s">
        <v>5</v>
      </c>
      <c r="C64" s="1">
        <v>1301.4319637319422</v>
      </c>
      <c r="D64" s="1">
        <f>AVERAGE($C$12:C64)</f>
        <v>217763.12600633796</v>
      </c>
      <c r="E64" s="9">
        <f t="shared" si="0"/>
        <v>659.49744354606787</v>
      </c>
      <c r="F64" s="1">
        <f t="shared" si="1"/>
        <v>-4162.7248854347272</v>
      </c>
    </row>
    <row r="65" spans="1:6" x14ac:dyDescent="0.3">
      <c r="A65" s="30">
        <v>43983</v>
      </c>
      <c r="B65" t="s">
        <v>6</v>
      </c>
      <c r="C65" s="1">
        <v>2067.5903796068651</v>
      </c>
      <c r="D65" s="1">
        <f>AVERAGE($C$12:C65)</f>
        <v>213768.76423547257</v>
      </c>
      <c r="E65" s="9">
        <f t="shared" si="0"/>
        <v>766.15841587492287</v>
      </c>
      <c r="F65" s="1">
        <f t="shared" si="1"/>
        <v>-3994.361770865391</v>
      </c>
    </row>
    <row r="66" spans="1:6" x14ac:dyDescent="0.3">
      <c r="A66" s="30">
        <v>44013</v>
      </c>
      <c r="B66" t="s">
        <v>7</v>
      </c>
      <c r="C66" s="1">
        <v>2197.920610378228</v>
      </c>
      <c r="D66" s="1">
        <f>AVERAGE($C$12:C66)</f>
        <v>209922.0216241072</v>
      </c>
      <c r="E66" s="9">
        <f t="shared" si="0"/>
        <v>130.33023077136295</v>
      </c>
      <c r="F66" s="1">
        <f t="shared" si="1"/>
        <v>-3846.7426113653637</v>
      </c>
    </row>
    <row r="67" spans="1:6" x14ac:dyDescent="0.3">
      <c r="A67" s="30">
        <v>44044</v>
      </c>
      <c r="B67" t="s">
        <v>8</v>
      </c>
      <c r="C67" s="1">
        <v>4114.628639773563</v>
      </c>
      <c r="D67" s="1">
        <f>AVERAGE($C$12:C67)</f>
        <v>206246.88960652985</v>
      </c>
      <c r="E67" s="9">
        <f t="shared" si="0"/>
        <v>1916.708029395335</v>
      </c>
      <c r="F67" s="1">
        <f t="shared" si="1"/>
        <v>-3675.1320175773581</v>
      </c>
    </row>
    <row r="68" spans="1:6" x14ac:dyDescent="0.3">
      <c r="A68" s="30">
        <v>44075</v>
      </c>
      <c r="B68" t="s">
        <v>9</v>
      </c>
      <c r="C68" s="1">
        <v>6689.4271615687639</v>
      </c>
      <c r="D68" s="1">
        <f>AVERAGE($C$12:C68)</f>
        <v>202745.88149346036</v>
      </c>
      <c r="E68" s="9">
        <f t="shared" si="0"/>
        <v>2574.7985217952009</v>
      </c>
      <c r="F68" s="1">
        <f t="shared" si="1"/>
        <v>-3501.0081130694889</v>
      </c>
    </row>
    <row r="69" spans="1:6" x14ac:dyDescent="0.3">
      <c r="A69" s="30">
        <v>44105</v>
      </c>
      <c r="B69" t="s">
        <v>10</v>
      </c>
      <c r="C69" s="1">
        <v>6404.1657751584289</v>
      </c>
      <c r="D69" s="1">
        <f>AVERAGE($C$12:C69)</f>
        <v>199360.67949831721</v>
      </c>
      <c r="E69" s="9">
        <f t="shared" si="0"/>
        <v>-285.26138641033504</v>
      </c>
      <c r="F69" s="1">
        <f t="shared" si="1"/>
        <v>-3385.201995143143</v>
      </c>
    </row>
    <row r="70" spans="1:6" x14ac:dyDescent="0.3">
      <c r="A70" s="30">
        <v>44136</v>
      </c>
      <c r="B70" t="s">
        <v>11</v>
      </c>
      <c r="C70" s="1">
        <v>3309.7558246726257</v>
      </c>
      <c r="D70" s="1">
        <f>AVERAGE($C$12:C70)</f>
        <v>196037.78248689949</v>
      </c>
      <c r="E70" s="9">
        <f t="shared" si="0"/>
        <v>-3094.4099504858032</v>
      </c>
      <c r="F70" s="1">
        <f t="shared" si="1"/>
        <v>-3322.8970114177209</v>
      </c>
    </row>
    <row r="71" spans="1:6" x14ac:dyDescent="0.3">
      <c r="A71" s="30">
        <v>44166</v>
      </c>
      <c r="B71" t="s">
        <v>12</v>
      </c>
      <c r="C71" s="1">
        <v>4437.5883626819123</v>
      </c>
      <c r="D71" s="1">
        <f>AVERAGE($C$12:C71)</f>
        <v>192844.44591816253</v>
      </c>
      <c r="E71" s="9">
        <f t="shared" si="0"/>
        <v>1127.8325380092865</v>
      </c>
      <c r="F71" s="1">
        <f t="shared" si="1"/>
        <v>-3193.336568736966</v>
      </c>
    </row>
    <row r="72" spans="1:6" x14ac:dyDescent="0.3">
      <c r="A72" s="30">
        <v>44197</v>
      </c>
      <c r="B72" t="s">
        <v>1</v>
      </c>
      <c r="C72" s="1">
        <v>3846.4062770999499</v>
      </c>
      <c r="D72" s="1">
        <f>AVERAGE($C$12:C72)</f>
        <v>189746.11739945659</v>
      </c>
      <c r="E72" s="9">
        <f t="shared" si="0"/>
        <v>-591.18208558196238</v>
      </c>
      <c r="F72" s="1">
        <f t="shared" si="1"/>
        <v>-3098.3285187059373</v>
      </c>
    </row>
    <row r="73" spans="1:6" x14ac:dyDescent="0.3">
      <c r="A73" s="30">
        <v>44228</v>
      </c>
      <c r="B73" t="s">
        <v>2</v>
      </c>
      <c r="C73" s="1">
        <v>3227.5014555003654</v>
      </c>
      <c r="D73" s="1">
        <f>AVERAGE($C$12:C73)</f>
        <v>186737.75262616697</v>
      </c>
      <c r="E73" s="9">
        <f t="shared" si="0"/>
        <v>-618.90482159958447</v>
      </c>
      <c r="F73" s="1">
        <f t="shared" si="1"/>
        <v>-3008.3647732896206</v>
      </c>
    </row>
    <row r="74" spans="1:6" x14ac:dyDescent="0.3">
      <c r="A74" s="30">
        <v>44256</v>
      </c>
      <c r="B74" t="s">
        <v>3</v>
      </c>
      <c r="C74" s="1">
        <v>2951.0309344861835</v>
      </c>
      <c r="D74" s="1">
        <f>AVERAGE($C$12:C74)</f>
        <v>183820.50307550537</v>
      </c>
      <c r="E74" s="9">
        <f t="shared" si="0"/>
        <v>-276.47052101418194</v>
      </c>
      <c r="F74" s="1">
        <f t="shared" si="1"/>
        <v>-2917.249550661596</v>
      </c>
    </row>
    <row r="75" spans="1:6" x14ac:dyDescent="0.3">
      <c r="A75" s="30">
        <v>44287</v>
      </c>
      <c r="B75" t="s">
        <v>4</v>
      </c>
      <c r="C75" s="1">
        <v>2598.8621786919034</v>
      </c>
      <c r="D75" s="1">
        <f>AVERAGE($C$12:C75)</f>
        <v>180988.91493649269</v>
      </c>
      <c r="E75" s="9">
        <f t="shared" si="0"/>
        <v>-352.16875579428006</v>
      </c>
      <c r="F75" s="1">
        <f t="shared" si="1"/>
        <v>-2831.5881390126888</v>
      </c>
    </row>
    <row r="76" spans="1:6" x14ac:dyDescent="0.3">
      <c r="A76" s="30">
        <v>44317</v>
      </c>
      <c r="B76" t="s">
        <v>5</v>
      </c>
      <c r="C76" s="1">
        <v>2753.4790873115135</v>
      </c>
      <c r="D76" s="1">
        <f>AVERAGE($C$12:C76)</f>
        <v>178246.83130804374</v>
      </c>
      <c r="E76" s="9">
        <f t="shared" si="0"/>
        <v>154.61690861961006</v>
      </c>
      <c r="F76" s="1">
        <f t="shared" si="1"/>
        <v>-2742.0836284489487</v>
      </c>
    </row>
    <row r="77" spans="1:6" x14ac:dyDescent="0.3">
      <c r="A77" s="30">
        <v>44348</v>
      </c>
      <c r="B77" t="s">
        <v>6</v>
      </c>
      <c r="C77" s="1">
        <v>2909.7769781967309</v>
      </c>
      <c r="D77" s="1">
        <f>AVERAGE($C$12:C77)</f>
        <v>175590.20927274303</v>
      </c>
      <c r="E77" s="9">
        <f t="shared" si="0"/>
        <v>156.29789088521738</v>
      </c>
      <c r="F77" s="1">
        <f t="shared" si="1"/>
        <v>-2656.6220353007084</v>
      </c>
    </row>
    <row r="78" spans="1:6" x14ac:dyDescent="0.3">
      <c r="A78" s="30">
        <v>44378</v>
      </c>
      <c r="B78" t="s">
        <v>7</v>
      </c>
      <c r="C78" s="1">
        <v>11740.669416837227</v>
      </c>
      <c r="D78" s="1">
        <f>AVERAGE($C$12:C78)</f>
        <v>173144.69375250564</v>
      </c>
      <c r="E78" s="9">
        <f t="shared" ref="E78:E110" si="2">C78-C77</f>
        <v>8830.892438640496</v>
      </c>
      <c r="F78" s="1">
        <f t="shared" ref="F78:F110" si="3">D78-D77</f>
        <v>-2445.5155202373862</v>
      </c>
    </row>
    <row r="79" spans="1:6" x14ac:dyDescent="0.3">
      <c r="A79" s="30">
        <v>44409</v>
      </c>
      <c r="B79" t="s">
        <v>8</v>
      </c>
      <c r="C79" s="1">
        <v>37255.496934670307</v>
      </c>
      <c r="D79" s="1">
        <f>AVERAGE($C$12:C79)</f>
        <v>171146.32321106689</v>
      </c>
      <c r="E79" s="9">
        <f t="shared" si="2"/>
        <v>25514.82751783308</v>
      </c>
      <c r="F79" s="1">
        <f t="shared" si="3"/>
        <v>-1998.3705414387514</v>
      </c>
    </row>
    <row r="80" spans="1:6" x14ac:dyDescent="0.3">
      <c r="A80" s="30">
        <v>44440</v>
      </c>
      <c r="B80" t="s">
        <v>9</v>
      </c>
      <c r="C80" s="1">
        <v>45404.752650119124</v>
      </c>
      <c r="D80" s="1">
        <f>AVERAGE($C$12:C80)</f>
        <v>169323.98160873432</v>
      </c>
      <c r="E80" s="9">
        <f t="shared" si="2"/>
        <v>8149.2557154488168</v>
      </c>
      <c r="F80" s="1">
        <f t="shared" si="3"/>
        <v>-1822.3416023325699</v>
      </c>
    </row>
    <row r="81" spans="1:6" x14ac:dyDescent="0.3">
      <c r="A81" s="30">
        <v>44470</v>
      </c>
      <c r="B81" t="s">
        <v>10</v>
      </c>
      <c r="C81" s="1">
        <v>50645.752357514291</v>
      </c>
      <c r="D81" s="1">
        <f>AVERAGE($C$12:C81)</f>
        <v>167628.5783337169</v>
      </c>
      <c r="E81" s="9">
        <f t="shared" si="2"/>
        <v>5240.9997073951672</v>
      </c>
      <c r="F81" s="1">
        <f t="shared" si="3"/>
        <v>-1695.4032750174229</v>
      </c>
    </row>
    <row r="82" spans="1:6" x14ac:dyDescent="0.3">
      <c r="A82" s="30">
        <v>44501</v>
      </c>
      <c r="B82" t="s">
        <v>11</v>
      </c>
      <c r="C82" s="1">
        <v>49721.641573337147</v>
      </c>
      <c r="D82" s="1">
        <f>AVERAGE($C$12:C82)</f>
        <v>165967.9172525848</v>
      </c>
      <c r="E82" s="9">
        <f t="shared" si="2"/>
        <v>-924.11078417714452</v>
      </c>
      <c r="F82" s="1">
        <f t="shared" si="3"/>
        <v>-1660.6610811321007</v>
      </c>
    </row>
    <row r="83" spans="1:6" x14ac:dyDescent="0.3">
      <c r="A83" s="30">
        <v>44531</v>
      </c>
      <c r="B83" t="s">
        <v>12</v>
      </c>
      <c r="C83" s="1">
        <v>66329.056761290121</v>
      </c>
      <c r="D83" s="1">
        <f>AVERAGE($C$12:C83)</f>
        <v>164584.04419020572</v>
      </c>
      <c r="E83" s="9">
        <f t="shared" si="2"/>
        <v>16607.415187952975</v>
      </c>
      <c r="F83" s="1">
        <f t="shared" si="3"/>
        <v>-1383.8730623790761</v>
      </c>
    </row>
    <row r="84" spans="1:6" x14ac:dyDescent="0.3">
      <c r="A84" s="30">
        <v>44562</v>
      </c>
      <c r="B84" t="s">
        <v>1</v>
      </c>
      <c r="C84" s="1">
        <v>90770.999675373227</v>
      </c>
      <c r="D84" s="1">
        <f>AVERAGE($C$12:C84)</f>
        <v>163572.90659411211</v>
      </c>
      <c r="E84" s="9">
        <f t="shared" si="2"/>
        <v>24441.942914083105</v>
      </c>
      <c r="F84" s="1">
        <f t="shared" si="3"/>
        <v>-1011.137596093613</v>
      </c>
    </row>
    <row r="85" spans="1:6" x14ac:dyDescent="0.3">
      <c r="A85" s="30">
        <v>44593</v>
      </c>
      <c r="B85" t="s">
        <v>2</v>
      </c>
      <c r="C85" s="1">
        <v>108122.73917942983</v>
      </c>
      <c r="D85" s="1">
        <f>AVERAGE($C$12:C85)</f>
        <v>162823.58000742723</v>
      </c>
      <c r="E85" s="9">
        <f t="shared" si="2"/>
        <v>17351.739504056604</v>
      </c>
      <c r="F85" s="1">
        <f t="shared" si="3"/>
        <v>-749.32658668488148</v>
      </c>
    </row>
    <row r="86" spans="1:6" x14ac:dyDescent="0.3">
      <c r="A86" s="30">
        <v>44621</v>
      </c>
      <c r="B86" t="s">
        <v>3</v>
      </c>
      <c r="C86" s="1">
        <v>116465.79105006406</v>
      </c>
      <c r="D86" s="1">
        <f>AVERAGE($C$12:C86)</f>
        <v>162205.47615466238</v>
      </c>
      <c r="E86" s="9">
        <f t="shared" si="2"/>
        <v>8343.0518706342264</v>
      </c>
      <c r="F86" s="1">
        <f t="shared" si="3"/>
        <v>-618.10385276484885</v>
      </c>
    </row>
    <row r="87" spans="1:6" x14ac:dyDescent="0.3">
      <c r="A87" s="30">
        <v>44652</v>
      </c>
      <c r="B87" t="s">
        <v>4</v>
      </c>
      <c r="C87" s="1">
        <v>191524.73040034555</v>
      </c>
      <c r="D87" s="1">
        <f>AVERAGE($C$12:C87)</f>
        <v>162591.2558157898</v>
      </c>
      <c r="E87" s="9">
        <f t="shared" si="2"/>
        <v>75058.939350281493</v>
      </c>
      <c r="F87" s="1">
        <f t="shared" si="3"/>
        <v>385.77966112742433</v>
      </c>
    </row>
    <row r="88" spans="1:6" x14ac:dyDescent="0.3">
      <c r="A88" s="30">
        <v>44682</v>
      </c>
      <c r="B88" t="s">
        <v>5</v>
      </c>
      <c r="C88" s="1">
        <v>209311.20369504517</v>
      </c>
      <c r="D88" s="1">
        <f>AVERAGE($C$12:C88)</f>
        <v>163198.00838565026</v>
      </c>
      <c r="E88" s="9">
        <f t="shared" si="2"/>
        <v>17786.473294699623</v>
      </c>
      <c r="F88" s="1">
        <f t="shared" si="3"/>
        <v>606.75256986045861</v>
      </c>
    </row>
    <row r="89" spans="1:6" x14ac:dyDescent="0.3">
      <c r="A89" s="30">
        <v>44713</v>
      </c>
      <c r="B89" t="s">
        <v>6</v>
      </c>
      <c r="C89" s="1">
        <v>219057.63590834805</v>
      </c>
      <c r="D89" s="1">
        <f>AVERAGE($C$12:C89)</f>
        <v>163914.15745645409</v>
      </c>
      <c r="E89" s="9">
        <f t="shared" si="2"/>
        <v>9746.4322133028763</v>
      </c>
      <c r="F89" s="1">
        <f t="shared" si="3"/>
        <v>716.14907080383273</v>
      </c>
    </row>
    <row r="90" spans="1:6" x14ac:dyDescent="0.3">
      <c r="A90" s="30">
        <v>44743</v>
      </c>
      <c r="B90" t="s">
        <v>7</v>
      </c>
      <c r="C90" s="1">
        <v>198392.07731468696</v>
      </c>
      <c r="D90" s="1">
        <f>AVERAGE($C$12:C90)</f>
        <v>164350.58682174815</v>
      </c>
      <c r="E90" s="9">
        <f t="shared" si="2"/>
        <v>-20665.558593661088</v>
      </c>
      <c r="F90" s="1">
        <f t="shared" si="3"/>
        <v>436.42936529405415</v>
      </c>
    </row>
    <row r="91" spans="1:6" x14ac:dyDescent="0.3">
      <c r="A91" s="30">
        <v>44774</v>
      </c>
      <c r="B91" t="s">
        <v>8</v>
      </c>
      <c r="C91" s="1">
        <v>207026.95401613574</v>
      </c>
      <c r="D91" s="1">
        <f>AVERAGE($C$12:C91)</f>
        <v>164884.04141167802</v>
      </c>
      <c r="E91" s="9">
        <f t="shared" si="2"/>
        <v>8634.8767014487821</v>
      </c>
      <c r="F91" s="1">
        <f t="shared" si="3"/>
        <v>533.45458992986823</v>
      </c>
    </row>
    <row r="92" spans="1:6" x14ac:dyDescent="0.3">
      <c r="A92" s="30">
        <v>44805</v>
      </c>
      <c r="B92" t="s">
        <v>9</v>
      </c>
      <c r="C92" s="1">
        <v>156165.16614220969</v>
      </c>
      <c r="D92" s="1">
        <f>AVERAGE($C$12:C92)</f>
        <v>164776.40097625248</v>
      </c>
      <c r="E92" s="9">
        <f t="shared" si="2"/>
        <v>-50861.787873926049</v>
      </c>
      <c r="F92" s="1">
        <f t="shared" si="3"/>
        <v>-107.64043542553554</v>
      </c>
    </row>
    <row r="93" spans="1:6" x14ac:dyDescent="0.3">
      <c r="A93" s="30">
        <v>44835</v>
      </c>
      <c r="B93" t="s">
        <v>10</v>
      </c>
      <c r="C93" s="1">
        <v>186183.08411958037</v>
      </c>
      <c r="D93" s="1">
        <f>AVERAGE($C$12:C93)</f>
        <v>165037.45808775647</v>
      </c>
      <c r="E93" s="9">
        <f t="shared" si="2"/>
        <v>30017.917977370671</v>
      </c>
      <c r="F93" s="1">
        <f t="shared" si="3"/>
        <v>261.05711150399293</v>
      </c>
    </row>
    <row r="94" spans="1:6" x14ac:dyDescent="0.3">
      <c r="A94" s="30">
        <v>44866</v>
      </c>
      <c r="B94" t="s">
        <v>11</v>
      </c>
      <c r="C94" s="1">
        <v>186840.61561237861</v>
      </c>
      <c r="D94" s="1">
        <f>AVERAGE($C$12:C94)</f>
        <v>165300.14673263143</v>
      </c>
      <c r="E94" s="9">
        <f t="shared" si="2"/>
        <v>657.53149279823992</v>
      </c>
      <c r="F94" s="1">
        <f t="shared" si="3"/>
        <v>262.68864487495739</v>
      </c>
    </row>
    <row r="95" spans="1:6" x14ac:dyDescent="0.3">
      <c r="A95" s="30">
        <v>44896</v>
      </c>
      <c r="B95" t="s">
        <v>12</v>
      </c>
      <c r="C95" s="1">
        <v>169713.20389962225</v>
      </c>
      <c r="D95" s="1">
        <f>AVERAGE($C$12:C95)</f>
        <v>165352.68312747657</v>
      </c>
      <c r="E95" s="9">
        <f t="shared" si="2"/>
        <v>-17127.411712756351</v>
      </c>
      <c r="F95" s="1">
        <f t="shared" si="3"/>
        <v>52.536394845141331</v>
      </c>
    </row>
    <row r="96" spans="1:6" x14ac:dyDescent="0.3">
      <c r="A96" s="30">
        <v>44927</v>
      </c>
      <c r="B96" t="s">
        <v>1</v>
      </c>
      <c r="C96" s="1">
        <v>172677.96810761312</v>
      </c>
      <c r="D96" s="1">
        <f>AVERAGE($C$12:C96)</f>
        <v>165438.86295077228</v>
      </c>
      <c r="E96" s="9">
        <f t="shared" si="2"/>
        <v>2964.7642079908692</v>
      </c>
      <c r="F96" s="1">
        <f t="shared" si="3"/>
        <v>86.179823295708047</v>
      </c>
    </row>
    <row r="97" spans="1:6" x14ac:dyDescent="0.3">
      <c r="A97" s="30">
        <v>44958</v>
      </c>
      <c r="B97" t="s">
        <v>2</v>
      </c>
      <c r="C97" s="1">
        <v>188491.46256984698</v>
      </c>
      <c r="D97" s="1">
        <f>AVERAGE($C$12:C97)</f>
        <v>165706.91643471504</v>
      </c>
      <c r="E97" s="9">
        <f t="shared" si="2"/>
        <v>15813.494462233852</v>
      </c>
      <c r="F97" s="1">
        <f t="shared" si="3"/>
        <v>268.05348394275643</v>
      </c>
    </row>
    <row r="98" spans="1:6" x14ac:dyDescent="0.3">
      <c r="A98" s="30">
        <v>44986</v>
      </c>
      <c r="B98" t="s">
        <v>3</v>
      </c>
      <c r="C98" s="1">
        <v>222669.40831319566</v>
      </c>
      <c r="D98" s="1">
        <f>AVERAGE($C$12:C98)</f>
        <v>166361.65772067459</v>
      </c>
      <c r="E98" s="9">
        <f t="shared" si="2"/>
        <v>34177.945743348682</v>
      </c>
      <c r="F98" s="1">
        <f t="shared" si="3"/>
        <v>654.74128595954971</v>
      </c>
    </row>
    <row r="99" spans="1:6" x14ac:dyDescent="0.3">
      <c r="A99" s="30">
        <v>45017</v>
      </c>
      <c r="B99" t="s">
        <v>4</v>
      </c>
      <c r="C99" s="1">
        <v>341798.35948232247</v>
      </c>
      <c r="D99" s="1">
        <f>AVERAGE($C$12:C99)</f>
        <v>168355.25660432965</v>
      </c>
      <c r="E99" s="9">
        <f t="shared" si="2"/>
        <v>119128.95116912681</v>
      </c>
      <c r="F99" s="1">
        <f t="shared" si="3"/>
        <v>1993.5988836550678</v>
      </c>
    </row>
    <row r="100" spans="1:6" x14ac:dyDescent="0.3">
      <c r="A100" s="30">
        <v>45047</v>
      </c>
      <c r="B100" t="s">
        <v>5</v>
      </c>
      <c r="C100" s="1">
        <v>346455.81157649617</v>
      </c>
      <c r="D100" s="1">
        <f>AVERAGE($C$12:C100)</f>
        <v>170356.38643547762</v>
      </c>
      <c r="E100" s="9">
        <f t="shared" si="2"/>
        <v>4657.4520941736992</v>
      </c>
      <c r="F100" s="1">
        <f t="shared" si="3"/>
        <v>2001.1298311479622</v>
      </c>
    </row>
    <row r="101" spans="1:6" x14ac:dyDescent="0.3">
      <c r="A101" s="30">
        <v>45078</v>
      </c>
      <c r="B101" t="s">
        <v>6</v>
      </c>
      <c r="C101" s="1">
        <v>355494.835555739</v>
      </c>
      <c r="D101" s="1">
        <f>AVERAGE($C$12:C101)</f>
        <v>172413.48031459164</v>
      </c>
      <c r="E101" s="9">
        <f t="shared" si="2"/>
        <v>9039.0239792428329</v>
      </c>
      <c r="F101" s="1">
        <f t="shared" si="3"/>
        <v>2057.0938791140215</v>
      </c>
    </row>
    <row r="102" spans="1:6" x14ac:dyDescent="0.3">
      <c r="A102" s="30">
        <v>45108</v>
      </c>
      <c r="B102" t="s">
        <v>7</v>
      </c>
      <c r="C102" s="1">
        <v>314898.69355130784</v>
      </c>
      <c r="D102" s="1">
        <f>AVERAGE($C$12:C102)</f>
        <v>173979.25188862148</v>
      </c>
      <c r="E102" s="9">
        <f t="shared" si="2"/>
        <v>-40596.142004431167</v>
      </c>
      <c r="F102" s="1">
        <f t="shared" si="3"/>
        <v>1565.7715740298445</v>
      </c>
    </row>
    <row r="103" spans="1:6" x14ac:dyDescent="0.3">
      <c r="A103" s="30">
        <v>45139</v>
      </c>
      <c r="B103" t="s">
        <v>8</v>
      </c>
      <c r="C103" s="1">
        <v>328728.94789950748</v>
      </c>
      <c r="D103" s="1">
        <f>AVERAGE($C$12:C103)</f>
        <v>175661.31380178328</v>
      </c>
      <c r="E103" s="9">
        <f t="shared" si="2"/>
        <v>13830.25434819964</v>
      </c>
      <c r="F103" s="1">
        <f t="shared" si="3"/>
        <v>1682.0619131618005</v>
      </c>
    </row>
    <row r="104" spans="1:6" x14ac:dyDescent="0.3">
      <c r="A104" s="30">
        <v>45170</v>
      </c>
      <c r="B104" t="s">
        <v>9</v>
      </c>
      <c r="C104" s="1">
        <v>233650.2511101992</v>
      </c>
      <c r="D104" s="1">
        <f>AVERAGE($C$12:C104)</f>
        <v>176284.85076208884</v>
      </c>
      <c r="E104" s="9">
        <f t="shared" si="2"/>
        <v>-95078.696789308276</v>
      </c>
      <c r="F104" s="1">
        <f t="shared" si="3"/>
        <v>623.53696030555875</v>
      </c>
    </row>
    <row r="105" spans="1:6" x14ac:dyDescent="0.3">
      <c r="A105" s="30">
        <v>45200</v>
      </c>
      <c r="B105" t="s">
        <v>10</v>
      </c>
      <c r="C105" s="1">
        <v>254817.93501796076</v>
      </c>
      <c r="D105" s="1">
        <f>AVERAGE($C$12:C105)</f>
        <v>177120.3091052364</v>
      </c>
      <c r="E105" s="9">
        <f t="shared" si="2"/>
        <v>21167.683907761559</v>
      </c>
      <c r="F105" s="1">
        <f t="shared" si="3"/>
        <v>835.45834314756212</v>
      </c>
    </row>
    <row r="106" spans="1:6" x14ac:dyDescent="0.3">
      <c r="A106" s="30">
        <v>45231</v>
      </c>
      <c r="B106" t="s">
        <v>11</v>
      </c>
      <c r="C106" s="1">
        <v>232886.86769949077</v>
      </c>
      <c r="D106" s="1">
        <f>AVERAGE($C$12:C106)</f>
        <v>177707.32551149168</v>
      </c>
      <c r="E106" s="9">
        <f t="shared" si="2"/>
        <v>-21931.067318469984</v>
      </c>
      <c r="F106" s="1">
        <f t="shared" si="3"/>
        <v>587.01640625527943</v>
      </c>
    </row>
    <row r="107" spans="1:6" x14ac:dyDescent="0.3">
      <c r="A107" s="30">
        <v>45261</v>
      </c>
      <c r="B107" t="s">
        <v>12</v>
      </c>
      <c r="C107" s="1">
        <v>213567.37935102233</v>
      </c>
      <c r="D107" s="1">
        <f>AVERAGE($C$12:C107)</f>
        <v>178080.86773898682</v>
      </c>
      <c r="E107" s="9">
        <f t="shared" si="2"/>
        <v>-19319.48834846844</v>
      </c>
      <c r="F107" s="1">
        <f t="shared" si="3"/>
        <v>373.54222749514156</v>
      </c>
    </row>
    <row r="108" spans="1:6" x14ac:dyDescent="0.3">
      <c r="A108" s="30">
        <v>45292</v>
      </c>
      <c r="B108" t="s">
        <v>1</v>
      </c>
      <c r="C108" s="1">
        <v>174061.71257188945</v>
      </c>
      <c r="D108" s="1">
        <f>AVERAGE($C$12:C108)</f>
        <v>178039.4331496353</v>
      </c>
      <c r="E108" s="9">
        <f t="shared" si="2"/>
        <v>-39505.66677913288</v>
      </c>
      <c r="F108" s="1">
        <f t="shared" si="3"/>
        <v>-41.434589351527393</v>
      </c>
    </row>
    <row r="109" spans="1:6" x14ac:dyDescent="0.3">
      <c r="A109" s="30">
        <v>45323</v>
      </c>
      <c r="B109" t="s">
        <v>2</v>
      </c>
      <c r="C109" s="1">
        <v>175542.08526326489</v>
      </c>
      <c r="D109" s="1">
        <f>AVERAGE($C$12:C109)</f>
        <v>178013.95000793762</v>
      </c>
      <c r="E109" s="9">
        <f t="shared" si="2"/>
        <v>1480.3726913754363</v>
      </c>
      <c r="F109" s="1">
        <f t="shared" si="3"/>
        <v>-25.483141697681276</v>
      </c>
    </row>
    <row r="110" spans="1:6" x14ac:dyDescent="0.3">
      <c r="A110" s="30">
        <v>45352</v>
      </c>
      <c r="B110" t="s">
        <v>3</v>
      </c>
      <c r="C110" s="1">
        <v>189641.97923937754</v>
      </c>
      <c r="D110" s="1">
        <f>AVERAGE($C$12:C110)</f>
        <v>178131.40484865924</v>
      </c>
      <c r="E110" s="9">
        <f t="shared" si="2"/>
        <v>14099.893976112653</v>
      </c>
      <c r="F110" s="1">
        <f t="shared" si="3"/>
        <v>117.45484072162071</v>
      </c>
    </row>
    <row r="111" spans="1:6" x14ac:dyDescent="0.3">
      <c r="C111" s="1"/>
      <c r="D111" s="1"/>
      <c r="E111" s="9"/>
      <c r="F111" s="1"/>
    </row>
    <row r="112" spans="1:6" x14ac:dyDescent="0.3">
      <c r="C112" s="1"/>
      <c r="D112" s="1"/>
      <c r="E112" s="9"/>
      <c r="F112" s="1"/>
    </row>
    <row r="113" spans="3:6" x14ac:dyDescent="0.3">
      <c r="C113" s="1"/>
      <c r="D113" s="1"/>
      <c r="E113" s="9"/>
      <c r="F113" s="1"/>
    </row>
    <row r="114" spans="3:6" x14ac:dyDescent="0.3">
      <c r="C114" s="1"/>
      <c r="D114" s="1"/>
      <c r="E114" s="9"/>
      <c r="F114" s="1"/>
    </row>
    <row r="115" spans="3:6" x14ac:dyDescent="0.3">
      <c r="C115" s="1"/>
      <c r="D115" s="1"/>
      <c r="E115" s="9"/>
      <c r="F115" s="1"/>
    </row>
    <row r="116" spans="3:6" x14ac:dyDescent="0.3">
      <c r="C116" s="1"/>
      <c r="D116" s="1"/>
      <c r="E116" s="9"/>
      <c r="F116" s="1"/>
    </row>
    <row r="117" spans="3:6" x14ac:dyDescent="0.3">
      <c r="C117" s="1"/>
      <c r="D117" s="1"/>
      <c r="E117" s="9"/>
      <c r="F117" s="1"/>
    </row>
    <row r="118" spans="3:6" x14ac:dyDescent="0.3">
      <c r="C118" s="1"/>
      <c r="D118" s="1"/>
      <c r="E118" s="9"/>
      <c r="F118" s="1"/>
    </row>
    <row r="119" spans="3:6" x14ac:dyDescent="0.3">
      <c r="C119" s="1"/>
      <c r="D119" s="1"/>
      <c r="E119" s="9"/>
      <c r="F119" s="1"/>
    </row>
    <row r="120" spans="3:6" x14ac:dyDescent="0.3">
      <c r="C120" s="1"/>
      <c r="D120" s="1"/>
      <c r="E120" s="9"/>
      <c r="F120" s="1"/>
    </row>
    <row r="121" spans="3:6" x14ac:dyDescent="0.3">
      <c r="C121" s="1"/>
      <c r="D121" s="1"/>
      <c r="E121" s="9"/>
      <c r="F121" s="1"/>
    </row>
    <row r="122" spans="3:6" x14ac:dyDescent="0.3">
      <c r="C122" s="1"/>
      <c r="D122" s="1"/>
      <c r="E122" s="9"/>
      <c r="F122" s="1"/>
    </row>
    <row r="123" spans="3:6" x14ac:dyDescent="0.3">
      <c r="C123" s="1"/>
      <c r="D123" s="1"/>
      <c r="E123" s="9"/>
      <c r="F123" s="1"/>
    </row>
    <row r="124" spans="3:6" x14ac:dyDescent="0.3">
      <c r="C124" s="1"/>
      <c r="D124" s="1"/>
      <c r="E124" s="9"/>
      <c r="F124" s="1"/>
    </row>
    <row r="125" spans="3:6" x14ac:dyDescent="0.3">
      <c r="C125" s="1"/>
      <c r="D125" s="1"/>
      <c r="E125" s="9"/>
      <c r="F125" s="1"/>
    </row>
    <row r="126" spans="3:6" x14ac:dyDescent="0.3">
      <c r="C126" s="1"/>
      <c r="D126" s="1"/>
      <c r="E126" s="9"/>
      <c r="F126" s="1"/>
    </row>
    <row r="127" spans="3:6" x14ac:dyDescent="0.3">
      <c r="C127" s="1"/>
      <c r="D127" s="1"/>
      <c r="E127" s="9"/>
      <c r="F127" s="1"/>
    </row>
    <row r="128" spans="3:6" x14ac:dyDescent="0.3">
      <c r="C128" s="1"/>
      <c r="D128" s="1"/>
      <c r="E128" s="9"/>
      <c r="F128" s="1"/>
    </row>
    <row r="129" spans="3:6" x14ac:dyDescent="0.3">
      <c r="C129" s="1"/>
      <c r="D129" s="1"/>
      <c r="E129" s="9"/>
      <c r="F129" s="1"/>
    </row>
    <row r="130" spans="3:6" x14ac:dyDescent="0.3">
      <c r="C130" s="1"/>
      <c r="D130" s="1"/>
      <c r="E130" s="9"/>
      <c r="F130" s="1"/>
    </row>
    <row r="131" spans="3:6" x14ac:dyDescent="0.3">
      <c r="C131" s="1"/>
      <c r="D131" s="1"/>
      <c r="E131" s="9"/>
      <c r="F131" s="1"/>
    </row>
    <row r="132" spans="3:6" x14ac:dyDescent="0.3">
      <c r="C132" s="1"/>
      <c r="D132" s="1"/>
      <c r="E132" s="9"/>
      <c r="F132" s="1"/>
    </row>
    <row r="133" spans="3:6" x14ac:dyDescent="0.3">
      <c r="C133" s="1"/>
      <c r="D133" s="1"/>
      <c r="E133" s="9"/>
      <c r="F133" s="1"/>
    </row>
    <row r="134" spans="3:6" x14ac:dyDescent="0.3">
      <c r="C134" s="1"/>
      <c r="D134" s="1"/>
      <c r="E134" s="9"/>
      <c r="F134" s="1"/>
    </row>
    <row r="135" spans="3:6" x14ac:dyDescent="0.3">
      <c r="C135" s="1"/>
      <c r="D135" s="1"/>
      <c r="E135" s="9"/>
      <c r="F135" s="1"/>
    </row>
    <row r="136" spans="3:6" x14ac:dyDescent="0.3">
      <c r="C136" s="1"/>
      <c r="D136" s="1"/>
      <c r="E136" s="9"/>
      <c r="F136" s="1"/>
    </row>
    <row r="137" spans="3:6" x14ac:dyDescent="0.3">
      <c r="C137" s="1"/>
      <c r="D137" s="1"/>
      <c r="E137" s="9"/>
      <c r="F137" s="1"/>
    </row>
    <row r="138" spans="3:6" x14ac:dyDescent="0.3">
      <c r="C138" s="1"/>
      <c r="D138" s="1"/>
      <c r="E138" s="9"/>
      <c r="F138" s="1"/>
    </row>
    <row r="139" spans="3:6" x14ac:dyDescent="0.3">
      <c r="C139" s="1"/>
      <c r="D139" s="1"/>
      <c r="E139" s="9"/>
      <c r="F139" s="1"/>
    </row>
    <row r="140" spans="3:6" x14ac:dyDescent="0.3">
      <c r="C140" s="1"/>
      <c r="D140" s="1"/>
      <c r="E140" s="9"/>
      <c r="F140" s="1"/>
    </row>
    <row r="141" spans="3:6" x14ac:dyDescent="0.3">
      <c r="C141" s="1"/>
      <c r="D141" s="1"/>
      <c r="E141" s="9"/>
      <c r="F141" s="1"/>
    </row>
    <row r="142" spans="3:6" x14ac:dyDescent="0.3">
      <c r="C142" s="1"/>
      <c r="D142" s="1"/>
      <c r="E142" s="9"/>
      <c r="F142" s="1"/>
    </row>
    <row r="143" spans="3:6" x14ac:dyDescent="0.3">
      <c r="C143" s="1"/>
      <c r="D143" s="1"/>
      <c r="E143" s="9"/>
      <c r="F143" s="1"/>
    </row>
    <row r="144" spans="3:6" x14ac:dyDescent="0.3">
      <c r="C144" s="1"/>
      <c r="D144" s="1"/>
      <c r="E144" s="9"/>
      <c r="F144" s="1"/>
    </row>
    <row r="145" spans="3:6" x14ac:dyDescent="0.3">
      <c r="C145" s="1"/>
      <c r="D145" s="1"/>
      <c r="E145" s="9"/>
      <c r="F145" s="1"/>
    </row>
    <row r="146" spans="3:6" x14ac:dyDescent="0.3">
      <c r="C146" s="1"/>
      <c r="D146" s="1"/>
      <c r="E146" s="9"/>
      <c r="F146" s="1"/>
    </row>
    <row r="147" spans="3:6" x14ac:dyDescent="0.3">
      <c r="C147" s="1"/>
      <c r="D147" s="1"/>
      <c r="E147" s="9"/>
      <c r="F147" s="1"/>
    </row>
    <row r="148" spans="3:6" x14ac:dyDescent="0.3">
      <c r="C148" s="1"/>
      <c r="D148" s="1"/>
      <c r="E148" s="9"/>
      <c r="F148" s="1"/>
    </row>
    <row r="149" spans="3:6" x14ac:dyDescent="0.3">
      <c r="C149" s="1"/>
      <c r="D149" s="1"/>
      <c r="E149" s="9"/>
      <c r="F149" s="1"/>
    </row>
    <row r="150" spans="3:6" x14ac:dyDescent="0.3">
      <c r="C150" s="1"/>
      <c r="D150" s="1"/>
      <c r="E150" s="9"/>
      <c r="F150" s="1"/>
    </row>
    <row r="151" spans="3:6" x14ac:dyDescent="0.3">
      <c r="C151" s="1"/>
      <c r="D151" s="1"/>
      <c r="E151" s="9"/>
      <c r="F151" s="1"/>
    </row>
    <row r="152" spans="3:6" x14ac:dyDescent="0.3">
      <c r="C152" s="1"/>
      <c r="D152" s="1"/>
      <c r="E152" s="9"/>
      <c r="F152" s="1"/>
    </row>
    <row r="153" spans="3:6" x14ac:dyDescent="0.3">
      <c r="C153" s="1"/>
      <c r="D153" s="1"/>
      <c r="E153" s="9"/>
      <c r="F153" s="1"/>
    </row>
    <row r="154" spans="3:6" x14ac:dyDescent="0.3">
      <c r="C154" s="1"/>
      <c r="D154" s="1"/>
      <c r="E154" s="9"/>
      <c r="F154" s="1"/>
    </row>
    <row r="155" spans="3:6" x14ac:dyDescent="0.3">
      <c r="C155" s="1"/>
      <c r="D155" s="1"/>
      <c r="E155" s="9"/>
      <c r="F155" s="1"/>
    </row>
    <row r="156" spans="3:6" x14ac:dyDescent="0.3">
      <c r="C156" s="1"/>
      <c r="D156" s="1"/>
      <c r="E156" s="9"/>
      <c r="F156" s="1"/>
    </row>
    <row r="157" spans="3:6" x14ac:dyDescent="0.3">
      <c r="C157" s="1"/>
      <c r="D157" s="1"/>
      <c r="E157" s="9"/>
      <c r="F157" s="1"/>
    </row>
    <row r="158" spans="3:6" x14ac:dyDescent="0.3">
      <c r="C158" s="1"/>
      <c r="D158" s="1"/>
      <c r="E158" s="9"/>
      <c r="F158" s="1"/>
    </row>
    <row r="159" spans="3:6" x14ac:dyDescent="0.3">
      <c r="C159" s="1"/>
      <c r="D159" s="1"/>
      <c r="E159" s="9"/>
      <c r="F159" s="1"/>
    </row>
    <row r="160" spans="3:6" x14ac:dyDescent="0.3">
      <c r="C160" s="1"/>
      <c r="D160" s="1"/>
      <c r="E160" s="9"/>
      <c r="F160" s="1"/>
    </row>
    <row r="161" spans="3:6" x14ac:dyDescent="0.3">
      <c r="C161" s="1"/>
      <c r="D161" s="1"/>
      <c r="E161" s="9"/>
      <c r="F161" s="1"/>
    </row>
    <row r="162" spans="3:6" x14ac:dyDescent="0.3">
      <c r="C162" s="1"/>
      <c r="D162" s="1"/>
      <c r="E162" s="9"/>
      <c r="F162" s="1"/>
    </row>
    <row r="163" spans="3:6" x14ac:dyDescent="0.3">
      <c r="C163" s="1"/>
      <c r="D163" s="1"/>
      <c r="E163" s="9"/>
      <c r="F163" s="1"/>
    </row>
    <row r="164" spans="3:6" x14ac:dyDescent="0.3">
      <c r="C164" s="1"/>
      <c r="D164" s="1"/>
      <c r="E164" s="9"/>
      <c r="F164" s="1"/>
    </row>
    <row r="165" spans="3:6" x14ac:dyDescent="0.3">
      <c r="C165" s="1"/>
      <c r="D165" s="1"/>
      <c r="E165" s="9"/>
      <c r="F165" s="1"/>
    </row>
    <row r="166" spans="3:6" x14ac:dyDescent="0.3">
      <c r="C166" s="1"/>
      <c r="D166" s="1"/>
      <c r="E166" s="9"/>
      <c r="F166" s="1"/>
    </row>
    <row r="167" spans="3:6" x14ac:dyDescent="0.3">
      <c r="C167" s="1"/>
      <c r="D167" s="1"/>
      <c r="E167" s="9"/>
      <c r="F167" s="1"/>
    </row>
    <row r="168" spans="3:6" x14ac:dyDescent="0.3">
      <c r="C168" s="1"/>
      <c r="D168" s="1"/>
      <c r="E168" s="9"/>
      <c r="F168" s="1"/>
    </row>
    <row r="169" spans="3:6" x14ac:dyDescent="0.3">
      <c r="C169" s="1"/>
      <c r="D169" s="1"/>
      <c r="E169" s="9"/>
      <c r="F169" s="1"/>
    </row>
    <row r="170" spans="3:6" x14ac:dyDescent="0.3">
      <c r="C170" s="1"/>
      <c r="D170" s="1"/>
      <c r="E170" s="9"/>
      <c r="F170" s="1"/>
    </row>
    <row r="171" spans="3:6" x14ac:dyDescent="0.3">
      <c r="C171" s="1"/>
      <c r="D171" s="1"/>
      <c r="E171" s="9"/>
      <c r="F171" s="1"/>
    </row>
    <row r="172" spans="3:6" x14ac:dyDescent="0.3">
      <c r="C172" s="1"/>
      <c r="D172" s="1"/>
      <c r="E172" s="9"/>
      <c r="F172" s="1"/>
    </row>
    <row r="173" spans="3:6" x14ac:dyDescent="0.3">
      <c r="C173" s="1"/>
      <c r="D173" s="1"/>
      <c r="E173" s="9"/>
      <c r="F173" s="1"/>
    </row>
    <row r="174" spans="3:6" x14ac:dyDescent="0.3">
      <c r="C174" s="1"/>
      <c r="D174" s="1"/>
      <c r="E174" s="9"/>
      <c r="F174" s="1"/>
    </row>
    <row r="175" spans="3:6" x14ac:dyDescent="0.3">
      <c r="C175" s="1"/>
      <c r="D175" s="1"/>
      <c r="E175" s="9"/>
      <c r="F175" s="1"/>
    </row>
    <row r="176" spans="3:6" x14ac:dyDescent="0.3">
      <c r="C176" s="1"/>
      <c r="D176" s="1"/>
      <c r="E176" s="9"/>
      <c r="F176" s="1"/>
    </row>
    <row r="177" spans="3:6" x14ac:dyDescent="0.3">
      <c r="C177" s="1"/>
      <c r="D177" s="1"/>
      <c r="E177" s="9"/>
      <c r="F177" s="1"/>
    </row>
    <row r="178" spans="3:6" x14ac:dyDescent="0.3">
      <c r="C178" s="1"/>
      <c r="D178" s="1"/>
      <c r="E178" s="9"/>
      <c r="F178" s="1"/>
    </row>
    <row r="179" spans="3:6" x14ac:dyDescent="0.3">
      <c r="C179" s="1"/>
      <c r="D179" s="1"/>
      <c r="E179" s="9"/>
      <c r="F179" s="1"/>
    </row>
    <row r="180" spans="3:6" x14ac:dyDescent="0.3">
      <c r="C180" s="1"/>
      <c r="D180" s="1"/>
      <c r="E180" s="9"/>
      <c r="F180" s="1"/>
    </row>
    <row r="181" spans="3:6" x14ac:dyDescent="0.3">
      <c r="C181" s="1"/>
      <c r="D181" s="1"/>
      <c r="E181" s="9"/>
      <c r="F181" s="1"/>
    </row>
    <row r="182" spans="3:6" x14ac:dyDescent="0.3">
      <c r="C182" s="1"/>
      <c r="D182" s="1"/>
      <c r="E182" s="9"/>
      <c r="F182" s="1"/>
    </row>
    <row r="183" spans="3:6" x14ac:dyDescent="0.3">
      <c r="C183" s="1"/>
      <c r="D183" s="1"/>
      <c r="E183" s="9"/>
      <c r="F183" s="1"/>
    </row>
    <row r="184" spans="3:6" x14ac:dyDescent="0.3">
      <c r="C184" s="1"/>
      <c r="D184" s="1"/>
      <c r="E184" s="9"/>
      <c r="F184" s="1"/>
    </row>
    <row r="185" spans="3:6" x14ac:dyDescent="0.3">
      <c r="C185" s="1"/>
      <c r="D185" s="1"/>
      <c r="E185" s="9"/>
      <c r="F185" s="1"/>
    </row>
    <row r="186" spans="3:6" x14ac:dyDescent="0.3">
      <c r="C186" s="1"/>
      <c r="D186" s="1"/>
      <c r="E186" s="9"/>
      <c r="F186" s="1"/>
    </row>
    <row r="187" spans="3:6" x14ac:dyDescent="0.3">
      <c r="C187" s="1"/>
      <c r="D187" s="1"/>
      <c r="E187" s="9"/>
      <c r="F187" s="1"/>
    </row>
    <row r="188" spans="3:6" x14ac:dyDescent="0.3">
      <c r="C188" s="1"/>
      <c r="D188" s="1"/>
      <c r="E188" s="9"/>
      <c r="F188" s="1"/>
    </row>
    <row r="189" spans="3:6" x14ac:dyDescent="0.3">
      <c r="C189" s="1"/>
      <c r="D189" s="1"/>
      <c r="E189" s="9"/>
      <c r="F189" s="1"/>
    </row>
    <row r="190" spans="3:6" x14ac:dyDescent="0.3">
      <c r="C190" s="1"/>
      <c r="D190" s="1"/>
      <c r="E190" s="9"/>
      <c r="F190" s="1"/>
    </row>
    <row r="191" spans="3:6" x14ac:dyDescent="0.3">
      <c r="C191" s="1"/>
      <c r="D191" s="1"/>
      <c r="E191" s="9"/>
      <c r="F191" s="1"/>
    </row>
    <row r="192" spans="3:6" x14ac:dyDescent="0.3">
      <c r="C192" s="1"/>
      <c r="D192" s="1"/>
      <c r="E192" s="9"/>
      <c r="F192" s="1"/>
    </row>
    <row r="193" spans="3:6" x14ac:dyDescent="0.3">
      <c r="C193" s="1"/>
      <c r="D193" s="1"/>
      <c r="E193" s="9"/>
      <c r="F193" s="1"/>
    </row>
    <row r="194" spans="3:6" x14ac:dyDescent="0.3">
      <c r="C194" s="1"/>
      <c r="D194" s="1"/>
      <c r="E194" s="9"/>
      <c r="F194" s="1"/>
    </row>
    <row r="195" spans="3:6" x14ac:dyDescent="0.3">
      <c r="C195" s="1"/>
      <c r="D195" s="1"/>
      <c r="E195" s="9"/>
      <c r="F195" s="1"/>
    </row>
    <row r="196" spans="3:6" x14ac:dyDescent="0.3">
      <c r="C196" s="1"/>
      <c r="D196" s="1"/>
      <c r="E196" s="9"/>
      <c r="F196" s="1"/>
    </row>
    <row r="197" spans="3:6" x14ac:dyDescent="0.3">
      <c r="C197" s="1"/>
      <c r="D197" s="1"/>
      <c r="E197" s="9"/>
      <c r="F197" s="1"/>
    </row>
    <row r="198" spans="3:6" x14ac:dyDescent="0.3">
      <c r="C198" s="1"/>
      <c r="D198" s="1"/>
      <c r="E198" s="9"/>
      <c r="F198" s="1"/>
    </row>
    <row r="199" spans="3:6" x14ac:dyDescent="0.3">
      <c r="C199" s="1"/>
      <c r="D199" s="1"/>
      <c r="E199" s="9"/>
      <c r="F199" s="1"/>
    </row>
    <row r="200" spans="3:6" x14ac:dyDescent="0.3">
      <c r="C200" s="1"/>
      <c r="D200" s="1"/>
      <c r="E200" s="9"/>
      <c r="F200" s="1"/>
    </row>
    <row r="201" spans="3:6" x14ac:dyDescent="0.3">
      <c r="C201" s="1"/>
      <c r="D201" s="1"/>
      <c r="E201" s="9"/>
      <c r="F201" s="1"/>
    </row>
    <row r="202" spans="3:6" x14ac:dyDescent="0.3">
      <c r="C202" s="1"/>
      <c r="D202" s="1"/>
      <c r="E202" s="9"/>
      <c r="F202" s="1"/>
    </row>
    <row r="203" spans="3:6" x14ac:dyDescent="0.3">
      <c r="C203" s="1"/>
      <c r="D203" s="1"/>
      <c r="E203" s="9"/>
      <c r="F203" s="1"/>
    </row>
    <row r="204" spans="3:6" x14ac:dyDescent="0.3">
      <c r="C204" s="1"/>
      <c r="D204" s="1"/>
      <c r="E204" s="9"/>
      <c r="F204" s="1"/>
    </row>
    <row r="205" spans="3:6" x14ac:dyDescent="0.3">
      <c r="C205" s="1"/>
      <c r="D205" s="1"/>
      <c r="E205" s="9"/>
      <c r="F205" s="1"/>
    </row>
    <row r="206" spans="3:6" x14ac:dyDescent="0.3">
      <c r="C206" s="1"/>
      <c r="D206" s="1"/>
      <c r="E206" s="9"/>
      <c r="F206" s="1"/>
    </row>
    <row r="207" spans="3:6" x14ac:dyDescent="0.3">
      <c r="C207" s="1"/>
      <c r="D207" s="1"/>
      <c r="E207" s="9"/>
      <c r="F207" s="1"/>
    </row>
    <row r="208" spans="3:6" x14ac:dyDescent="0.3">
      <c r="C208" s="1"/>
      <c r="D208" s="1"/>
      <c r="E208" s="9"/>
      <c r="F208" s="1"/>
    </row>
    <row r="209" spans="2:6" x14ac:dyDescent="0.3">
      <c r="C209" s="1"/>
      <c r="D209" s="1"/>
      <c r="E209" s="9"/>
      <c r="F209" s="1"/>
    </row>
    <row r="210" spans="2:6" x14ac:dyDescent="0.3">
      <c r="C210" s="1"/>
      <c r="D210" s="1"/>
      <c r="E210" s="9"/>
      <c r="F210" s="1"/>
    </row>
    <row r="211" spans="2:6" x14ac:dyDescent="0.3">
      <c r="C211" s="1"/>
      <c r="D211" s="1"/>
      <c r="E211" s="9"/>
      <c r="F211" s="1"/>
    </row>
    <row r="212" spans="2:6" x14ac:dyDescent="0.3">
      <c r="C212" s="1"/>
      <c r="D212" s="1"/>
      <c r="E212" s="9"/>
      <c r="F212" s="1"/>
    </row>
    <row r="213" spans="2:6" x14ac:dyDescent="0.3">
      <c r="C213" s="1"/>
      <c r="D213" s="1"/>
      <c r="E213" s="9"/>
      <c r="F213" s="1"/>
    </row>
    <row r="214" spans="2:6" x14ac:dyDescent="0.3">
      <c r="B214" s="5" t="s">
        <v>11</v>
      </c>
      <c r="C214" s="9"/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1"/>
  <sheetViews>
    <sheetView zoomScale="115" zoomScaleNormal="115" workbookViewId="0">
      <selection activeCell="H12" sqref="H12"/>
    </sheetView>
  </sheetViews>
  <sheetFormatPr baseColWidth="10" defaultColWidth="9.5703125" defaultRowHeight="13.2" x14ac:dyDescent="0.3"/>
  <cols>
    <col min="1" max="3" width="9.5703125" customWidth="1"/>
    <col min="4" max="4" width="18.5703125" customWidth="1"/>
  </cols>
  <sheetData>
    <row r="1" spans="1:11" ht="15.6" x14ac:dyDescent="0.3">
      <c r="A1" s="8" t="s">
        <v>29</v>
      </c>
    </row>
    <row r="2" spans="1:11" ht="15.6" x14ac:dyDescent="0.3">
      <c r="A2" s="8" t="s">
        <v>43</v>
      </c>
    </row>
    <row r="3" spans="1:11" ht="15.6" x14ac:dyDescent="0.3">
      <c r="A3" s="8" t="s">
        <v>44</v>
      </c>
    </row>
    <row r="4" spans="1:11" ht="15.6" x14ac:dyDescent="0.3">
      <c r="A4" s="8"/>
    </row>
    <row r="5" spans="1:11" ht="15.6" x14ac:dyDescent="0.3">
      <c r="A5" s="8" t="s">
        <v>45</v>
      </c>
    </row>
    <row r="7" spans="1:11" ht="15.6" x14ac:dyDescent="0.3">
      <c r="A7" s="7" t="s">
        <v>31</v>
      </c>
      <c r="B7" s="7"/>
      <c r="C7" s="7"/>
      <c r="G7" t="s">
        <v>32</v>
      </c>
      <c r="J7" s="7">
        <v>0.9</v>
      </c>
      <c r="K7">
        <f>AVERAGE(H11:H108)</f>
        <v>-5.0015381886850861E-2</v>
      </c>
    </row>
    <row r="8" spans="1:11" x14ac:dyDescent="0.3">
      <c r="A8" t="s">
        <v>0</v>
      </c>
      <c r="B8" t="s">
        <v>0</v>
      </c>
    </row>
    <row r="9" spans="1:11" x14ac:dyDescent="0.3">
      <c r="A9" t="s">
        <v>0</v>
      </c>
      <c r="B9" t="s">
        <v>0</v>
      </c>
      <c r="C9" t="s">
        <v>75</v>
      </c>
      <c r="D9" t="s">
        <v>46</v>
      </c>
      <c r="E9" s="5" t="s">
        <v>13</v>
      </c>
      <c r="F9" s="5" t="s">
        <v>14</v>
      </c>
      <c r="G9" t="s">
        <v>80</v>
      </c>
      <c r="H9" t="s">
        <v>79</v>
      </c>
    </row>
    <row r="10" spans="1:11" x14ac:dyDescent="0.3">
      <c r="A10">
        <v>1</v>
      </c>
      <c r="B10" s="30">
        <v>42370</v>
      </c>
      <c r="C10" s="2">
        <v>248684</v>
      </c>
      <c r="D10" s="10">
        <v>192889.63472763138</v>
      </c>
    </row>
    <row r="11" spans="1:11" x14ac:dyDescent="0.3">
      <c r="A11">
        <v>1</v>
      </c>
      <c r="B11" s="30">
        <v>42401</v>
      </c>
      <c r="C11" s="2">
        <v>211731</v>
      </c>
      <c r="D11" s="10">
        <v>203321.06833518235</v>
      </c>
      <c r="E11" s="2">
        <f>D10</f>
        <v>192889.63472763138</v>
      </c>
      <c r="G11" s="2"/>
    </row>
    <row r="12" spans="1:11" x14ac:dyDescent="0.3">
      <c r="A12">
        <v>1</v>
      </c>
      <c r="B12" s="30">
        <v>42430</v>
      </c>
      <c r="C12" s="2">
        <v>210862</v>
      </c>
      <c r="D12" s="10">
        <v>235437.11120227986</v>
      </c>
      <c r="E12" s="2">
        <f t="shared" ref="E12:E75" si="0">D11</f>
        <v>203321.06833518235</v>
      </c>
      <c r="F12" s="1">
        <f t="shared" ref="F12:F43" si="1">D11*(D11/D10)</f>
        <v>214316.63182593</v>
      </c>
      <c r="G12" s="2">
        <f>(C13-F13)</f>
        <v>-90207.116836525907</v>
      </c>
      <c r="H12">
        <f>((G12/F12)/SUM($A$10:$A$108))*100</f>
        <v>-0.4251573900661233</v>
      </c>
    </row>
    <row r="13" spans="1:11" x14ac:dyDescent="0.3">
      <c r="A13">
        <v>1</v>
      </c>
      <c r="B13" s="30">
        <v>42461</v>
      </c>
      <c r="C13" s="2">
        <v>182419</v>
      </c>
      <c r="D13" s="10">
        <v>236567.78431876167</v>
      </c>
      <c r="E13" s="2">
        <f t="shared" si="0"/>
        <v>235437.11120227986</v>
      </c>
      <c r="F13" s="1">
        <f t="shared" si="1"/>
        <v>272626.11683652591</v>
      </c>
      <c r="G13" s="2">
        <f t="shared" ref="G13:G76" si="2">(C14-F14)</f>
        <v>-61300.88742752379</v>
      </c>
      <c r="H13">
        <f t="shared" ref="H13:H74" si="3">((G13/F13)/SUM($A$10:$A$108))*100</f>
        <v>-0.22712456542730669</v>
      </c>
    </row>
    <row r="14" spans="1:11" x14ac:dyDescent="0.3">
      <c r="A14">
        <v>1</v>
      </c>
      <c r="B14" s="30">
        <v>42491</v>
      </c>
      <c r="C14" s="2">
        <v>176403</v>
      </c>
      <c r="D14" s="10">
        <v>257951.12662719752</v>
      </c>
      <c r="E14" s="2">
        <f t="shared" si="0"/>
        <v>236567.78431876167</v>
      </c>
      <c r="F14" s="1">
        <f t="shared" si="1"/>
        <v>237703.88742752379</v>
      </c>
      <c r="G14" s="2">
        <f t="shared" si="2"/>
        <v>-120681.30746475287</v>
      </c>
      <c r="H14">
        <f t="shared" si="3"/>
        <v>-0.51282421961914693</v>
      </c>
    </row>
    <row r="15" spans="1:11" x14ac:dyDescent="0.3">
      <c r="A15">
        <v>1</v>
      </c>
      <c r="B15" s="30">
        <v>42522</v>
      </c>
      <c r="C15" s="2">
        <v>160586</v>
      </c>
      <c r="D15" s="10">
        <v>238524.47464047992</v>
      </c>
      <c r="E15" s="2">
        <f t="shared" si="0"/>
        <v>257951.12662719752</v>
      </c>
      <c r="F15" s="1">
        <f t="shared" si="1"/>
        <v>281267.30746475287</v>
      </c>
      <c r="G15" s="2">
        <f t="shared" si="2"/>
        <v>-15175.870372714417</v>
      </c>
      <c r="H15">
        <f t="shared" si="3"/>
        <v>-5.4500333262378187E-2</v>
      </c>
    </row>
    <row r="16" spans="1:11" x14ac:dyDescent="0.3">
      <c r="A16">
        <v>1</v>
      </c>
      <c r="B16" s="30">
        <v>42552</v>
      </c>
      <c r="C16" s="2">
        <v>205385</v>
      </c>
      <c r="D16" s="10">
        <v>246812.42458312324</v>
      </c>
      <c r="E16" s="2">
        <f t="shared" si="0"/>
        <v>238524.47464047992</v>
      </c>
      <c r="F16" s="1">
        <f t="shared" si="1"/>
        <v>220560.87037271442</v>
      </c>
      <c r="G16" s="2">
        <f t="shared" si="2"/>
        <v>-67034.353838393872</v>
      </c>
      <c r="H16">
        <f t="shared" si="3"/>
        <v>-0.30699674157618284</v>
      </c>
    </row>
    <row r="17" spans="1:8" x14ac:dyDescent="0.3">
      <c r="A17">
        <v>1</v>
      </c>
      <c r="B17" s="30">
        <v>42583</v>
      </c>
      <c r="C17" s="2">
        <v>188354</v>
      </c>
      <c r="D17" s="10">
        <v>198872.6617438824</v>
      </c>
      <c r="E17" s="2">
        <f t="shared" si="0"/>
        <v>246812.42458312324</v>
      </c>
      <c r="F17" s="1">
        <f t="shared" si="1"/>
        <v>255388.35383839387</v>
      </c>
      <c r="G17" s="2">
        <f t="shared" si="2"/>
        <v>27745.491823805554</v>
      </c>
      <c r="H17">
        <f t="shared" si="3"/>
        <v>0.10973777345661423</v>
      </c>
    </row>
    <row r="18" spans="1:8" x14ac:dyDescent="0.3">
      <c r="A18">
        <v>1</v>
      </c>
      <c r="B18" s="30">
        <v>42614</v>
      </c>
      <c r="C18" s="2">
        <v>187990</v>
      </c>
      <c r="D18" s="10">
        <v>159891.34292476947</v>
      </c>
      <c r="E18" s="2">
        <f t="shared" si="0"/>
        <v>198872.6617438824</v>
      </c>
      <c r="F18" s="1">
        <f t="shared" si="1"/>
        <v>160244.50817619445</v>
      </c>
      <c r="G18" s="2">
        <f t="shared" si="2"/>
        <v>75695.191064730898</v>
      </c>
      <c r="H18">
        <f t="shared" si="3"/>
        <v>0.47714452011174957</v>
      </c>
    </row>
    <row r="19" spans="1:8" x14ac:dyDescent="0.3">
      <c r="A19">
        <v>1</v>
      </c>
      <c r="B19" s="30">
        <v>42644</v>
      </c>
      <c r="C19" s="2">
        <v>204246</v>
      </c>
      <c r="D19" s="10">
        <v>158953.12224000591</v>
      </c>
      <c r="E19" s="2">
        <f t="shared" si="0"/>
        <v>159891.34292476947</v>
      </c>
      <c r="F19" s="1">
        <f t="shared" si="1"/>
        <v>128550.8089352691</v>
      </c>
      <c r="G19" s="2">
        <f t="shared" si="2"/>
        <v>72692.593093203177</v>
      </c>
      <c r="H19">
        <f t="shared" si="3"/>
        <v>0.57118941777550258</v>
      </c>
    </row>
    <row r="20" spans="1:8" x14ac:dyDescent="0.3">
      <c r="A20">
        <v>1</v>
      </c>
      <c r="B20" s="30">
        <v>42675</v>
      </c>
      <c r="C20" s="2">
        <v>230713</v>
      </c>
      <c r="D20" s="10">
        <v>209321.18848072793</v>
      </c>
      <c r="E20" s="2">
        <f t="shared" si="0"/>
        <v>158953.12224000591</v>
      </c>
      <c r="F20" s="1">
        <f t="shared" si="1"/>
        <v>158020.40690679682</v>
      </c>
      <c r="G20" s="2">
        <f t="shared" si="2"/>
        <v>-33230.57095228933</v>
      </c>
      <c r="H20">
        <f t="shared" si="3"/>
        <v>-0.21241707917470862</v>
      </c>
    </row>
    <row r="21" spans="1:8" x14ac:dyDescent="0.3">
      <c r="A21">
        <v>1</v>
      </c>
      <c r="B21" s="30">
        <v>42705</v>
      </c>
      <c r="C21" s="2">
        <v>242419</v>
      </c>
      <c r="D21" s="10">
        <v>185988.19731898108</v>
      </c>
      <c r="E21" s="2">
        <f t="shared" si="0"/>
        <v>209321.18848072793</v>
      </c>
      <c r="F21" s="1">
        <f t="shared" si="1"/>
        <v>275649.57095228933</v>
      </c>
      <c r="G21" s="2">
        <f t="shared" si="2"/>
        <v>81418.869968285289</v>
      </c>
      <c r="H21">
        <f t="shared" si="3"/>
        <v>0.29835447416851757</v>
      </c>
    </row>
    <row r="22" spans="1:8" x14ac:dyDescent="0.3">
      <c r="A22">
        <v>1</v>
      </c>
      <c r="B22" s="30">
        <v>42736</v>
      </c>
      <c r="C22" s="2">
        <v>246675</v>
      </c>
      <c r="D22" s="10">
        <v>191331.3709222888</v>
      </c>
      <c r="E22" s="2">
        <f t="shared" si="0"/>
        <v>185988.19731898108</v>
      </c>
      <c r="F22" s="1">
        <f t="shared" si="1"/>
        <v>165256.13003171471</v>
      </c>
      <c r="G22" s="2">
        <f t="shared" si="2"/>
        <v>11503.953776088107</v>
      </c>
      <c r="H22">
        <f t="shared" si="3"/>
        <v>7.0316032011350338E-2</v>
      </c>
    </row>
    <row r="23" spans="1:8" x14ac:dyDescent="0.3">
      <c r="A23">
        <v>1</v>
      </c>
      <c r="B23" s="30">
        <v>42767</v>
      </c>
      <c r="C23" s="2">
        <v>208332</v>
      </c>
      <c r="D23" s="10">
        <v>200057.07623543651</v>
      </c>
      <c r="E23" s="2">
        <f t="shared" si="0"/>
        <v>191331.3709222888</v>
      </c>
      <c r="F23" s="1">
        <f t="shared" si="1"/>
        <v>196828.04622391189</v>
      </c>
      <c r="G23" s="2">
        <f t="shared" si="2"/>
        <v>6776.2809211253771</v>
      </c>
      <c r="H23">
        <f t="shared" si="3"/>
        <v>3.4775167129233064E-2</v>
      </c>
    </row>
    <row r="24" spans="1:8" x14ac:dyDescent="0.3">
      <c r="A24">
        <v>1</v>
      </c>
      <c r="B24" s="30">
        <v>42795</v>
      </c>
      <c r="C24" s="2">
        <v>215957</v>
      </c>
      <c r="D24" s="10">
        <v>241125.91279562344</v>
      </c>
      <c r="E24" s="2">
        <f t="shared" si="0"/>
        <v>200057.07623543651</v>
      </c>
      <c r="F24" s="1">
        <f t="shared" si="1"/>
        <v>209180.71907887462</v>
      </c>
      <c r="G24" s="2">
        <f t="shared" si="2"/>
        <v>-90199.590034609544</v>
      </c>
      <c r="H24">
        <f t="shared" si="3"/>
        <v>-0.43555972752106997</v>
      </c>
    </row>
    <row r="25" spans="1:8" x14ac:dyDescent="0.3">
      <c r="A25">
        <v>1</v>
      </c>
      <c r="B25" s="30">
        <v>42826</v>
      </c>
      <c r="C25" s="2">
        <v>200426</v>
      </c>
      <c r="D25" s="10">
        <v>259919.93564196781</v>
      </c>
      <c r="E25" s="2">
        <f t="shared" si="0"/>
        <v>241125.91279562344</v>
      </c>
      <c r="F25" s="1">
        <f t="shared" si="1"/>
        <v>290625.59003460954</v>
      </c>
      <c r="G25" s="2">
        <f t="shared" si="2"/>
        <v>-100735.81678849948</v>
      </c>
      <c r="H25">
        <f t="shared" si="3"/>
        <v>-0.35011834394657465</v>
      </c>
    </row>
    <row r="26" spans="1:8" x14ac:dyDescent="0.3">
      <c r="A26">
        <v>1</v>
      </c>
      <c r="B26" s="30">
        <v>42856</v>
      </c>
      <c r="C26" s="2">
        <v>179443</v>
      </c>
      <c r="D26" s="10">
        <v>262396.46726736054</v>
      </c>
      <c r="E26" s="2">
        <f t="shared" si="0"/>
        <v>259919.93564196781</v>
      </c>
      <c r="F26" s="1">
        <f t="shared" si="1"/>
        <v>280178.81678849948</v>
      </c>
      <c r="G26" s="2">
        <f t="shared" si="2"/>
        <v>-97130.595424032887</v>
      </c>
      <c r="H26">
        <f t="shared" si="3"/>
        <v>-0.35017534042764709</v>
      </c>
    </row>
    <row r="27" spans="1:8" x14ac:dyDescent="0.3">
      <c r="A27">
        <v>1</v>
      </c>
      <c r="B27" s="30">
        <v>42887</v>
      </c>
      <c r="C27" s="2">
        <v>167766</v>
      </c>
      <c r="D27" s="10">
        <v>249189.20088011879</v>
      </c>
      <c r="E27" s="2">
        <f t="shared" si="0"/>
        <v>262396.46726736054</v>
      </c>
      <c r="F27" s="1">
        <f t="shared" si="1"/>
        <v>264896.59542403289</v>
      </c>
      <c r="G27" s="2">
        <f t="shared" si="2"/>
        <v>-25190.69910362098</v>
      </c>
      <c r="H27">
        <f t="shared" si="3"/>
        <v>-9.6056918243841036E-2</v>
      </c>
    </row>
    <row r="28" spans="1:8" x14ac:dyDescent="0.3">
      <c r="A28">
        <v>1</v>
      </c>
      <c r="B28" s="30">
        <v>42917</v>
      </c>
      <c r="C28" s="2">
        <v>211456</v>
      </c>
      <c r="D28" s="10">
        <v>254107.98282566355</v>
      </c>
      <c r="E28" s="2">
        <f t="shared" si="0"/>
        <v>249189.20088011879</v>
      </c>
      <c r="F28" s="1">
        <f t="shared" si="1"/>
        <v>236646.69910362098</v>
      </c>
      <c r="G28" s="2">
        <f t="shared" si="2"/>
        <v>-65769.857324747398</v>
      </c>
      <c r="H28">
        <f t="shared" si="3"/>
        <v>-0.28073156976018915</v>
      </c>
    </row>
    <row r="29" spans="1:8" x14ac:dyDescent="0.3">
      <c r="A29">
        <v>1</v>
      </c>
      <c r="B29" s="30">
        <v>42948</v>
      </c>
      <c r="C29" s="2">
        <v>193354</v>
      </c>
      <c r="D29" s="10">
        <v>204151.8876096427</v>
      </c>
      <c r="E29" s="2">
        <f t="shared" si="0"/>
        <v>254107.98282566355</v>
      </c>
      <c r="F29" s="1">
        <f t="shared" si="1"/>
        <v>259123.8573247474</v>
      </c>
      <c r="G29" s="2">
        <f t="shared" si="2"/>
        <v>35143.140902840911</v>
      </c>
      <c r="H29">
        <f t="shared" si="3"/>
        <v>0.13699287472242913</v>
      </c>
    </row>
    <row r="30" spans="1:8" x14ac:dyDescent="0.3">
      <c r="A30">
        <v>1</v>
      </c>
      <c r="B30" s="30">
        <v>42979</v>
      </c>
      <c r="C30" s="2">
        <v>199160</v>
      </c>
      <c r="D30" s="10">
        <v>169391.77539708011</v>
      </c>
      <c r="E30" s="2">
        <f t="shared" si="0"/>
        <v>204151.8876096427</v>
      </c>
      <c r="F30" s="1">
        <f t="shared" si="1"/>
        <v>164016.85909715909</v>
      </c>
      <c r="G30" s="2">
        <f t="shared" si="2"/>
        <v>83689.873777118308</v>
      </c>
      <c r="H30">
        <f t="shared" si="3"/>
        <v>0.51540571196657836</v>
      </c>
    </row>
    <row r="31" spans="1:8" x14ac:dyDescent="0.3">
      <c r="A31">
        <v>1</v>
      </c>
      <c r="B31" s="30">
        <v>43009</v>
      </c>
      <c r="C31" s="2">
        <v>224240</v>
      </c>
      <c r="D31" s="10">
        <v>174513.32281219179</v>
      </c>
      <c r="E31" s="2">
        <f t="shared" si="0"/>
        <v>169391.77539708011</v>
      </c>
      <c r="F31" s="1">
        <f t="shared" si="1"/>
        <v>140550.12622288169</v>
      </c>
      <c r="G31" s="2">
        <f t="shared" si="2"/>
        <v>63929.280177055014</v>
      </c>
      <c r="H31">
        <f t="shared" si="3"/>
        <v>0.45944484161808513</v>
      </c>
    </row>
    <row r="32" spans="1:8" x14ac:dyDescent="0.3">
      <c r="A32">
        <v>1</v>
      </c>
      <c r="B32" s="30">
        <v>43040</v>
      </c>
      <c r="C32" s="2">
        <v>243719</v>
      </c>
      <c r="D32" s="10">
        <v>221121.26640169619</v>
      </c>
      <c r="E32" s="2">
        <f t="shared" si="0"/>
        <v>174513.32281219179</v>
      </c>
      <c r="F32" s="1">
        <f t="shared" si="1"/>
        <v>179789.71982294499</v>
      </c>
      <c r="G32" s="2">
        <f t="shared" si="2"/>
        <v>-24766.972549594007</v>
      </c>
      <c r="H32">
        <f t="shared" si="3"/>
        <v>-0.13914668766448671</v>
      </c>
    </row>
    <row r="33" spans="1:8" x14ac:dyDescent="0.3">
      <c r="A33">
        <v>1</v>
      </c>
      <c r="B33" s="30">
        <v>43070</v>
      </c>
      <c r="C33" s="2">
        <v>255410</v>
      </c>
      <c r="D33" s="10">
        <v>195955.12512319972</v>
      </c>
      <c r="E33" s="2">
        <f t="shared" si="0"/>
        <v>221121.26640169619</v>
      </c>
      <c r="F33" s="1">
        <f t="shared" si="1"/>
        <v>280176.97254959401</v>
      </c>
      <c r="G33" s="2">
        <f t="shared" si="2"/>
        <v>101956.82006436671</v>
      </c>
      <c r="H33">
        <f t="shared" si="3"/>
        <v>0.36757727088179637</v>
      </c>
    </row>
    <row r="34" spans="1:8" x14ac:dyDescent="0.3">
      <c r="A34">
        <v>1</v>
      </c>
      <c r="B34" s="30">
        <v>43101</v>
      </c>
      <c r="C34" s="2">
        <v>275610</v>
      </c>
      <c r="D34" s="10">
        <v>213774.55818340738</v>
      </c>
      <c r="E34" s="2">
        <f t="shared" si="0"/>
        <v>195955.12512319972</v>
      </c>
      <c r="F34" s="1">
        <f t="shared" si="1"/>
        <v>173653.17993563329</v>
      </c>
      <c r="G34" s="2">
        <f t="shared" si="2"/>
        <v>-18523.424464678217</v>
      </c>
      <c r="H34">
        <f t="shared" si="3"/>
        <v>-0.10774654267337068</v>
      </c>
    </row>
    <row r="35" spans="1:8" x14ac:dyDescent="0.3">
      <c r="A35">
        <v>1</v>
      </c>
      <c r="B35" s="30">
        <v>43132</v>
      </c>
      <c r="C35" s="2">
        <v>214691</v>
      </c>
      <c r="D35" s="10">
        <v>206163.49746588187</v>
      </c>
      <c r="E35" s="2">
        <f t="shared" si="0"/>
        <v>213774.55818340738</v>
      </c>
      <c r="F35" s="1">
        <f t="shared" si="1"/>
        <v>233214.42446467822</v>
      </c>
      <c r="G35" s="2">
        <f t="shared" si="2"/>
        <v>22094.585050410911</v>
      </c>
      <c r="H35">
        <f t="shared" si="3"/>
        <v>9.5696322079610055E-2</v>
      </c>
    </row>
    <row r="36" spans="1:8" x14ac:dyDescent="0.3">
      <c r="A36">
        <v>1</v>
      </c>
      <c r="B36" s="30">
        <v>43160</v>
      </c>
      <c r="C36" s="2">
        <v>220918</v>
      </c>
      <c r="D36" s="10">
        <v>246665.09723224316</v>
      </c>
      <c r="E36" s="2">
        <f t="shared" si="0"/>
        <v>206163.49746588187</v>
      </c>
      <c r="F36" s="1">
        <f t="shared" si="1"/>
        <v>198823.41494958909</v>
      </c>
      <c r="G36" s="2">
        <f t="shared" si="2"/>
        <v>-92277.389642053517</v>
      </c>
      <c r="H36">
        <f t="shared" si="3"/>
        <v>-0.46880536938044065</v>
      </c>
    </row>
    <row r="37" spans="1:8" x14ac:dyDescent="0.3">
      <c r="A37">
        <v>1</v>
      </c>
      <c r="B37" s="30">
        <v>43191</v>
      </c>
      <c r="C37" s="2">
        <v>202846</v>
      </c>
      <c r="D37" s="10">
        <v>263058.28218509874</v>
      </c>
      <c r="E37" s="2">
        <f t="shared" si="0"/>
        <v>246665.09723224316</v>
      </c>
      <c r="F37" s="1">
        <f t="shared" si="1"/>
        <v>295123.38964205352</v>
      </c>
      <c r="G37" s="2">
        <f t="shared" si="2"/>
        <v>-95891.946419433283</v>
      </c>
      <c r="H37">
        <f t="shared" si="3"/>
        <v>-0.3282035763288732</v>
      </c>
    </row>
    <row r="38" spans="1:8" x14ac:dyDescent="0.3">
      <c r="A38">
        <v>1</v>
      </c>
      <c r="B38" s="30">
        <v>43221</v>
      </c>
      <c r="C38" s="2">
        <v>184649</v>
      </c>
      <c r="D38" s="10">
        <v>270009.11311363976</v>
      </c>
      <c r="E38" s="2">
        <f t="shared" si="0"/>
        <v>263058.28218509874</v>
      </c>
      <c r="F38" s="1">
        <f t="shared" si="1"/>
        <v>280540.94641943328</v>
      </c>
      <c r="G38" s="2">
        <f t="shared" si="2"/>
        <v>-109721.60695594974</v>
      </c>
      <c r="H38">
        <f t="shared" si="3"/>
        <v>-0.39505786028970774</v>
      </c>
    </row>
    <row r="39" spans="1:8" x14ac:dyDescent="0.3">
      <c r="A39">
        <v>1</v>
      </c>
      <c r="B39" s="30">
        <v>43252</v>
      </c>
      <c r="C39" s="2">
        <v>167422</v>
      </c>
      <c r="D39" s="10">
        <v>248678.24463688262</v>
      </c>
      <c r="E39" s="2">
        <f t="shared" si="0"/>
        <v>270009.11311363976</v>
      </c>
      <c r="F39" s="1">
        <f t="shared" si="1"/>
        <v>277143.60695594974</v>
      </c>
      <c r="G39" s="2">
        <f t="shared" si="2"/>
        <v>-13573.526504592592</v>
      </c>
      <c r="H39">
        <f t="shared" si="3"/>
        <v>-4.9471221737765109E-2</v>
      </c>
    </row>
    <row r="40" spans="1:8" x14ac:dyDescent="0.3">
      <c r="A40">
        <v>1</v>
      </c>
      <c r="B40" s="30">
        <v>43282</v>
      </c>
      <c r="C40" s="2">
        <v>215459</v>
      </c>
      <c r="D40" s="10">
        <v>258918.41267987023</v>
      </c>
      <c r="E40" s="2">
        <f t="shared" si="0"/>
        <v>248678.24463688262</v>
      </c>
      <c r="F40" s="1">
        <f t="shared" si="1"/>
        <v>229032.52650459259</v>
      </c>
      <c r="G40" s="2">
        <f t="shared" si="2"/>
        <v>-65952.254286227806</v>
      </c>
      <c r="H40">
        <f t="shared" si="3"/>
        <v>-0.2908688983598211</v>
      </c>
    </row>
    <row r="41" spans="1:8" x14ac:dyDescent="0.3">
      <c r="A41">
        <v>1</v>
      </c>
      <c r="B41" s="30">
        <v>43313</v>
      </c>
      <c r="C41" s="2">
        <v>203628</v>
      </c>
      <c r="D41" s="10">
        <v>214999.64091860692</v>
      </c>
      <c r="E41" s="2">
        <f t="shared" si="0"/>
        <v>258918.41267987023</v>
      </c>
      <c r="F41" s="1">
        <f t="shared" si="1"/>
        <v>269580.25428622781</v>
      </c>
      <c r="G41" s="2">
        <f t="shared" si="2"/>
        <v>37601.453961611987</v>
      </c>
      <c r="H41">
        <f t="shared" si="3"/>
        <v>0.14089038801619405</v>
      </c>
    </row>
    <row r="42" spans="1:8" x14ac:dyDescent="0.3">
      <c r="A42">
        <v>1</v>
      </c>
      <c r="B42" s="30">
        <v>43344</v>
      </c>
      <c r="C42" s="2">
        <v>216132</v>
      </c>
      <c r="D42" s="10">
        <v>183826.98935590338</v>
      </c>
      <c r="E42" s="2">
        <f t="shared" si="0"/>
        <v>214999.64091860692</v>
      </c>
      <c r="F42" s="1">
        <f t="shared" si="1"/>
        <v>178530.54603838801</v>
      </c>
      <c r="G42" s="2">
        <f t="shared" si="2"/>
        <v>70368.96067940275</v>
      </c>
      <c r="H42">
        <f t="shared" si="3"/>
        <v>0.39813779680447098</v>
      </c>
    </row>
    <row r="43" spans="1:8" x14ac:dyDescent="0.3">
      <c r="A43">
        <v>1</v>
      </c>
      <c r="B43" s="30">
        <v>43374</v>
      </c>
      <c r="C43" s="2">
        <v>227543</v>
      </c>
      <c r="D43" s="10">
        <v>177083.86109817406</v>
      </c>
      <c r="E43" s="2">
        <f t="shared" si="0"/>
        <v>183826.98935590338</v>
      </c>
      <c r="F43" s="1">
        <f t="shared" si="1"/>
        <v>157174.03932059725</v>
      </c>
      <c r="G43" s="2">
        <f t="shared" si="2"/>
        <v>90672.916219089413</v>
      </c>
      <c r="H43">
        <f t="shared" si="3"/>
        <v>0.58272221454388751</v>
      </c>
    </row>
    <row r="44" spans="1:8" x14ac:dyDescent="0.3">
      <c r="A44">
        <v>1</v>
      </c>
      <c r="B44" s="30">
        <v>43405</v>
      </c>
      <c r="C44" s="2">
        <v>261261</v>
      </c>
      <c r="D44" s="10">
        <v>237036.76439413236</v>
      </c>
      <c r="E44" s="2">
        <f t="shared" si="0"/>
        <v>177083.86109817406</v>
      </c>
      <c r="F44" s="1">
        <f t="shared" ref="F44:F75" si="4">D43*(D43/D42)</f>
        <v>170588.08378091059</v>
      </c>
      <c r="G44" s="2">
        <f t="shared" si="2"/>
        <v>-23902.116544686374</v>
      </c>
      <c r="H44">
        <f t="shared" si="3"/>
        <v>-0.14153129298496475</v>
      </c>
    </row>
    <row r="45" spans="1:8" x14ac:dyDescent="0.3">
      <c r="A45">
        <v>1</v>
      </c>
      <c r="B45" s="30">
        <v>43435</v>
      </c>
      <c r="C45" s="2">
        <v>293385</v>
      </c>
      <c r="D45" s="10">
        <v>225090.22506663777</v>
      </c>
      <c r="E45" s="2">
        <f t="shared" si="0"/>
        <v>237036.76439413236</v>
      </c>
      <c r="F45" s="1">
        <f t="shared" si="4"/>
        <v>317287.11654468637</v>
      </c>
      <c r="G45" s="2">
        <f t="shared" si="2"/>
        <v>107558.21440403434</v>
      </c>
      <c r="H45">
        <f t="shared" si="3"/>
        <v>0.34241749932154814</v>
      </c>
    </row>
    <row r="46" spans="1:8" x14ac:dyDescent="0.3">
      <c r="A46">
        <v>1</v>
      </c>
      <c r="B46" s="30">
        <v>43466</v>
      </c>
      <c r="C46" s="2">
        <v>321304</v>
      </c>
      <c r="D46" s="10">
        <v>249216.72160865544</v>
      </c>
      <c r="E46" s="2">
        <f t="shared" si="0"/>
        <v>225090.22506663777</v>
      </c>
      <c r="F46" s="1">
        <f t="shared" si="4"/>
        <v>213745.78559596566</v>
      </c>
      <c r="G46" s="2">
        <f t="shared" si="2"/>
        <v>-38296.238202053239</v>
      </c>
      <c r="H46">
        <f t="shared" si="3"/>
        <v>-0.18097698994675754</v>
      </c>
    </row>
    <row r="47" spans="1:8" x14ac:dyDescent="0.3">
      <c r="A47">
        <v>1</v>
      </c>
      <c r="B47" s="30">
        <v>43497</v>
      </c>
      <c r="C47" s="2">
        <v>237633</v>
      </c>
      <c r="D47" s="10">
        <v>228194.24378902657</v>
      </c>
      <c r="E47" s="2">
        <f t="shared" si="0"/>
        <v>249216.72160865544</v>
      </c>
      <c r="F47" s="1">
        <f t="shared" si="4"/>
        <v>275929.23820205324</v>
      </c>
      <c r="G47" s="2">
        <f t="shared" si="2"/>
        <v>52916.899677979003</v>
      </c>
      <c r="H47">
        <f t="shared" si="3"/>
        <v>0.19371420790499855</v>
      </c>
    </row>
    <row r="48" spans="1:8" x14ac:dyDescent="0.3">
      <c r="A48">
        <v>1</v>
      </c>
      <c r="B48" s="30">
        <v>43525</v>
      </c>
      <c r="C48" s="2">
        <v>261862</v>
      </c>
      <c r="D48" s="10">
        <v>292380.95443300076</v>
      </c>
      <c r="E48" s="2">
        <f t="shared" si="0"/>
        <v>228194.24378902657</v>
      </c>
      <c r="F48" s="1">
        <f t="shared" si="4"/>
        <v>208945.100322021</v>
      </c>
      <c r="G48" s="2">
        <f t="shared" si="2"/>
        <v>-134928.16879663186</v>
      </c>
      <c r="H48">
        <f t="shared" si="3"/>
        <v>-0.65228176866798504</v>
      </c>
    </row>
    <row r="49" spans="1:8" x14ac:dyDescent="0.3">
      <c r="A49">
        <v>1</v>
      </c>
      <c r="B49" s="30">
        <v>43556</v>
      </c>
      <c r="C49" s="2">
        <v>239694</v>
      </c>
      <c r="D49" s="10">
        <v>310844.14723521814</v>
      </c>
      <c r="E49" s="2">
        <f t="shared" si="0"/>
        <v>292380.95443300076</v>
      </c>
      <c r="F49" s="1">
        <f t="shared" si="4"/>
        <v>374622.16879663186</v>
      </c>
      <c r="G49" s="2">
        <f t="shared" si="2"/>
        <v>-120740.24870311079</v>
      </c>
      <c r="H49">
        <f t="shared" si="3"/>
        <v>-0.32555427129852199</v>
      </c>
    </row>
    <row r="50" spans="1:8" x14ac:dyDescent="0.3">
      <c r="A50">
        <v>1</v>
      </c>
      <c r="B50" s="30">
        <v>43586</v>
      </c>
      <c r="C50" s="2">
        <v>209733</v>
      </c>
      <c r="D50" s="10">
        <v>306689.02252740611</v>
      </c>
      <c r="E50" s="2">
        <f t="shared" si="0"/>
        <v>310844.14723521814</v>
      </c>
      <c r="F50" s="1">
        <f t="shared" si="4"/>
        <v>330473.24870311079</v>
      </c>
      <c r="G50" s="2">
        <f t="shared" si="2"/>
        <v>-105002.44032052596</v>
      </c>
      <c r="H50">
        <f t="shared" si="3"/>
        <v>-0.32094298539159161</v>
      </c>
    </row>
    <row r="51" spans="1:8" x14ac:dyDescent="0.3">
      <c r="A51">
        <v>1</v>
      </c>
      <c r="B51" s="30">
        <v>43617</v>
      </c>
      <c r="C51" s="2">
        <v>197587</v>
      </c>
      <c r="D51" s="10">
        <v>293483.46288461331</v>
      </c>
      <c r="E51" s="2">
        <f t="shared" si="0"/>
        <v>306689.02252740611</v>
      </c>
      <c r="F51" s="1">
        <f t="shared" si="4"/>
        <v>302589.44032052596</v>
      </c>
      <c r="G51" s="2">
        <f t="shared" si="2"/>
        <v>-36819.514416887192</v>
      </c>
      <c r="H51">
        <f t="shared" si="3"/>
        <v>-0.12291053073276598</v>
      </c>
    </row>
    <row r="52" spans="1:8" x14ac:dyDescent="0.3">
      <c r="A52">
        <v>1</v>
      </c>
      <c r="B52" s="30">
        <v>43647</v>
      </c>
      <c r="C52" s="2">
        <v>244027</v>
      </c>
      <c r="D52" s="10">
        <v>293248.75494191796</v>
      </c>
      <c r="E52" s="2">
        <f t="shared" si="0"/>
        <v>293483.46288461331</v>
      </c>
      <c r="F52" s="1">
        <f t="shared" si="4"/>
        <v>280846.51441688719</v>
      </c>
      <c r="G52" s="2">
        <f t="shared" si="2"/>
        <v>-76365.234702535847</v>
      </c>
      <c r="H52">
        <f t="shared" si="3"/>
        <v>-0.27465749706663972</v>
      </c>
    </row>
    <row r="53" spans="1:8" x14ac:dyDescent="0.3">
      <c r="A53">
        <v>1</v>
      </c>
      <c r="B53" s="30">
        <v>43678</v>
      </c>
      <c r="C53" s="2">
        <v>216649</v>
      </c>
      <c r="D53" s="10">
        <v>228747.80091821984</v>
      </c>
      <c r="E53" s="2">
        <f t="shared" si="0"/>
        <v>293248.75494191796</v>
      </c>
      <c r="F53" s="1">
        <f t="shared" si="4"/>
        <v>293014.23470253585</v>
      </c>
      <c r="G53" s="2">
        <f t="shared" si="2"/>
        <v>47252.97242745207</v>
      </c>
      <c r="H53">
        <f t="shared" si="3"/>
        <v>0.1628940492522476</v>
      </c>
    </row>
    <row r="54" spans="1:8" x14ac:dyDescent="0.3">
      <c r="A54">
        <v>1</v>
      </c>
      <c r="B54" s="30">
        <v>43709</v>
      </c>
      <c r="C54" s="2">
        <v>225687</v>
      </c>
      <c r="D54" s="10">
        <v>191953.81408937948</v>
      </c>
      <c r="E54" s="2">
        <f t="shared" si="0"/>
        <v>228747.80091821984</v>
      </c>
      <c r="F54" s="1">
        <f t="shared" si="4"/>
        <v>178434.02757254793</v>
      </c>
      <c r="G54" s="2">
        <f t="shared" si="2"/>
        <v>64576.875552224199</v>
      </c>
      <c r="H54">
        <f t="shared" si="3"/>
        <v>0.36556461854198707</v>
      </c>
    </row>
    <row r="55" spans="1:8" x14ac:dyDescent="0.3">
      <c r="A55">
        <v>1</v>
      </c>
      <c r="B55" s="30">
        <v>43739</v>
      </c>
      <c r="C55" s="2">
        <v>225655</v>
      </c>
      <c r="D55" s="10">
        <v>175614.53736704038</v>
      </c>
      <c r="E55" s="2">
        <f t="shared" si="0"/>
        <v>191953.81408937948</v>
      </c>
      <c r="F55" s="1">
        <f t="shared" si="4"/>
        <v>161078.1244477758</v>
      </c>
      <c r="G55" s="2">
        <f t="shared" si="2"/>
        <v>86659.925814678689</v>
      </c>
      <c r="H55">
        <f t="shared" si="3"/>
        <v>0.54343368412553095</v>
      </c>
    </row>
    <row r="56" spans="1:8" x14ac:dyDescent="0.3">
      <c r="A56">
        <v>1</v>
      </c>
      <c r="B56" s="30">
        <v>43770</v>
      </c>
      <c r="C56" s="2">
        <v>247326</v>
      </c>
      <c r="D56" s="10">
        <v>224393.82376452352</v>
      </c>
      <c r="E56" s="2">
        <f t="shared" si="0"/>
        <v>175614.53736704038</v>
      </c>
      <c r="F56" s="1">
        <f t="shared" si="4"/>
        <v>160666.07418532131</v>
      </c>
      <c r="G56" s="2">
        <f t="shared" si="2"/>
        <v>19659.790673869953</v>
      </c>
      <c r="H56">
        <f t="shared" si="3"/>
        <v>0.12360029657004434</v>
      </c>
    </row>
    <row r="57" spans="1:8" x14ac:dyDescent="0.3">
      <c r="A57">
        <v>1</v>
      </c>
      <c r="B57" s="30">
        <v>43800</v>
      </c>
      <c r="C57" s="2">
        <v>306382</v>
      </c>
      <c r="D57" s="10">
        <v>235061.7561782866</v>
      </c>
      <c r="E57" s="2">
        <f t="shared" si="0"/>
        <v>224393.82376452352</v>
      </c>
      <c r="F57" s="1">
        <f t="shared" si="4"/>
        <v>286722.20932613005</v>
      </c>
      <c r="G57" s="2">
        <f t="shared" si="2"/>
        <v>62234.146014200262</v>
      </c>
      <c r="H57">
        <f t="shared" si="3"/>
        <v>0.21924626592220012</v>
      </c>
    </row>
    <row r="58" spans="1:8" x14ac:dyDescent="0.3">
      <c r="A58">
        <v>1</v>
      </c>
      <c r="B58" s="30">
        <v>43831</v>
      </c>
      <c r="C58" s="2">
        <v>308471</v>
      </c>
      <c r="D58" s="10">
        <v>239262.91403575291</v>
      </c>
      <c r="E58" s="2">
        <f t="shared" si="0"/>
        <v>235061.7561782866</v>
      </c>
      <c r="F58" s="1">
        <f t="shared" si="4"/>
        <v>246236.85398579974</v>
      </c>
      <c r="G58" s="2">
        <f t="shared" si="2"/>
        <v>11465.842615928064</v>
      </c>
      <c r="H58">
        <f t="shared" si="3"/>
        <v>4.7034629546867303E-2</v>
      </c>
    </row>
    <row r="59" spans="1:8" x14ac:dyDescent="0.3">
      <c r="A59">
        <v>1</v>
      </c>
      <c r="B59" s="30">
        <v>43862</v>
      </c>
      <c r="C59" s="2">
        <v>255005</v>
      </c>
      <c r="D59" s="10">
        <v>244876.22988987525</v>
      </c>
      <c r="E59" s="2">
        <f t="shared" si="0"/>
        <v>239262.91403575291</v>
      </c>
      <c r="F59" s="1">
        <f t="shared" si="4"/>
        <v>243539.15738407194</v>
      </c>
      <c r="G59" s="2">
        <f t="shared" si="2"/>
        <v>-132007.23901123513</v>
      </c>
      <c r="H59">
        <f t="shared" si="3"/>
        <v>-0.54751214095567402</v>
      </c>
    </row>
    <row r="60" spans="1:8" x14ac:dyDescent="0.3">
      <c r="A60">
        <v>1</v>
      </c>
      <c r="B60" s="30">
        <v>43891</v>
      </c>
      <c r="C60" s="2">
        <v>118614</v>
      </c>
      <c r="D60" s="10">
        <v>132437.98080330843</v>
      </c>
      <c r="E60" s="2">
        <f t="shared" si="0"/>
        <v>244876.22988987525</v>
      </c>
      <c r="F60" s="1">
        <f t="shared" si="4"/>
        <v>250621.23901123513</v>
      </c>
      <c r="G60" s="2">
        <f t="shared" si="2"/>
        <v>-71132.281942169022</v>
      </c>
      <c r="H60">
        <f t="shared" si="3"/>
        <v>-0.28669074546133644</v>
      </c>
    </row>
    <row r="61" spans="1:8" x14ac:dyDescent="0.3">
      <c r="A61">
        <v>1</v>
      </c>
      <c r="B61" s="30">
        <v>43922</v>
      </c>
      <c r="C61" s="2">
        <v>495</v>
      </c>
      <c r="D61" s="10">
        <v>641.93452018587436</v>
      </c>
      <c r="E61" s="2">
        <f t="shared" si="0"/>
        <v>132437.98080330843</v>
      </c>
      <c r="F61" s="1">
        <f t="shared" si="4"/>
        <v>71627.281942169022</v>
      </c>
      <c r="G61" s="2">
        <f t="shared" si="2"/>
        <v>886.88850641102511</v>
      </c>
      <c r="H61">
        <f t="shared" si="3"/>
        <v>1.2507063675766008E-2</v>
      </c>
    </row>
    <row r="62" spans="1:8" x14ac:dyDescent="0.3">
      <c r="A62">
        <v>1</v>
      </c>
      <c r="B62" s="30">
        <v>43952</v>
      </c>
      <c r="C62" s="2">
        <v>890</v>
      </c>
      <c r="D62" s="10">
        <v>1301.4319637319422</v>
      </c>
      <c r="E62" s="2">
        <f t="shared" si="0"/>
        <v>641.93452018587436</v>
      </c>
      <c r="F62" s="1">
        <f t="shared" si="4"/>
        <v>3.1114935889748523</v>
      </c>
      <c r="G62" s="2">
        <f t="shared" si="2"/>
        <v>-1246.4702846837954</v>
      </c>
      <c r="H62">
        <v>0</v>
      </c>
    </row>
    <row r="63" spans="1:8" x14ac:dyDescent="0.3">
      <c r="A63">
        <v>1</v>
      </c>
      <c r="B63" s="30">
        <v>43983</v>
      </c>
      <c r="C63" s="2">
        <v>1392</v>
      </c>
      <c r="D63" s="10">
        <v>2067.5903796068651</v>
      </c>
      <c r="E63" s="2">
        <f t="shared" si="0"/>
        <v>1301.4319637319422</v>
      </c>
      <c r="F63" s="1">
        <f t="shared" si="4"/>
        <v>2638.4702846837954</v>
      </c>
      <c r="G63" s="2">
        <f t="shared" si="2"/>
        <v>-1455.7894449927417</v>
      </c>
      <c r="H63">
        <f t="shared" si="3"/>
        <v>-0.55732838736813251</v>
      </c>
    </row>
    <row r="64" spans="1:8" x14ac:dyDescent="0.3">
      <c r="A64">
        <v>1</v>
      </c>
      <c r="B64" s="30">
        <v>44013</v>
      </c>
      <c r="C64" s="2">
        <v>1829</v>
      </c>
      <c r="D64" s="10">
        <v>2197.920610378228</v>
      </c>
      <c r="E64" s="2">
        <f t="shared" si="0"/>
        <v>2067.5903796068651</v>
      </c>
      <c r="F64" s="1">
        <f t="shared" si="4"/>
        <v>3284.7894449927417</v>
      </c>
      <c r="G64" s="2">
        <f t="shared" si="2"/>
        <v>1560.5338134800431</v>
      </c>
      <c r="H64">
        <f t="shared" si="3"/>
        <v>0.47987757136027204</v>
      </c>
    </row>
    <row r="65" spans="1:8" x14ac:dyDescent="0.3">
      <c r="A65">
        <v>1</v>
      </c>
      <c r="B65" s="30">
        <v>44044</v>
      </c>
      <c r="C65" s="2">
        <v>3897</v>
      </c>
      <c r="D65" s="10">
        <v>4114.628639773563</v>
      </c>
      <c r="E65" s="2">
        <f t="shared" si="0"/>
        <v>2197.920610378228</v>
      </c>
      <c r="F65" s="1">
        <f t="shared" si="4"/>
        <v>2336.4661865199569</v>
      </c>
      <c r="G65" s="2">
        <f t="shared" si="2"/>
        <v>162.1881862778373</v>
      </c>
      <c r="H65">
        <f t="shared" si="3"/>
        <v>7.0117193105929385E-2</v>
      </c>
    </row>
    <row r="66" spans="1:8" x14ac:dyDescent="0.3">
      <c r="A66">
        <v>1</v>
      </c>
      <c r="B66" s="30">
        <v>44075</v>
      </c>
      <c r="C66" s="2">
        <v>7865</v>
      </c>
      <c r="D66" s="10">
        <v>6689.4271615687639</v>
      </c>
      <c r="E66" s="2">
        <f t="shared" si="0"/>
        <v>4114.628639773563</v>
      </c>
      <c r="F66" s="1">
        <f t="shared" si="4"/>
        <v>7702.8118137221627</v>
      </c>
      <c r="G66" s="2">
        <f t="shared" si="2"/>
        <v>-2646.4494433297223</v>
      </c>
      <c r="H66">
        <f t="shared" si="3"/>
        <v>-0.34703966818019277</v>
      </c>
    </row>
    <row r="67" spans="1:8" x14ac:dyDescent="0.3">
      <c r="A67">
        <v>1</v>
      </c>
      <c r="B67" s="30">
        <v>44105</v>
      </c>
      <c r="C67" s="2">
        <v>8229</v>
      </c>
      <c r="D67" s="10">
        <v>6404.1657751584289</v>
      </c>
      <c r="E67" s="2">
        <f t="shared" si="0"/>
        <v>6689.4271615687639</v>
      </c>
      <c r="F67" s="1">
        <f t="shared" si="4"/>
        <v>10875.449443329722</v>
      </c>
      <c r="G67" s="2">
        <f t="shared" si="2"/>
        <v>-2483.0689667622237</v>
      </c>
      <c r="H67">
        <f t="shared" si="3"/>
        <v>-0.23062499481484203</v>
      </c>
    </row>
    <row r="68" spans="1:8" x14ac:dyDescent="0.3">
      <c r="A68">
        <v>1</v>
      </c>
      <c r="B68" s="30">
        <v>44136</v>
      </c>
      <c r="C68" s="2">
        <v>3648</v>
      </c>
      <c r="D68" s="10">
        <v>3309.7558246726257</v>
      </c>
      <c r="E68" s="2">
        <f t="shared" si="0"/>
        <v>6404.1657751584289</v>
      </c>
      <c r="F68" s="1">
        <f t="shared" si="4"/>
        <v>6131.0689667622237</v>
      </c>
      <c r="G68" s="2">
        <f t="shared" si="2"/>
        <v>4073.4753191045593</v>
      </c>
      <c r="H68">
        <f t="shared" si="3"/>
        <v>0.67110997393036242</v>
      </c>
    </row>
    <row r="69" spans="1:8" x14ac:dyDescent="0.3">
      <c r="A69">
        <v>1</v>
      </c>
      <c r="B69" s="30">
        <v>44166</v>
      </c>
      <c r="C69" s="2">
        <v>5784</v>
      </c>
      <c r="D69" s="10">
        <v>4437.5883626819123</v>
      </c>
      <c r="E69" s="2">
        <f t="shared" si="0"/>
        <v>3309.7558246726257</v>
      </c>
      <c r="F69" s="1">
        <f t="shared" si="4"/>
        <v>1710.5246808954405</v>
      </c>
      <c r="G69" s="2">
        <f t="shared" si="2"/>
        <v>-990.74116513798253</v>
      </c>
      <c r="H69">
        <f t="shared" si="3"/>
        <v>-0.58505361707534509</v>
      </c>
    </row>
    <row r="70" spans="1:8" x14ac:dyDescent="0.3">
      <c r="A70">
        <v>1</v>
      </c>
      <c r="B70" s="30">
        <v>44197</v>
      </c>
      <c r="C70" s="2">
        <v>4959</v>
      </c>
      <c r="D70" s="10">
        <v>3846.4062770999499</v>
      </c>
      <c r="E70" s="2">
        <f t="shared" si="0"/>
        <v>4437.5883626819123</v>
      </c>
      <c r="F70" s="1">
        <f t="shared" si="4"/>
        <v>5949.7411651379825</v>
      </c>
      <c r="G70" s="2">
        <f t="shared" si="2"/>
        <v>27.017656587586316</v>
      </c>
      <c r="H70">
        <f t="shared" si="3"/>
        <v>4.5868486463898541E-3</v>
      </c>
    </row>
    <row r="71" spans="1:8" x14ac:dyDescent="0.3">
      <c r="A71">
        <v>1</v>
      </c>
      <c r="B71" s="30">
        <v>44228</v>
      </c>
      <c r="C71" s="2">
        <v>3361</v>
      </c>
      <c r="D71" s="10">
        <v>3227.5014555003654</v>
      </c>
      <c r="E71" s="2">
        <f t="shared" si="0"/>
        <v>3846.4062770999499</v>
      </c>
      <c r="F71" s="1">
        <f t="shared" si="4"/>
        <v>3333.9823434124137</v>
      </c>
      <c r="G71" s="2">
        <f t="shared" si="2"/>
        <v>-65.181324285597839</v>
      </c>
      <c r="H71">
        <f t="shared" si="3"/>
        <v>-1.9748071440958886E-2</v>
      </c>
    </row>
    <row r="72" spans="1:8" x14ac:dyDescent="0.3">
      <c r="A72">
        <v>1</v>
      </c>
      <c r="B72" s="30">
        <v>44256</v>
      </c>
      <c r="C72" s="2">
        <v>2643</v>
      </c>
      <c r="D72" s="10">
        <v>2951.0309344861835</v>
      </c>
      <c r="E72" s="2">
        <f t="shared" si="0"/>
        <v>3227.5014555003654</v>
      </c>
      <c r="F72" s="1">
        <f t="shared" si="4"/>
        <v>2708.1813242855978</v>
      </c>
      <c r="G72" s="2">
        <f t="shared" si="2"/>
        <v>-694.24311355555665</v>
      </c>
      <c r="H72">
        <f t="shared" si="3"/>
        <v>-0.25893970391481269</v>
      </c>
    </row>
    <row r="73" spans="1:8" x14ac:dyDescent="0.3">
      <c r="A73">
        <v>1</v>
      </c>
      <c r="B73" s="30">
        <v>44287</v>
      </c>
      <c r="C73" s="2">
        <v>2004</v>
      </c>
      <c r="D73" s="10">
        <v>2598.8621786919034</v>
      </c>
      <c r="E73" s="2">
        <f t="shared" si="0"/>
        <v>2951.0309344861835</v>
      </c>
      <c r="F73" s="1">
        <f t="shared" si="4"/>
        <v>2698.2431135555566</v>
      </c>
      <c r="G73" s="2">
        <f t="shared" si="2"/>
        <v>-405.72037392288757</v>
      </c>
      <c r="H73">
        <f t="shared" si="3"/>
        <v>-0.15188348205512064</v>
      </c>
    </row>
    <row r="74" spans="1:8" x14ac:dyDescent="0.3">
      <c r="A74">
        <v>1</v>
      </c>
      <c r="B74" s="30">
        <v>44317</v>
      </c>
      <c r="C74" s="2">
        <v>1883</v>
      </c>
      <c r="D74" s="10">
        <v>2753.4790873115135</v>
      </c>
      <c r="E74" s="2">
        <f t="shared" si="0"/>
        <v>2598.8621786919034</v>
      </c>
      <c r="F74" s="1">
        <f t="shared" si="4"/>
        <v>2288.7203739228876</v>
      </c>
      <c r="G74" s="2">
        <f t="shared" si="2"/>
        <v>-958.29478631989195</v>
      </c>
      <c r="H74">
        <f t="shared" si="3"/>
        <v>-0.42293263199170872</v>
      </c>
    </row>
    <row r="75" spans="1:8" x14ac:dyDescent="0.3">
      <c r="A75">
        <v>1</v>
      </c>
      <c r="B75" s="30">
        <v>44348</v>
      </c>
      <c r="C75" s="2">
        <v>1959</v>
      </c>
      <c r="D75" s="10">
        <v>2909.7769781967309</v>
      </c>
      <c r="E75" s="2">
        <f t="shared" si="0"/>
        <v>2753.4790873115135</v>
      </c>
      <c r="F75" s="1">
        <f t="shared" si="4"/>
        <v>2917.294786319892</v>
      </c>
      <c r="G75" s="2">
        <f t="shared" si="2"/>
        <v>6695.0530712725867</v>
      </c>
      <c r="H75">
        <v>0</v>
      </c>
    </row>
    <row r="76" spans="1:8" x14ac:dyDescent="0.3">
      <c r="A76">
        <v>1</v>
      </c>
      <c r="B76" s="30">
        <v>44378</v>
      </c>
      <c r="C76" s="2">
        <v>9770</v>
      </c>
      <c r="D76" s="10">
        <v>11740.669416837227</v>
      </c>
      <c r="E76" s="2">
        <f t="shared" ref="E76:E108" si="5">D75</f>
        <v>2909.7769781967309</v>
      </c>
      <c r="F76" s="1">
        <f t="shared" ref="F76:F107" si="6">D75*(D75/D74)</f>
        <v>3074.9469287274128</v>
      </c>
      <c r="G76" s="2">
        <f t="shared" si="2"/>
        <v>-12087.468539111993</v>
      </c>
      <c r="H76">
        <v>0</v>
      </c>
    </row>
    <row r="77" spans="1:8" x14ac:dyDescent="0.3">
      <c r="A77">
        <v>1</v>
      </c>
      <c r="B77" s="30">
        <v>44409</v>
      </c>
      <c r="C77" s="2">
        <v>35285</v>
      </c>
      <c r="D77" s="10">
        <v>37255.496934670307</v>
      </c>
      <c r="E77" s="2">
        <f t="shared" si="5"/>
        <v>11740.669416837227</v>
      </c>
      <c r="F77" s="1">
        <f t="shared" si="6"/>
        <v>47372.468539111993</v>
      </c>
      <c r="G77" s="2">
        <f t="shared" ref="G77:G108" si="7">(C78-F78)</f>
        <v>-64835.157917754317</v>
      </c>
      <c r="H77">
        <v>0</v>
      </c>
    </row>
    <row r="78" spans="1:8" x14ac:dyDescent="0.3">
      <c r="A78">
        <v>1</v>
      </c>
      <c r="B78" s="30">
        <v>44440</v>
      </c>
      <c r="C78" s="2">
        <v>53384</v>
      </c>
      <c r="D78" s="10">
        <v>45404.752650119124</v>
      </c>
      <c r="E78" s="2">
        <f t="shared" si="5"/>
        <v>37255.496934670307</v>
      </c>
      <c r="F78" s="1">
        <f t="shared" si="6"/>
        <v>118219.15791775432</v>
      </c>
      <c r="G78" s="2">
        <f t="shared" si="7"/>
        <v>9740.425994998237</v>
      </c>
      <c r="H78">
        <f t="shared" ref="H78:H108" si="8">((G78/F78)/SUM($A$10:$A$108))*100</f>
        <v>8.3225209091801949E-2</v>
      </c>
    </row>
    <row r="79" spans="1:8" x14ac:dyDescent="0.3">
      <c r="A79">
        <v>1</v>
      </c>
      <c r="B79" s="30">
        <v>44470</v>
      </c>
      <c r="C79" s="2">
        <v>65077</v>
      </c>
      <c r="D79" s="10">
        <v>50645.752357514291</v>
      </c>
      <c r="E79" s="2">
        <f t="shared" si="5"/>
        <v>45404.752650119124</v>
      </c>
      <c r="F79" s="1">
        <f t="shared" si="6"/>
        <v>55336.574005001763</v>
      </c>
      <c r="G79" s="2">
        <f t="shared" si="7"/>
        <v>-1688.7124782957035</v>
      </c>
      <c r="H79">
        <f t="shared" si="8"/>
        <v>-3.0825366600080607E-2</v>
      </c>
    </row>
    <row r="80" spans="1:8" x14ac:dyDescent="0.3">
      <c r="A80">
        <v>1</v>
      </c>
      <c r="B80" s="30">
        <v>44501</v>
      </c>
      <c r="C80" s="2">
        <v>54803</v>
      </c>
      <c r="D80" s="10">
        <v>49721.641573337147</v>
      </c>
      <c r="E80" s="2">
        <f t="shared" si="5"/>
        <v>50645.752357514291</v>
      </c>
      <c r="F80" s="1">
        <f t="shared" si="6"/>
        <v>56491.712478295703</v>
      </c>
      <c r="G80" s="2">
        <f t="shared" si="7"/>
        <v>37639.607367512959</v>
      </c>
      <c r="H80">
        <f t="shared" si="8"/>
        <v>0.67301562926309932</v>
      </c>
    </row>
    <row r="81" spans="1:8" x14ac:dyDescent="0.3">
      <c r="A81">
        <v>1</v>
      </c>
      <c r="B81" s="30">
        <v>44531</v>
      </c>
      <c r="C81" s="2">
        <v>86454</v>
      </c>
      <c r="D81" s="10">
        <v>66329.056761290121</v>
      </c>
      <c r="E81" s="2">
        <f t="shared" si="5"/>
        <v>49721.641573337147</v>
      </c>
      <c r="F81" s="1">
        <f t="shared" si="6"/>
        <v>48814.392632487041</v>
      </c>
      <c r="G81" s="2">
        <f t="shared" si="7"/>
        <v>28543.52214954888</v>
      </c>
      <c r="H81">
        <f t="shared" si="8"/>
        <v>0.59064220612491369</v>
      </c>
    </row>
    <row r="82" spans="1:8" x14ac:dyDescent="0.3">
      <c r="A82">
        <v>1</v>
      </c>
      <c r="B82" s="30">
        <v>44562</v>
      </c>
      <c r="C82" s="2">
        <v>117027</v>
      </c>
      <c r="D82" s="10">
        <v>90770.999675373227</v>
      </c>
      <c r="E82" s="2">
        <f t="shared" si="5"/>
        <v>66329.056761290121</v>
      </c>
      <c r="F82" s="1">
        <f t="shared" si="6"/>
        <v>88483.47785045112</v>
      </c>
      <c r="G82" s="2">
        <f t="shared" si="7"/>
        <v>-11624.682660633509</v>
      </c>
      <c r="H82">
        <f t="shared" si="8"/>
        <v>-0.13270391244629112</v>
      </c>
    </row>
    <row r="83" spans="1:8" x14ac:dyDescent="0.3">
      <c r="A83">
        <v>1</v>
      </c>
      <c r="B83" s="30">
        <v>44593</v>
      </c>
      <c r="C83" s="2">
        <v>112595</v>
      </c>
      <c r="D83" s="10">
        <v>108122.73917942983</v>
      </c>
      <c r="E83" s="2">
        <f t="shared" si="5"/>
        <v>90770.999675373227</v>
      </c>
      <c r="F83" s="1">
        <f t="shared" si="6"/>
        <v>124219.68266063351</v>
      </c>
      <c r="G83" s="2">
        <f t="shared" si="7"/>
        <v>-24482.428644304426</v>
      </c>
      <c r="H83">
        <f t="shared" si="8"/>
        <v>-0.19908057542619137</v>
      </c>
    </row>
    <row r="84" spans="1:8" x14ac:dyDescent="0.3">
      <c r="A84">
        <v>1</v>
      </c>
      <c r="B84" s="30">
        <v>44621</v>
      </c>
      <c r="C84" s="2">
        <v>104309</v>
      </c>
      <c r="D84" s="10">
        <v>116465.79105006406</v>
      </c>
      <c r="E84" s="2">
        <f t="shared" si="5"/>
        <v>108122.73917942983</v>
      </c>
      <c r="F84" s="1">
        <f t="shared" si="6"/>
        <v>128791.42864430443</v>
      </c>
      <c r="G84" s="2">
        <f t="shared" si="7"/>
        <v>22233.383946616101</v>
      </c>
      <c r="H84">
        <f t="shared" si="8"/>
        <v>0.17437467554199437</v>
      </c>
    </row>
    <row r="85" spans="1:8" x14ac:dyDescent="0.3">
      <c r="A85">
        <v>1</v>
      </c>
      <c r="B85" s="30">
        <v>44652</v>
      </c>
      <c r="C85" s="2">
        <v>147686</v>
      </c>
      <c r="D85" s="10">
        <v>191524.73040034555</v>
      </c>
      <c r="E85" s="2">
        <f t="shared" si="5"/>
        <v>116465.79105006406</v>
      </c>
      <c r="F85" s="1">
        <f t="shared" si="6"/>
        <v>125452.6160533839</v>
      </c>
      <c r="G85" s="2">
        <f t="shared" si="7"/>
        <v>-171817.05326173431</v>
      </c>
      <c r="H85">
        <f t="shared" si="8"/>
        <v>-1.3834113987579582</v>
      </c>
    </row>
    <row r="86" spans="1:8" x14ac:dyDescent="0.3">
      <c r="A86">
        <v>1</v>
      </c>
      <c r="B86" s="30">
        <v>44682</v>
      </c>
      <c r="C86" s="2">
        <v>143140</v>
      </c>
      <c r="D86" s="10">
        <v>209311.20369504517</v>
      </c>
      <c r="E86" s="2">
        <f t="shared" si="5"/>
        <v>191524.73040034555</v>
      </c>
      <c r="F86" s="1">
        <f t="shared" si="6"/>
        <v>314957.05326173431</v>
      </c>
      <c r="G86" s="2">
        <f t="shared" si="7"/>
        <v>-81269.466978441167</v>
      </c>
      <c r="H86">
        <f t="shared" si="8"/>
        <v>-0.26063988672473293</v>
      </c>
    </row>
    <row r="87" spans="1:8" x14ac:dyDescent="0.3">
      <c r="A87">
        <v>1</v>
      </c>
      <c r="B87" s="30">
        <v>44713</v>
      </c>
      <c r="C87" s="2">
        <v>147480</v>
      </c>
      <c r="D87" s="10">
        <v>219057.63590834805</v>
      </c>
      <c r="E87" s="2">
        <f t="shared" si="5"/>
        <v>209311.20369504517</v>
      </c>
      <c r="F87" s="1">
        <f t="shared" si="6"/>
        <v>228749.46697844117</v>
      </c>
      <c r="G87" s="2">
        <f t="shared" si="7"/>
        <v>-64165.904033019062</v>
      </c>
      <c r="H87">
        <f t="shared" si="8"/>
        <v>-0.28334074537496307</v>
      </c>
    </row>
    <row r="88" spans="1:8" x14ac:dyDescent="0.3">
      <c r="A88">
        <v>1</v>
      </c>
      <c r="B88" s="30">
        <v>44743</v>
      </c>
      <c r="C88" s="2">
        <v>165092</v>
      </c>
      <c r="D88" s="10">
        <v>198392.07731468696</v>
      </c>
      <c r="E88" s="2">
        <f t="shared" si="5"/>
        <v>219057.63590834805</v>
      </c>
      <c r="F88" s="1">
        <f t="shared" si="6"/>
        <v>229257.90403301906</v>
      </c>
      <c r="G88" s="2">
        <f t="shared" si="7"/>
        <v>16400.924441034353</v>
      </c>
      <c r="H88">
        <f t="shared" si="8"/>
        <v>7.2261806694756861E-2</v>
      </c>
    </row>
    <row r="89" spans="1:8" x14ac:dyDescent="0.3">
      <c r="A89">
        <v>1</v>
      </c>
      <c r="B89" s="30">
        <v>44774</v>
      </c>
      <c r="C89" s="2">
        <v>196077</v>
      </c>
      <c r="D89" s="10">
        <v>207026.95401613574</v>
      </c>
      <c r="E89" s="2">
        <f t="shared" si="5"/>
        <v>198392.07731468696</v>
      </c>
      <c r="F89" s="1">
        <f t="shared" si="6"/>
        <v>179676.07555896565</v>
      </c>
      <c r="G89" s="2">
        <f t="shared" si="7"/>
        <v>-32428.657699480362</v>
      </c>
      <c r="H89">
        <f t="shared" si="8"/>
        <v>-0.18230707564466567</v>
      </c>
    </row>
    <row r="90" spans="1:8" x14ac:dyDescent="0.3">
      <c r="A90">
        <v>1</v>
      </c>
      <c r="B90" s="30">
        <v>44805</v>
      </c>
      <c r="C90" s="2">
        <v>183609</v>
      </c>
      <c r="D90" s="10">
        <v>156165.16614220969</v>
      </c>
      <c r="E90" s="2">
        <f t="shared" si="5"/>
        <v>207026.95401613574</v>
      </c>
      <c r="F90" s="1">
        <f t="shared" si="6"/>
        <v>216037.65769948036</v>
      </c>
      <c r="G90" s="2">
        <f t="shared" si="7"/>
        <v>121436.04366543892</v>
      </c>
      <c r="H90">
        <f t="shared" si="8"/>
        <v>0.56778374509022123</v>
      </c>
    </row>
    <row r="91" spans="1:8" x14ac:dyDescent="0.3">
      <c r="A91">
        <v>1</v>
      </c>
      <c r="B91" s="30">
        <v>44835</v>
      </c>
      <c r="C91" s="2">
        <v>239235</v>
      </c>
      <c r="D91" s="10">
        <v>186183.08411958037</v>
      </c>
      <c r="E91" s="2">
        <f t="shared" si="5"/>
        <v>156165.16614220969</v>
      </c>
      <c r="F91" s="1">
        <f t="shared" si="6"/>
        <v>117798.95633456108</v>
      </c>
      <c r="G91" s="2">
        <f t="shared" si="7"/>
        <v>-16036.017408019834</v>
      </c>
      <c r="H91">
        <f t="shared" si="8"/>
        <v>-0.13750544050521338</v>
      </c>
    </row>
    <row r="92" spans="1:8" x14ac:dyDescent="0.3">
      <c r="A92">
        <v>1</v>
      </c>
      <c r="B92" s="30">
        <v>44866</v>
      </c>
      <c r="C92" s="2">
        <v>205935</v>
      </c>
      <c r="D92" s="10">
        <v>186840.61561237861</v>
      </c>
      <c r="E92" s="2">
        <f t="shared" si="5"/>
        <v>186183.08411958037</v>
      </c>
      <c r="F92" s="1">
        <f t="shared" si="6"/>
        <v>221971.01740801983</v>
      </c>
      <c r="G92" s="2">
        <f t="shared" si="7"/>
        <v>33705.530730776605</v>
      </c>
      <c r="H92">
        <f t="shared" si="8"/>
        <v>0.15338034232895309</v>
      </c>
    </row>
    <row r="93" spans="1:8" x14ac:dyDescent="0.3">
      <c r="A93">
        <v>1</v>
      </c>
      <c r="B93" s="30">
        <v>44896</v>
      </c>
      <c r="C93" s="2">
        <v>221206</v>
      </c>
      <c r="D93" s="10">
        <v>169713.20389962225</v>
      </c>
      <c r="E93" s="2">
        <f t="shared" si="5"/>
        <v>186840.61561237861</v>
      </c>
      <c r="F93" s="1">
        <f t="shared" si="6"/>
        <v>187500.46926922339</v>
      </c>
      <c r="G93" s="2">
        <f t="shared" si="7"/>
        <v>68470.162504640524</v>
      </c>
      <c r="H93">
        <f t="shared" si="8"/>
        <v>0.36886190513161565</v>
      </c>
    </row>
    <row r="94" spans="1:8" x14ac:dyDescent="0.3">
      <c r="A94">
        <v>1</v>
      </c>
      <c r="B94" s="30">
        <v>44927</v>
      </c>
      <c r="C94" s="2">
        <v>222626</v>
      </c>
      <c r="D94" s="10">
        <v>172677.96810761312</v>
      </c>
      <c r="E94" s="2">
        <f t="shared" si="5"/>
        <v>169713.20389962225</v>
      </c>
      <c r="F94" s="1">
        <f t="shared" si="6"/>
        <v>154155.83749535948</v>
      </c>
      <c r="G94" s="2">
        <f t="shared" si="7"/>
        <v>20593.475445448101</v>
      </c>
      <c r="H94">
        <f t="shared" si="8"/>
        <v>0.1349380645385139</v>
      </c>
    </row>
    <row r="95" spans="1:8" x14ac:dyDescent="0.3">
      <c r="A95">
        <v>1</v>
      </c>
      <c r="B95" s="30">
        <v>44958</v>
      </c>
      <c r="C95" s="2">
        <v>196288</v>
      </c>
      <c r="D95" s="10">
        <v>188491.46256984698</v>
      </c>
      <c r="E95" s="2">
        <f t="shared" si="5"/>
        <v>172677.96810761312</v>
      </c>
      <c r="F95" s="1">
        <f t="shared" si="6"/>
        <v>175694.5245545519</v>
      </c>
      <c r="G95" s="2">
        <f t="shared" si="7"/>
        <v>-6326.1244494276471</v>
      </c>
      <c r="H95">
        <f t="shared" si="8"/>
        <v>-3.6370084455349692E-2</v>
      </c>
    </row>
    <row r="96" spans="1:8" x14ac:dyDescent="0.3">
      <c r="A96">
        <v>1</v>
      </c>
      <c r="B96" s="30">
        <v>44986</v>
      </c>
      <c r="C96" s="2">
        <v>199427</v>
      </c>
      <c r="D96" s="10">
        <v>222669.40831319566</v>
      </c>
      <c r="E96" s="2">
        <f t="shared" si="5"/>
        <v>188491.46256984698</v>
      </c>
      <c r="F96" s="1">
        <f t="shared" si="6"/>
        <v>205753.12444942765</v>
      </c>
      <c r="G96" s="2">
        <f t="shared" si="7"/>
        <v>518.37865448003868</v>
      </c>
      <c r="H96">
        <f t="shared" si="8"/>
        <v>2.5448692645918462E-3</v>
      </c>
    </row>
    <row r="97" spans="1:8" x14ac:dyDescent="0.3">
      <c r="A97">
        <v>1</v>
      </c>
      <c r="B97" s="30">
        <v>45017</v>
      </c>
      <c r="C97" s="2">
        <v>263563</v>
      </c>
      <c r="D97" s="10">
        <v>341798.35948232247</v>
      </c>
      <c r="E97" s="2">
        <f t="shared" si="5"/>
        <v>222669.40831319566</v>
      </c>
      <c r="F97" s="1">
        <f t="shared" si="6"/>
        <v>263044.62134551996</v>
      </c>
      <c r="G97" s="2">
        <f t="shared" si="7"/>
        <v>-287733.73701097351</v>
      </c>
      <c r="H97">
        <f t="shared" si="8"/>
        <v>-1.1049081213227125</v>
      </c>
    </row>
    <row r="98" spans="1:8" x14ac:dyDescent="0.3">
      <c r="A98">
        <v>1</v>
      </c>
      <c r="B98" s="30">
        <v>45047</v>
      </c>
      <c r="C98" s="2">
        <v>236928</v>
      </c>
      <c r="D98" s="10">
        <v>346455.81157649617</v>
      </c>
      <c r="E98" s="2">
        <f t="shared" si="5"/>
        <v>341798.35948232247</v>
      </c>
      <c r="F98" s="1">
        <f t="shared" si="6"/>
        <v>524661.73701097351</v>
      </c>
      <c r="G98" s="2">
        <f t="shared" si="7"/>
        <v>-111840.72757974884</v>
      </c>
      <c r="H98">
        <f t="shared" si="8"/>
        <v>-0.21532050829994753</v>
      </c>
    </row>
    <row r="99" spans="1:8" x14ac:dyDescent="0.3">
      <c r="A99">
        <v>1</v>
      </c>
      <c r="B99" s="30">
        <v>45078</v>
      </c>
      <c r="C99" s="2">
        <v>239336</v>
      </c>
      <c r="D99" s="10">
        <v>355494.835555739</v>
      </c>
      <c r="E99" s="2">
        <f t="shared" si="5"/>
        <v>346455.81157649617</v>
      </c>
      <c r="F99" s="1">
        <f t="shared" si="6"/>
        <v>351176.72757974884</v>
      </c>
      <c r="G99" s="2">
        <f t="shared" si="7"/>
        <v>-102726.68745810294</v>
      </c>
      <c r="H99">
        <f t="shared" si="8"/>
        <v>-0.29547610253357881</v>
      </c>
    </row>
    <row r="100" spans="1:8" x14ac:dyDescent="0.3">
      <c r="A100">
        <v>1</v>
      </c>
      <c r="B100" s="30">
        <v>45108</v>
      </c>
      <c r="C100" s="2">
        <v>262043</v>
      </c>
      <c r="D100" s="10">
        <v>314898.69355130784</v>
      </c>
      <c r="E100" s="2">
        <f t="shared" si="5"/>
        <v>355494.835555739</v>
      </c>
      <c r="F100" s="1">
        <f t="shared" si="6"/>
        <v>364769.68745810294</v>
      </c>
      <c r="G100" s="2">
        <f t="shared" si="7"/>
        <v>32403.525281222479</v>
      </c>
      <c r="H100">
        <f t="shared" si="8"/>
        <v>8.9730135871434968E-2</v>
      </c>
    </row>
    <row r="101" spans="1:8" x14ac:dyDescent="0.3">
      <c r="A101">
        <v>1</v>
      </c>
      <c r="B101" s="30">
        <v>45139</v>
      </c>
      <c r="C101" s="2">
        <v>311342</v>
      </c>
      <c r="D101" s="10">
        <v>328728.94789950748</v>
      </c>
      <c r="E101" s="2">
        <f t="shared" si="5"/>
        <v>314898.69355130784</v>
      </c>
      <c r="F101" s="1">
        <f t="shared" si="6"/>
        <v>278938.47471877752</v>
      </c>
      <c r="G101" s="2">
        <f t="shared" si="7"/>
        <v>-68455.622790418041</v>
      </c>
      <c r="H101">
        <f t="shared" si="8"/>
        <v>-0.2478937113189863</v>
      </c>
    </row>
    <row r="102" spans="1:8" x14ac:dyDescent="0.3">
      <c r="A102">
        <v>1</v>
      </c>
      <c r="B102" s="30">
        <v>45170</v>
      </c>
      <c r="C102" s="2">
        <v>274711</v>
      </c>
      <c r="D102" s="10">
        <v>233650.2511101992</v>
      </c>
      <c r="E102" s="2">
        <f t="shared" si="5"/>
        <v>328728.94789950748</v>
      </c>
      <c r="F102" s="1">
        <f t="shared" si="6"/>
        <v>343166.62279041804</v>
      </c>
      <c r="G102" s="2">
        <f t="shared" si="7"/>
        <v>161355.7118074309</v>
      </c>
      <c r="H102">
        <f t="shared" si="8"/>
        <v>0.47494586203330591</v>
      </c>
    </row>
    <row r="103" spans="1:8" x14ac:dyDescent="0.3">
      <c r="A103">
        <v>1</v>
      </c>
      <c r="B103" s="30">
        <v>45200</v>
      </c>
      <c r="C103" s="2">
        <v>327427</v>
      </c>
      <c r="D103" s="10">
        <v>254817.93501796076</v>
      </c>
      <c r="E103" s="2">
        <f t="shared" si="5"/>
        <v>233650.2511101992</v>
      </c>
      <c r="F103" s="1">
        <f t="shared" si="6"/>
        <v>166071.2881925691</v>
      </c>
      <c r="G103" s="2">
        <f t="shared" si="7"/>
        <v>-21216.317879136186</v>
      </c>
      <c r="H103">
        <f t="shared" si="8"/>
        <v>-0.12904472743951714</v>
      </c>
    </row>
    <row r="104" spans="1:8" x14ac:dyDescent="0.3">
      <c r="A104">
        <v>1</v>
      </c>
      <c r="B104" s="30">
        <v>45231</v>
      </c>
      <c r="C104" s="2">
        <v>256687</v>
      </c>
      <c r="D104" s="10">
        <v>232886.86769949077</v>
      </c>
      <c r="E104" s="2">
        <f t="shared" si="5"/>
        <v>254817.93501796076</v>
      </c>
      <c r="F104" s="1">
        <f t="shared" si="6"/>
        <v>277903.31787913619</v>
      </c>
      <c r="G104" s="2">
        <f t="shared" si="7"/>
        <v>65522.688389860414</v>
      </c>
      <c r="H104">
        <f t="shared" si="8"/>
        <v>0.23815668784464192</v>
      </c>
    </row>
    <row r="105" spans="1:8" x14ac:dyDescent="0.3">
      <c r="A105">
        <v>1</v>
      </c>
      <c r="B105" s="30">
        <v>45261</v>
      </c>
      <c r="C105" s="2">
        <v>278366</v>
      </c>
      <c r="D105" s="10">
        <v>213567.37935102233</v>
      </c>
      <c r="E105" s="2">
        <f t="shared" si="5"/>
        <v>232886.86769949077</v>
      </c>
      <c r="F105" s="1">
        <f t="shared" si="6"/>
        <v>212843.31161013959</v>
      </c>
      <c r="G105" s="2">
        <f t="shared" si="7"/>
        <v>28559.431123276619</v>
      </c>
      <c r="H105">
        <f t="shared" si="8"/>
        <v>0.13553590200838456</v>
      </c>
    </row>
    <row r="106" spans="1:8" x14ac:dyDescent="0.3">
      <c r="A106">
        <v>1</v>
      </c>
      <c r="B106" s="30">
        <v>45292</v>
      </c>
      <c r="C106" s="2">
        <v>224410</v>
      </c>
      <c r="D106" s="10">
        <v>174061.71257188945</v>
      </c>
      <c r="E106" s="2">
        <f t="shared" si="5"/>
        <v>213567.37935102233</v>
      </c>
      <c r="F106" s="1">
        <f t="shared" si="6"/>
        <v>195850.56887672338</v>
      </c>
      <c r="G106" s="2">
        <f t="shared" si="7"/>
        <v>40939.200970740494</v>
      </c>
      <c r="H106">
        <f t="shared" si="8"/>
        <v>0.21114428459639745</v>
      </c>
    </row>
    <row r="107" spans="1:8" x14ac:dyDescent="0.3">
      <c r="A107">
        <v>1</v>
      </c>
      <c r="B107" s="30">
        <v>45323</v>
      </c>
      <c r="C107" s="2">
        <v>182803</v>
      </c>
      <c r="D107" s="10">
        <v>175542.08526326489</v>
      </c>
      <c r="E107" s="2">
        <f t="shared" si="5"/>
        <v>174061.71257188945</v>
      </c>
      <c r="F107" s="1">
        <f t="shared" si="6"/>
        <v>141863.79902925951</v>
      </c>
      <c r="G107" s="2">
        <f t="shared" si="7"/>
        <v>-7188.0483357930207</v>
      </c>
      <c r="H107">
        <f t="shared" si="8"/>
        <v>-5.1180462770082015E-2</v>
      </c>
    </row>
    <row r="108" spans="1:8" x14ac:dyDescent="0.3">
      <c r="A108">
        <v>1</v>
      </c>
      <c r="B108" s="30">
        <v>45352</v>
      </c>
      <c r="C108" s="2">
        <v>169847</v>
      </c>
      <c r="D108" s="10">
        <v>189641.97923937754</v>
      </c>
      <c r="E108" s="2">
        <f t="shared" si="5"/>
        <v>175542.08526326489</v>
      </c>
      <c r="F108" s="1">
        <f t="shared" ref="F108:F109" si="9">D107*(D107/D106)</f>
        <v>177035.04833579302</v>
      </c>
      <c r="G108" s="2">
        <f t="shared" si="7"/>
        <v>-204874.40510856564</v>
      </c>
      <c r="H108">
        <f t="shared" si="8"/>
        <v>-1.1689427912120705</v>
      </c>
    </row>
    <row r="109" spans="1:8" x14ac:dyDescent="0.3">
      <c r="D109" s="10"/>
      <c r="E109" s="2"/>
      <c r="F109" s="1">
        <f t="shared" si="9"/>
        <v>204874.40510856564</v>
      </c>
    </row>
    <row r="110" spans="1:8" x14ac:dyDescent="0.3">
      <c r="D110" s="10"/>
      <c r="E110" s="2"/>
      <c r="F110" s="1"/>
    </row>
    <row r="111" spans="1:8" x14ac:dyDescent="0.3">
      <c r="D111" s="10"/>
      <c r="E111" s="2"/>
      <c r="F111" s="1"/>
    </row>
    <row r="112" spans="1:8" x14ac:dyDescent="0.3">
      <c r="D112" s="10"/>
      <c r="E112" s="2"/>
      <c r="F112" s="1"/>
    </row>
    <row r="113" spans="4:6" x14ac:dyDescent="0.3">
      <c r="D113" s="10"/>
      <c r="E113" s="2"/>
      <c r="F113" s="1"/>
    </row>
    <row r="114" spans="4:6" x14ac:dyDescent="0.3">
      <c r="D114" s="10"/>
      <c r="E114" s="2"/>
      <c r="F114" s="1"/>
    </row>
    <row r="115" spans="4:6" x14ac:dyDescent="0.3">
      <c r="D115" s="10"/>
      <c r="E115" s="2"/>
      <c r="F115" s="1"/>
    </row>
    <row r="116" spans="4:6" x14ac:dyDescent="0.3">
      <c r="D116" s="10"/>
      <c r="E116" s="2"/>
      <c r="F116" s="1"/>
    </row>
    <row r="117" spans="4:6" x14ac:dyDescent="0.3">
      <c r="D117" s="10"/>
      <c r="E117" s="2"/>
      <c r="F117" s="1"/>
    </row>
    <row r="118" spans="4:6" x14ac:dyDescent="0.3">
      <c r="D118" s="10"/>
      <c r="E118" s="2"/>
      <c r="F118" s="1"/>
    </row>
    <row r="119" spans="4:6" x14ac:dyDescent="0.3">
      <c r="D119" s="10"/>
      <c r="E119" s="2"/>
      <c r="F119" s="1"/>
    </row>
    <row r="120" spans="4:6" x14ac:dyDescent="0.3">
      <c r="D120" s="10"/>
      <c r="E120" s="2"/>
      <c r="F120" s="1"/>
    </row>
    <row r="121" spans="4:6" x14ac:dyDescent="0.3">
      <c r="D121" s="10"/>
      <c r="E121" s="2"/>
      <c r="F121" s="1"/>
    </row>
    <row r="122" spans="4:6" x14ac:dyDescent="0.3">
      <c r="D122" s="10"/>
      <c r="E122" s="2"/>
      <c r="F122" s="1"/>
    </row>
    <row r="123" spans="4:6" x14ac:dyDescent="0.3">
      <c r="D123" s="10"/>
      <c r="E123" s="2"/>
      <c r="F123" s="1"/>
    </row>
    <row r="124" spans="4:6" x14ac:dyDescent="0.3">
      <c r="D124" s="10"/>
      <c r="E124" s="2"/>
      <c r="F124" s="1"/>
    </row>
    <row r="125" spans="4:6" x14ac:dyDescent="0.3">
      <c r="D125" s="10"/>
      <c r="E125" s="2"/>
      <c r="F125" s="1"/>
    </row>
    <row r="126" spans="4:6" x14ac:dyDescent="0.3">
      <c r="D126" s="10"/>
      <c r="E126" s="2"/>
      <c r="F126" s="1"/>
    </row>
    <row r="127" spans="4:6" x14ac:dyDescent="0.3">
      <c r="D127" s="10"/>
      <c r="E127" s="2"/>
      <c r="F127" s="1"/>
    </row>
    <row r="128" spans="4:6" x14ac:dyDescent="0.3">
      <c r="D128" s="10"/>
      <c r="E128" s="2"/>
      <c r="F128" s="1"/>
    </row>
    <row r="129" spans="4:6" x14ac:dyDescent="0.3">
      <c r="D129" s="10"/>
      <c r="E129" s="2"/>
      <c r="F129" s="1"/>
    </row>
    <row r="130" spans="4:6" x14ac:dyDescent="0.3">
      <c r="D130" s="10"/>
      <c r="E130" s="2"/>
      <c r="F130" s="1"/>
    </row>
    <row r="131" spans="4:6" x14ac:dyDescent="0.3">
      <c r="D131" s="10"/>
      <c r="E131" s="2"/>
      <c r="F131" s="1"/>
    </row>
    <row r="132" spans="4:6" x14ac:dyDescent="0.3">
      <c r="D132" s="10"/>
      <c r="E132" s="2"/>
      <c r="F132" s="1"/>
    </row>
    <row r="133" spans="4:6" x14ac:dyDescent="0.3">
      <c r="D133" s="10"/>
      <c r="E133" s="2"/>
      <c r="F133" s="1"/>
    </row>
    <row r="134" spans="4:6" x14ac:dyDescent="0.3">
      <c r="D134" s="10"/>
      <c r="E134" s="2"/>
      <c r="F134" s="1"/>
    </row>
    <row r="135" spans="4:6" x14ac:dyDescent="0.3">
      <c r="D135" s="10"/>
      <c r="E135" s="2"/>
      <c r="F135" s="1"/>
    </row>
    <row r="136" spans="4:6" x14ac:dyDescent="0.3">
      <c r="D136" s="10"/>
      <c r="E136" s="2"/>
      <c r="F136" s="1"/>
    </row>
    <row r="137" spans="4:6" x14ac:dyDescent="0.3">
      <c r="D137" s="10"/>
      <c r="E137" s="2"/>
      <c r="F137" s="1"/>
    </row>
    <row r="138" spans="4:6" x14ac:dyDescent="0.3">
      <c r="D138" s="10"/>
      <c r="E138" s="2"/>
      <c r="F138" s="1"/>
    </row>
    <row r="139" spans="4:6" x14ac:dyDescent="0.3">
      <c r="D139" s="10"/>
      <c r="E139" s="2"/>
      <c r="F139" s="1"/>
    </row>
    <row r="140" spans="4:6" x14ac:dyDescent="0.3">
      <c r="D140" s="10"/>
      <c r="E140" s="2"/>
      <c r="F140" s="1"/>
    </row>
    <row r="141" spans="4:6" x14ac:dyDescent="0.3">
      <c r="D141" s="10"/>
      <c r="E141" s="2"/>
      <c r="F141" s="1"/>
    </row>
    <row r="142" spans="4:6" x14ac:dyDescent="0.3">
      <c r="D142" s="10"/>
      <c r="E142" s="2"/>
      <c r="F142" s="1"/>
    </row>
    <row r="143" spans="4:6" x14ac:dyDescent="0.3">
      <c r="D143" s="10"/>
      <c r="E143" s="2"/>
      <c r="F143" s="1"/>
    </row>
    <row r="144" spans="4:6" x14ac:dyDescent="0.3">
      <c r="D144" s="10"/>
      <c r="E144" s="2"/>
      <c r="F144" s="1"/>
    </row>
    <row r="145" spans="4:6" x14ac:dyDescent="0.3">
      <c r="D145" s="10"/>
      <c r="E145" s="2"/>
      <c r="F145" s="1"/>
    </row>
    <row r="146" spans="4:6" x14ac:dyDescent="0.3">
      <c r="D146" s="10"/>
      <c r="E146" s="2"/>
      <c r="F146" s="1"/>
    </row>
    <row r="147" spans="4:6" x14ac:dyDescent="0.3">
      <c r="D147" s="10"/>
      <c r="E147" s="2"/>
      <c r="F147" s="1"/>
    </row>
    <row r="148" spans="4:6" x14ac:dyDescent="0.3">
      <c r="D148" s="10"/>
      <c r="E148" s="2"/>
      <c r="F148" s="1"/>
    </row>
    <row r="149" spans="4:6" x14ac:dyDescent="0.3">
      <c r="D149" s="10"/>
      <c r="E149" s="2"/>
      <c r="F149" s="1"/>
    </row>
    <row r="150" spans="4:6" x14ac:dyDescent="0.3">
      <c r="D150" s="10"/>
      <c r="E150" s="2"/>
      <c r="F150" s="1"/>
    </row>
    <row r="151" spans="4:6" x14ac:dyDescent="0.3">
      <c r="D151" s="10"/>
      <c r="E151" s="2"/>
      <c r="F151" s="1"/>
    </row>
    <row r="152" spans="4:6" x14ac:dyDescent="0.3">
      <c r="D152" s="10"/>
      <c r="E152" s="2"/>
      <c r="F152" s="1"/>
    </row>
    <row r="153" spans="4:6" x14ac:dyDescent="0.3">
      <c r="D153" s="10"/>
      <c r="E153" s="2"/>
      <c r="F153" s="1"/>
    </row>
    <row r="154" spans="4:6" x14ac:dyDescent="0.3">
      <c r="D154" s="10"/>
      <c r="E154" s="2"/>
      <c r="F154" s="1"/>
    </row>
    <row r="155" spans="4:6" x14ac:dyDescent="0.3">
      <c r="D155" s="10"/>
      <c r="E155" s="2"/>
      <c r="F155" s="1"/>
    </row>
    <row r="156" spans="4:6" x14ac:dyDescent="0.3">
      <c r="D156" s="10"/>
      <c r="E156" s="2"/>
      <c r="F156" s="1"/>
    </row>
    <row r="157" spans="4:6" x14ac:dyDescent="0.3">
      <c r="D157" s="10"/>
      <c r="E157" s="2"/>
      <c r="F157" s="1"/>
    </row>
    <row r="158" spans="4:6" x14ac:dyDescent="0.3">
      <c r="D158" s="10"/>
      <c r="E158" s="2"/>
      <c r="F158" s="1"/>
    </row>
    <row r="159" spans="4:6" x14ac:dyDescent="0.3">
      <c r="D159" s="10"/>
      <c r="E159" s="2"/>
      <c r="F159" s="1"/>
    </row>
    <row r="160" spans="4:6" x14ac:dyDescent="0.3">
      <c r="D160" s="10"/>
      <c r="E160" s="2"/>
      <c r="F160" s="1"/>
    </row>
    <row r="161" spans="4:6" x14ac:dyDescent="0.3">
      <c r="D161" s="10"/>
      <c r="E161" s="2"/>
      <c r="F161" s="1"/>
    </row>
    <row r="162" spans="4:6" x14ac:dyDescent="0.3">
      <c r="D162" s="10"/>
      <c r="E162" s="2"/>
      <c r="F162" s="1"/>
    </row>
    <row r="163" spans="4:6" x14ac:dyDescent="0.3">
      <c r="D163" s="10"/>
      <c r="E163" s="2"/>
      <c r="F163" s="1"/>
    </row>
    <row r="164" spans="4:6" x14ac:dyDescent="0.3">
      <c r="D164" s="10"/>
      <c r="E164" s="2"/>
      <c r="F164" s="1"/>
    </row>
    <row r="165" spans="4:6" x14ac:dyDescent="0.3">
      <c r="D165" s="10"/>
      <c r="E165" s="2"/>
      <c r="F165" s="1"/>
    </row>
    <row r="166" spans="4:6" x14ac:dyDescent="0.3">
      <c r="D166" s="10"/>
      <c r="E166" s="2"/>
      <c r="F166" s="1"/>
    </row>
    <row r="167" spans="4:6" x14ac:dyDescent="0.3">
      <c r="D167" s="10"/>
      <c r="E167" s="2"/>
      <c r="F167" s="1"/>
    </row>
    <row r="168" spans="4:6" x14ac:dyDescent="0.3">
      <c r="D168" s="10"/>
      <c r="E168" s="2"/>
      <c r="F168" s="1"/>
    </row>
    <row r="169" spans="4:6" x14ac:dyDescent="0.3">
      <c r="D169" s="10"/>
      <c r="E169" s="2"/>
      <c r="F169" s="1"/>
    </row>
    <row r="170" spans="4:6" x14ac:dyDescent="0.3">
      <c r="D170" s="10"/>
      <c r="E170" s="2"/>
      <c r="F170" s="1"/>
    </row>
    <row r="171" spans="4:6" x14ac:dyDescent="0.3">
      <c r="D171" s="10"/>
      <c r="E171" s="2"/>
      <c r="F171" s="1"/>
    </row>
    <row r="172" spans="4:6" x14ac:dyDescent="0.3">
      <c r="D172" s="10"/>
      <c r="E172" s="2"/>
      <c r="F172" s="1"/>
    </row>
    <row r="173" spans="4:6" x14ac:dyDescent="0.3">
      <c r="D173" s="10"/>
      <c r="E173" s="2"/>
      <c r="F173" s="1"/>
    </row>
    <row r="174" spans="4:6" x14ac:dyDescent="0.3">
      <c r="D174" s="10"/>
      <c r="E174" s="2"/>
      <c r="F174" s="1"/>
    </row>
    <row r="175" spans="4:6" x14ac:dyDescent="0.3">
      <c r="D175" s="10"/>
      <c r="E175" s="2"/>
      <c r="F175" s="1"/>
    </row>
    <row r="176" spans="4:6" x14ac:dyDescent="0.3">
      <c r="D176" s="10"/>
      <c r="E176" s="2"/>
      <c r="F176" s="1"/>
    </row>
    <row r="177" spans="4:6" x14ac:dyDescent="0.3">
      <c r="D177" s="10"/>
      <c r="E177" s="2"/>
      <c r="F177" s="1"/>
    </row>
    <row r="178" spans="4:6" x14ac:dyDescent="0.3">
      <c r="D178" s="10"/>
      <c r="E178" s="2"/>
      <c r="F178" s="1"/>
    </row>
    <row r="179" spans="4:6" x14ac:dyDescent="0.3">
      <c r="D179" s="10"/>
      <c r="E179" s="2"/>
      <c r="F179" s="1"/>
    </row>
    <row r="180" spans="4:6" x14ac:dyDescent="0.3">
      <c r="D180" s="10"/>
      <c r="E180" s="2"/>
      <c r="F180" s="1"/>
    </row>
    <row r="181" spans="4:6" x14ac:dyDescent="0.3">
      <c r="D181" s="10"/>
      <c r="E181" s="2"/>
      <c r="F181" s="1"/>
    </row>
    <row r="182" spans="4:6" x14ac:dyDescent="0.3">
      <c r="D182" s="10"/>
      <c r="E182" s="2"/>
      <c r="F182" s="1"/>
    </row>
    <row r="183" spans="4:6" x14ac:dyDescent="0.3">
      <c r="D183" s="10"/>
      <c r="E183" s="2"/>
      <c r="F183" s="1"/>
    </row>
    <row r="184" spans="4:6" x14ac:dyDescent="0.3">
      <c r="D184" s="10"/>
      <c r="E184" s="2"/>
      <c r="F184" s="1"/>
    </row>
    <row r="185" spans="4:6" x14ac:dyDescent="0.3">
      <c r="D185" s="10"/>
      <c r="E185" s="2"/>
      <c r="F185" s="1"/>
    </row>
    <row r="186" spans="4:6" x14ac:dyDescent="0.3">
      <c r="D186" s="10"/>
      <c r="E186" s="2"/>
      <c r="F186" s="1"/>
    </row>
    <row r="187" spans="4:6" x14ac:dyDescent="0.3">
      <c r="D187" s="10"/>
      <c r="E187" s="2"/>
      <c r="F187" s="1"/>
    </row>
    <row r="188" spans="4:6" x14ac:dyDescent="0.3">
      <c r="D188" s="10"/>
      <c r="E188" s="2"/>
      <c r="F188" s="1"/>
    </row>
    <row r="189" spans="4:6" x14ac:dyDescent="0.3">
      <c r="D189" s="10"/>
      <c r="E189" s="2"/>
      <c r="F189" s="1"/>
    </row>
    <row r="190" spans="4:6" x14ac:dyDescent="0.3">
      <c r="D190" s="10"/>
      <c r="E190" s="2"/>
      <c r="F190" s="1"/>
    </row>
    <row r="191" spans="4:6" x14ac:dyDescent="0.3">
      <c r="D191" s="10"/>
      <c r="E191" s="2"/>
      <c r="F191" s="1"/>
    </row>
    <row r="192" spans="4:6" x14ac:dyDescent="0.3">
      <c r="D192" s="10"/>
      <c r="E192" s="2"/>
      <c r="F192" s="1"/>
    </row>
    <row r="193" spans="4:6" x14ac:dyDescent="0.3">
      <c r="D193" s="10"/>
      <c r="E193" s="2"/>
      <c r="F193" s="1"/>
    </row>
    <row r="194" spans="4:6" x14ac:dyDescent="0.3">
      <c r="D194" s="10"/>
      <c r="E194" s="2"/>
      <c r="F194" s="1"/>
    </row>
    <row r="195" spans="4:6" x14ac:dyDescent="0.3">
      <c r="D195" s="10"/>
      <c r="E195" s="2"/>
      <c r="F195" s="1"/>
    </row>
    <row r="196" spans="4:6" x14ac:dyDescent="0.3">
      <c r="D196" s="10"/>
      <c r="E196" s="2"/>
      <c r="F196" s="1"/>
    </row>
    <row r="197" spans="4:6" x14ac:dyDescent="0.3">
      <c r="D197" s="10"/>
      <c r="E197" s="2"/>
      <c r="F197" s="1"/>
    </row>
    <row r="198" spans="4:6" x14ac:dyDescent="0.3">
      <c r="D198" s="10"/>
      <c r="E198" s="2"/>
      <c r="F198" s="1"/>
    </row>
    <row r="199" spans="4:6" x14ac:dyDescent="0.3">
      <c r="D199" s="10"/>
      <c r="E199" s="2"/>
      <c r="F199" s="1"/>
    </row>
    <row r="200" spans="4:6" x14ac:dyDescent="0.3">
      <c r="D200" s="10"/>
      <c r="E200" s="2"/>
      <c r="F200" s="1"/>
    </row>
    <row r="201" spans="4:6" x14ac:dyDescent="0.3">
      <c r="D201" s="10"/>
      <c r="E201" s="2"/>
      <c r="F201" s="1"/>
    </row>
    <row r="202" spans="4:6" x14ac:dyDescent="0.3">
      <c r="D202" s="10"/>
      <c r="E202" s="2"/>
      <c r="F202" s="1"/>
    </row>
    <row r="203" spans="4:6" x14ac:dyDescent="0.3">
      <c r="D203" s="10"/>
      <c r="E203" s="2"/>
      <c r="F203" s="1"/>
    </row>
    <row r="204" spans="4:6" x14ac:dyDescent="0.3">
      <c r="D204" s="10"/>
      <c r="E204" s="2"/>
      <c r="F204" s="1"/>
    </row>
    <row r="205" spans="4:6" x14ac:dyDescent="0.3">
      <c r="D205" s="10"/>
      <c r="E205" s="2"/>
      <c r="F205" s="1"/>
    </row>
    <row r="206" spans="4:6" x14ac:dyDescent="0.3">
      <c r="D206" s="10"/>
      <c r="E206" s="2"/>
      <c r="F206" s="1"/>
    </row>
    <row r="207" spans="4:6" x14ac:dyDescent="0.3">
      <c r="D207" s="10"/>
      <c r="E207" s="2"/>
      <c r="F207" s="1"/>
    </row>
    <row r="208" spans="4:6" x14ac:dyDescent="0.3">
      <c r="D208" s="10"/>
      <c r="E208" s="2"/>
      <c r="F208" s="1"/>
    </row>
    <row r="209" spans="4:6" x14ac:dyDescent="0.3">
      <c r="D209" s="10"/>
      <c r="E209" s="2"/>
      <c r="F209" s="1"/>
    </row>
    <row r="210" spans="4:6" x14ac:dyDescent="0.3">
      <c r="D210" s="10"/>
      <c r="E210" s="2"/>
      <c r="F210" s="1"/>
    </row>
    <row r="211" spans="4:6" x14ac:dyDescent="0.3">
      <c r="D211" s="10"/>
      <c r="E211" s="2"/>
      <c r="F211" s="1"/>
    </row>
  </sheetData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2"/>
  <sheetViews>
    <sheetView workbookViewId="0">
      <selection activeCell="F22" sqref="F22"/>
    </sheetView>
  </sheetViews>
  <sheetFormatPr baseColWidth="10" defaultColWidth="9.5703125" defaultRowHeight="13.2" x14ac:dyDescent="0.3"/>
  <sheetData>
    <row r="1" spans="1:6" ht="15.6" x14ac:dyDescent="0.3">
      <c r="A1" s="8" t="s">
        <v>22</v>
      </c>
    </row>
    <row r="2" spans="1:6" ht="15.6" x14ac:dyDescent="0.3">
      <c r="A2" s="8" t="s">
        <v>23</v>
      </c>
    </row>
    <row r="3" spans="1:6" ht="15.6" x14ac:dyDescent="0.3">
      <c r="A3" s="8" t="s">
        <v>24</v>
      </c>
    </row>
    <row r="4" spans="1:6" ht="15.6" x14ac:dyDescent="0.3">
      <c r="A4" s="8" t="s">
        <v>25</v>
      </c>
    </row>
    <row r="7" spans="1:6" ht="15.6" x14ac:dyDescent="0.3">
      <c r="A7" s="7" t="s">
        <v>21</v>
      </c>
      <c r="B7" s="7"/>
      <c r="C7" s="7"/>
    </row>
    <row r="8" spans="1:6" x14ac:dyDescent="0.3">
      <c r="B8" t="s">
        <v>0</v>
      </c>
      <c r="C8" t="s">
        <v>20</v>
      </c>
    </row>
    <row r="9" spans="1:6" x14ac:dyDescent="0.3">
      <c r="B9" t="s">
        <v>0</v>
      </c>
      <c r="D9" s="5" t="s">
        <v>26</v>
      </c>
      <c r="E9" s="5" t="s">
        <v>27</v>
      </c>
      <c r="F9" s="5" t="s">
        <v>28</v>
      </c>
    </row>
    <row r="10" spans="1:6" x14ac:dyDescent="0.3">
      <c r="B10" s="30">
        <v>42370</v>
      </c>
      <c r="C10" s="10">
        <v>192889.63472763138</v>
      </c>
      <c r="D10" s="1"/>
      <c r="E10" s="1"/>
      <c r="F10" s="1"/>
    </row>
    <row r="11" spans="1:6" x14ac:dyDescent="0.3">
      <c r="B11" s="30">
        <v>42401</v>
      </c>
      <c r="C11" s="10">
        <v>203321.06833518235</v>
      </c>
      <c r="D11" s="1"/>
      <c r="E11" s="1"/>
      <c r="F11" s="1"/>
    </row>
    <row r="12" spans="1:6" x14ac:dyDescent="0.3">
      <c r="B12" s="30">
        <v>42430</v>
      </c>
      <c r="C12" s="10">
        <v>235437.11120227986</v>
      </c>
      <c r="D12" s="1"/>
      <c r="E12" s="1"/>
      <c r="F12" s="1"/>
    </row>
    <row r="13" spans="1:6" x14ac:dyDescent="0.3">
      <c r="B13" s="30">
        <v>42461</v>
      </c>
      <c r="C13" s="10">
        <v>236567.78431876167</v>
      </c>
      <c r="D13" s="1">
        <f>AVERAGE(C10:C12)</f>
        <v>210549.27142169783</v>
      </c>
      <c r="E13" s="1"/>
      <c r="F13" s="1"/>
    </row>
    <row r="14" spans="1:6" x14ac:dyDescent="0.3">
      <c r="B14" s="30">
        <v>42491</v>
      </c>
      <c r="C14" s="10">
        <v>257951.12662719752</v>
      </c>
      <c r="D14" s="1">
        <f t="shared" ref="D14:D77" si="0">AVERAGE(C11:C13)</f>
        <v>225108.65461874128</v>
      </c>
      <c r="E14" s="1"/>
      <c r="F14" s="1"/>
    </row>
    <row r="15" spans="1:6" x14ac:dyDescent="0.3">
      <c r="B15" s="30">
        <v>42522</v>
      </c>
      <c r="C15" s="10">
        <v>238524.47464047992</v>
      </c>
      <c r="D15" s="1">
        <f t="shared" si="0"/>
        <v>243318.67404941304</v>
      </c>
      <c r="E15" s="1"/>
      <c r="F15" s="1"/>
    </row>
    <row r="16" spans="1:6" x14ac:dyDescent="0.3">
      <c r="B16" s="30">
        <v>42552</v>
      </c>
      <c r="C16" s="10">
        <v>246812.42458312324</v>
      </c>
      <c r="D16" s="1">
        <f t="shared" si="0"/>
        <v>244347.79519547967</v>
      </c>
      <c r="E16" s="1">
        <f>AVERAGE(C10:C15)</f>
        <v>227448.53330858878</v>
      </c>
      <c r="F16" s="1"/>
    </row>
    <row r="17" spans="2:6" x14ac:dyDescent="0.3">
      <c r="B17" s="30">
        <v>42583</v>
      </c>
      <c r="C17" s="10">
        <v>198872.6617438824</v>
      </c>
      <c r="D17" s="1">
        <f t="shared" si="0"/>
        <v>247762.67528360023</v>
      </c>
      <c r="E17" s="1">
        <f t="shared" ref="E17:E80" si="1">AVERAGE(C11:C16)</f>
        <v>236435.66495117077</v>
      </c>
      <c r="F17" s="1"/>
    </row>
    <row r="18" spans="2:6" x14ac:dyDescent="0.3">
      <c r="B18" s="30">
        <v>42614</v>
      </c>
      <c r="C18" s="10">
        <v>159891.34292476947</v>
      </c>
      <c r="D18" s="1">
        <f t="shared" si="0"/>
        <v>228069.85365582854</v>
      </c>
      <c r="E18" s="1">
        <f t="shared" si="1"/>
        <v>235694.26385262076</v>
      </c>
      <c r="F18" s="1"/>
    </row>
    <row r="19" spans="2:6" x14ac:dyDescent="0.3">
      <c r="B19" s="30">
        <v>42644</v>
      </c>
      <c r="C19" s="10">
        <v>158953.12224000591</v>
      </c>
      <c r="D19" s="1">
        <f t="shared" si="0"/>
        <v>201858.80975059172</v>
      </c>
      <c r="E19" s="1">
        <f t="shared" si="1"/>
        <v>223103.30247303567</v>
      </c>
      <c r="F19" s="1"/>
    </row>
    <row r="20" spans="2:6" x14ac:dyDescent="0.3">
      <c r="B20" s="30">
        <v>42675</v>
      </c>
      <c r="C20" s="10">
        <v>209321.18848072793</v>
      </c>
      <c r="D20" s="1">
        <f t="shared" si="0"/>
        <v>172572.37563621925</v>
      </c>
      <c r="E20" s="1">
        <f t="shared" si="1"/>
        <v>210167.52545990978</v>
      </c>
      <c r="F20" s="1"/>
    </row>
    <row r="21" spans="2:6" x14ac:dyDescent="0.3">
      <c r="B21" s="30">
        <v>42705</v>
      </c>
      <c r="C21" s="10">
        <v>185988.19731898108</v>
      </c>
      <c r="D21" s="1">
        <f t="shared" si="0"/>
        <v>176055.21788183445</v>
      </c>
      <c r="E21" s="1">
        <f t="shared" si="1"/>
        <v>202062.5357688315</v>
      </c>
      <c r="F21" s="1"/>
    </row>
    <row r="22" spans="2:6" x14ac:dyDescent="0.3">
      <c r="B22" s="30">
        <v>42736</v>
      </c>
      <c r="C22" s="10">
        <v>191331.3709222888</v>
      </c>
      <c r="D22" s="1">
        <f t="shared" si="0"/>
        <v>184754.16934657164</v>
      </c>
      <c r="E22" s="1">
        <f t="shared" si="1"/>
        <v>193306.48954858168</v>
      </c>
      <c r="F22" s="1">
        <f>AVERAGE(C10:C21)</f>
        <v>210377.51142858519</v>
      </c>
    </row>
    <row r="23" spans="2:6" x14ac:dyDescent="0.3">
      <c r="B23" s="30">
        <v>42767</v>
      </c>
      <c r="C23" s="10">
        <v>200057.07623543651</v>
      </c>
      <c r="D23" s="1">
        <f t="shared" si="0"/>
        <v>195546.91890733261</v>
      </c>
      <c r="E23" s="1">
        <f t="shared" si="1"/>
        <v>184059.6472717759</v>
      </c>
      <c r="F23" s="1">
        <f t="shared" ref="F23:F86" si="2">AVERAGE(C11:C22)</f>
        <v>210247.65611147333</v>
      </c>
    </row>
    <row r="24" spans="2:6" x14ac:dyDescent="0.3">
      <c r="B24" s="30">
        <v>42795</v>
      </c>
      <c r="C24" s="10">
        <v>241125.91279562344</v>
      </c>
      <c r="D24" s="1">
        <f t="shared" si="0"/>
        <v>192458.88149223546</v>
      </c>
      <c r="E24" s="1">
        <f t="shared" si="1"/>
        <v>184257.04968703495</v>
      </c>
      <c r="F24" s="1">
        <f t="shared" si="2"/>
        <v>209975.65676982785</v>
      </c>
    </row>
    <row r="25" spans="2:6" x14ac:dyDescent="0.3">
      <c r="B25" s="30">
        <v>42826</v>
      </c>
      <c r="C25" s="10">
        <v>259919.93564196781</v>
      </c>
      <c r="D25" s="1">
        <f t="shared" si="0"/>
        <v>210838.11998444959</v>
      </c>
      <c r="E25" s="1">
        <f t="shared" si="1"/>
        <v>197796.1446655106</v>
      </c>
      <c r="F25" s="1">
        <f t="shared" si="2"/>
        <v>210449.72356927313</v>
      </c>
    </row>
    <row r="26" spans="2:6" x14ac:dyDescent="0.3">
      <c r="B26" s="30">
        <v>42856</v>
      </c>
      <c r="C26" s="10">
        <v>262396.46726736054</v>
      </c>
      <c r="D26" s="1">
        <f t="shared" si="0"/>
        <v>233700.97489100927</v>
      </c>
      <c r="E26" s="1">
        <f t="shared" si="1"/>
        <v>214623.9468991709</v>
      </c>
      <c r="F26" s="1">
        <f t="shared" si="2"/>
        <v>212395.73617954037</v>
      </c>
    </row>
    <row r="27" spans="2:6" x14ac:dyDescent="0.3">
      <c r="B27" s="30">
        <v>42887</v>
      </c>
      <c r="C27" s="10">
        <v>249189.20088011879</v>
      </c>
      <c r="D27" s="1">
        <f t="shared" si="0"/>
        <v>254480.77190165059</v>
      </c>
      <c r="E27" s="1">
        <f t="shared" si="1"/>
        <v>223469.82669694303</v>
      </c>
      <c r="F27" s="1">
        <f t="shared" si="2"/>
        <v>212766.18123288729</v>
      </c>
    </row>
    <row r="28" spans="2:6" x14ac:dyDescent="0.3">
      <c r="B28" s="30">
        <v>42917</v>
      </c>
      <c r="C28" s="10">
        <v>254107.98282566355</v>
      </c>
      <c r="D28" s="1">
        <f t="shared" si="0"/>
        <v>257168.53459648238</v>
      </c>
      <c r="E28" s="1">
        <f t="shared" si="1"/>
        <v>234003.32729046603</v>
      </c>
      <c r="F28" s="1">
        <f t="shared" si="2"/>
        <v>213654.90841952385</v>
      </c>
    </row>
    <row r="29" spans="2:6" x14ac:dyDescent="0.3">
      <c r="B29" s="30">
        <v>42948</v>
      </c>
      <c r="C29" s="10">
        <v>204151.8876096427</v>
      </c>
      <c r="D29" s="1">
        <f t="shared" si="0"/>
        <v>255231.21699104761</v>
      </c>
      <c r="E29" s="1">
        <f t="shared" si="1"/>
        <v>244466.09594102847</v>
      </c>
      <c r="F29" s="1">
        <f t="shared" si="2"/>
        <v>214262.87160640219</v>
      </c>
    </row>
    <row r="30" spans="2:6" x14ac:dyDescent="0.3">
      <c r="B30" s="30">
        <v>42979</v>
      </c>
      <c r="C30" s="10">
        <v>169391.77539708011</v>
      </c>
      <c r="D30" s="1">
        <f t="shared" si="0"/>
        <v>235816.35710514165</v>
      </c>
      <c r="E30" s="1">
        <f t="shared" si="1"/>
        <v>245148.56450339613</v>
      </c>
      <c r="F30" s="1">
        <f t="shared" si="2"/>
        <v>214702.80709521551</v>
      </c>
    </row>
    <row r="31" spans="2:6" x14ac:dyDescent="0.3">
      <c r="B31" s="30">
        <v>43009</v>
      </c>
      <c r="C31" s="10">
        <v>174513.32281219179</v>
      </c>
      <c r="D31" s="1">
        <f t="shared" si="0"/>
        <v>209217.21527746212</v>
      </c>
      <c r="E31" s="1">
        <f t="shared" si="1"/>
        <v>233192.87493697219</v>
      </c>
      <c r="F31" s="1">
        <f t="shared" si="2"/>
        <v>215494.50980124142</v>
      </c>
    </row>
    <row r="32" spans="2:6" x14ac:dyDescent="0.3">
      <c r="B32" s="30">
        <v>43040</v>
      </c>
      <c r="C32" s="10">
        <v>221121.26640169619</v>
      </c>
      <c r="D32" s="1">
        <f t="shared" si="0"/>
        <v>182685.6619396382</v>
      </c>
      <c r="E32" s="1">
        <f t="shared" si="1"/>
        <v>218958.43946534288</v>
      </c>
      <c r="F32" s="1">
        <f t="shared" si="2"/>
        <v>216791.19318225689</v>
      </c>
    </row>
    <row r="33" spans="2:6" x14ac:dyDescent="0.3">
      <c r="B33" s="30">
        <v>43070</v>
      </c>
      <c r="C33" s="10">
        <v>195955.12512319972</v>
      </c>
      <c r="D33" s="1">
        <f t="shared" si="0"/>
        <v>188342.12153698938</v>
      </c>
      <c r="E33" s="1">
        <f t="shared" si="1"/>
        <v>212079.23932106551</v>
      </c>
      <c r="F33" s="1">
        <f t="shared" si="2"/>
        <v>217774.53300900428</v>
      </c>
    </row>
    <row r="34" spans="2:6" x14ac:dyDescent="0.3">
      <c r="B34" s="30">
        <v>43101</v>
      </c>
      <c r="C34" s="10">
        <v>213774.55818340738</v>
      </c>
      <c r="D34" s="1">
        <f t="shared" si="0"/>
        <v>197196.57144569591</v>
      </c>
      <c r="E34" s="1">
        <f t="shared" si="1"/>
        <v>203206.89336157902</v>
      </c>
      <c r="F34" s="1">
        <f t="shared" si="2"/>
        <v>218605.11032602249</v>
      </c>
    </row>
    <row r="35" spans="2:6" x14ac:dyDescent="0.3">
      <c r="B35" s="30">
        <v>43132</v>
      </c>
      <c r="C35" s="10">
        <v>206163.49746588187</v>
      </c>
      <c r="D35" s="1">
        <f t="shared" si="0"/>
        <v>210283.64990276776</v>
      </c>
      <c r="E35" s="1">
        <f t="shared" si="1"/>
        <v>196484.655921203</v>
      </c>
      <c r="F35" s="1">
        <f t="shared" si="2"/>
        <v>220475.3759311157</v>
      </c>
    </row>
    <row r="36" spans="2:6" x14ac:dyDescent="0.3">
      <c r="B36" s="30">
        <v>43160</v>
      </c>
      <c r="C36" s="10">
        <v>246665.09723224316</v>
      </c>
      <c r="D36" s="1">
        <f t="shared" si="0"/>
        <v>205297.72692416297</v>
      </c>
      <c r="E36" s="1">
        <f t="shared" si="1"/>
        <v>196819.92423057617</v>
      </c>
      <c r="F36" s="1">
        <f t="shared" si="2"/>
        <v>220984.24436698618</v>
      </c>
    </row>
    <row r="37" spans="2:6" x14ac:dyDescent="0.3">
      <c r="B37" s="30">
        <v>43191</v>
      </c>
      <c r="C37" s="10">
        <v>263058.28218509874</v>
      </c>
      <c r="D37" s="1">
        <f t="shared" si="0"/>
        <v>222201.05096051082</v>
      </c>
      <c r="E37" s="1">
        <f t="shared" si="1"/>
        <v>209698.81120310337</v>
      </c>
      <c r="F37" s="1">
        <f t="shared" si="2"/>
        <v>221445.84307003778</v>
      </c>
    </row>
    <row r="38" spans="2:6" x14ac:dyDescent="0.3">
      <c r="B38" s="30">
        <v>43221</v>
      </c>
      <c r="C38" s="10">
        <v>270009.11311363976</v>
      </c>
      <c r="D38" s="1">
        <f t="shared" si="0"/>
        <v>238628.95896107459</v>
      </c>
      <c r="E38" s="1">
        <f t="shared" si="1"/>
        <v>224456.30443192119</v>
      </c>
      <c r="F38" s="1">
        <f t="shared" si="2"/>
        <v>221707.37194863203</v>
      </c>
    </row>
    <row r="39" spans="2:6" x14ac:dyDescent="0.3">
      <c r="B39" s="30">
        <v>43252</v>
      </c>
      <c r="C39" s="10">
        <v>248678.24463688262</v>
      </c>
      <c r="D39" s="1">
        <f t="shared" si="0"/>
        <v>259910.83084366054</v>
      </c>
      <c r="E39" s="1">
        <f t="shared" si="1"/>
        <v>232604.27888391176</v>
      </c>
      <c r="F39" s="1">
        <f t="shared" si="2"/>
        <v>222341.75910248864</v>
      </c>
    </row>
    <row r="40" spans="2:6" x14ac:dyDescent="0.3">
      <c r="B40" s="30">
        <v>43282</v>
      </c>
      <c r="C40" s="10">
        <v>258918.41267987023</v>
      </c>
      <c r="D40" s="1">
        <f t="shared" si="0"/>
        <v>260581.87997854035</v>
      </c>
      <c r="E40" s="1">
        <f t="shared" si="1"/>
        <v>241391.46546952557</v>
      </c>
      <c r="F40" s="1">
        <f t="shared" si="2"/>
        <v>222299.17941555229</v>
      </c>
    </row>
    <row r="41" spans="2:6" x14ac:dyDescent="0.3">
      <c r="B41" s="30">
        <v>43313</v>
      </c>
      <c r="C41" s="10">
        <v>214999.64091860692</v>
      </c>
      <c r="D41" s="1">
        <f t="shared" si="0"/>
        <v>259201.92347679753</v>
      </c>
      <c r="E41" s="1">
        <f t="shared" si="1"/>
        <v>248915.44121893603</v>
      </c>
      <c r="F41" s="1">
        <f t="shared" si="2"/>
        <v>222700.04857006951</v>
      </c>
    </row>
    <row r="42" spans="2:6" x14ac:dyDescent="0.3">
      <c r="B42" s="30">
        <v>43344</v>
      </c>
      <c r="C42" s="10">
        <v>183826.98935590338</v>
      </c>
      <c r="D42" s="1">
        <f t="shared" si="0"/>
        <v>240865.43274511991</v>
      </c>
      <c r="E42" s="1">
        <f t="shared" si="1"/>
        <v>250388.13179439024</v>
      </c>
      <c r="F42" s="1">
        <f t="shared" si="2"/>
        <v>223604.02801248318</v>
      </c>
    </row>
    <row r="43" spans="2:6" x14ac:dyDescent="0.3">
      <c r="B43" s="30">
        <v>43374</v>
      </c>
      <c r="C43" s="10">
        <v>177083.86109817406</v>
      </c>
      <c r="D43" s="1">
        <f t="shared" si="0"/>
        <v>219248.34765146018</v>
      </c>
      <c r="E43" s="1">
        <f t="shared" si="1"/>
        <v>239915.11381500028</v>
      </c>
      <c r="F43" s="1">
        <f t="shared" si="2"/>
        <v>224806.96250905181</v>
      </c>
    </row>
    <row r="44" spans="2:6" x14ac:dyDescent="0.3">
      <c r="B44" s="30">
        <v>43405</v>
      </c>
      <c r="C44" s="10">
        <v>237036.76439413236</v>
      </c>
      <c r="D44" s="1">
        <f t="shared" si="0"/>
        <v>191970.16379089479</v>
      </c>
      <c r="E44" s="1">
        <f t="shared" si="1"/>
        <v>225586.04363384613</v>
      </c>
      <c r="F44" s="1">
        <f t="shared" si="2"/>
        <v>225021.17403288369</v>
      </c>
    </row>
    <row r="45" spans="2:6" x14ac:dyDescent="0.3">
      <c r="B45" s="30">
        <v>43435</v>
      </c>
      <c r="C45" s="10">
        <v>225090.22506663777</v>
      </c>
      <c r="D45" s="1">
        <f t="shared" si="0"/>
        <v>199315.87161606993</v>
      </c>
      <c r="E45" s="1">
        <f t="shared" si="1"/>
        <v>220090.65218059495</v>
      </c>
      <c r="F45" s="1">
        <f t="shared" si="2"/>
        <v>226347.46553225335</v>
      </c>
    </row>
    <row r="46" spans="2:6" x14ac:dyDescent="0.3">
      <c r="B46" s="30">
        <v>43466</v>
      </c>
      <c r="C46" s="10">
        <v>249216.72160865544</v>
      </c>
      <c r="D46" s="1">
        <f t="shared" si="0"/>
        <v>213070.28351964804</v>
      </c>
      <c r="E46" s="1">
        <f t="shared" si="1"/>
        <v>216159.31558555414</v>
      </c>
      <c r="F46" s="1">
        <f t="shared" si="2"/>
        <v>228775.39052753986</v>
      </c>
    </row>
    <row r="47" spans="2:6" x14ac:dyDescent="0.3">
      <c r="B47" s="30">
        <v>43497</v>
      </c>
      <c r="C47" s="10">
        <v>228194.24378902657</v>
      </c>
      <c r="D47" s="1">
        <f t="shared" si="0"/>
        <v>237114.57035647519</v>
      </c>
      <c r="E47" s="1">
        <f t="shared" si="1"/>
        <v>214542.36707368496</v>
      </c>
      <c r="F47" s="1">
        <f t="shared" si="2"/>
        <v>231728.90414631049</v>
      </c>
    </row>
    <row r="48" spans="2:6" x14ac:dyDescent="0.3">
      <c r="B48" s="30">
        <v>43525</v>
      </c>
      <c r="C48" s="10">
        <v>292380.95443300076</v>
      </c>
      <c r="D48" s="1">
        <f t="shared" si="0"/>
        <v>234167.06348810659</v>
      </c>
      <c r="E48" s="1">
        <f t="shared" si="1"/>
        <v>216741.46755208823</v>
      </c>
      <c r="F48" s="1">
        <f t="shared" si="2"/>
        <v>233564.79967323923</v>
      </c>
    </row>
    <row r="49" spans="2:6" x14ac:dyDescent="0.3">
      <c r="B49" s="30">
        <v>43556</v>
      </c>
      <c r="C49" s="10">
        <v>310844.14723521814</v>
      </c>
      <c r="D49" s="1">
        <f t="shared" si="0"/>
        <v>256597.30661022759</v>
      </c>
      <c r="E49" s="1">
        <f t="shared" si="1"/>
        <v>234833.79506493779</v>
      </c>
      <c r="F49" s="1">
        <f t="shared" si="2"/>
        <v>237374.45443996903</v>
      </c>
    </row>
    <row r="50" spans="2:6" x14ac:dyDescent="0.3">
      <c r="B50" s="30">
        <v>43586</v>
      </c>
      <c r="C50" s="10">
        <v>306689.02252740611</v>
      </c>
      <c r="D50" s="1">
        <f t="shared" si="0"/>
        <v>277139.78181908181</v>
      </c>
      <c r="E50" s="1">
        <f t="shared" si="1"/>
        <v>257127.1760877785</v>
      </c>
      <c r="F50" s="1">
        <f t="shared" si="2"/>
        <v>241356.60986081231</v>
      </c>
    </row>
    <row r="51" spans="2:6" x14ac:dyDescent="0.3">
      <c r="B51" s="30">
        <v>43617</v>
      </c>
      <c r="C51" s="10">
        <v>293483.46288461331</v>
      </c>
      <c r="D51" s="1">
        <f t="shared" si="0"/>
        <v>303304.70806520834</v>
      </c>
      <c r="E51" s="1">
        <f t="shared" si="1"/>
        <v>268735.88577665744</v>
      </c>
      <c r="F51" s="1">
        <f t="shared" si="2"/>
        <v>244413.26897862621</v>
      </c>
    </row>
    <row r="52" spans="2:6" x14ac:dyDescent="0.3">
      <c r="B52" s="30">
        <v>43647</v>
      </c>
      <c r="C52" s="10">
        <v>293248.75494191796</v>
      </c>
      <c r="D52" s="1">
        <f t="shared" si="0"/>
        <v>303672.2108824125</v>
      </c>
      <c r="E52" s="1">
        <f t="shared" si="1"/>
        <v>280134.75874632009</v>
      </c>
      <c r="F52" s="1">
        <f t="shared" si="2"/>
        <v>248147.0371659371</v>
      </c>
    </row>
    <row r="53" spans="2:6" x14ac:dyDescent="0.3">
      <c r="B53" s="30">
        <v>43678</v>
      </c>
      <c r="C53" s="10">
        <v>228747.80091821984</v>
      </c>
      <c r="D53" s="1">
        <f t="shared" si="0"/>
        <v>297807.08011797915</v>
      </c>
      <c r="E53" s="1">
        <f t="shared" si="1"/>
        <v>287473.43096853048</v>
      </c>
      <c r="F53" s="1">
        <f t="shared" si="2"/>
        <v>251007.8990211077</v>
      </c>
    </row>
    <row r="54" spans="2:6" x14ac:dyDescent="0.3">
      <c r="B54" s="30">
        <v>43709</v>
      </c>
      <c r="C54" s="10">
        <v>191953.81408937948</v>
      </c>
      <c r="D54" s="1">
        <f t="shared" si="0"/>
        <v>271826.67291491706</v>
      </c>
      <c r="E54" s="1">
        <f t="shared" si="1"/>
        <v>287565.6904900627</v>
      </c>
      <c r="F54" s="1">
        <f t="shared" si="2"/>
        <v>252153.57902107551</v>
      </c>
    </row>
    <row r="55" spans="2:6" x14ac:dyDescent="0.3">
      <c r="B55" s="30">
        <v>43739</v>
      </c>
      <c r="C55" s="10">
        <v>175614.53736704038</v>
      </c>
      <c r="D55" s="1">
        <f t="shared" si="0"/>
        <v>237983.45664983909</v>
      </c>
      <c r="E55" s="1">
        <f t="shared" si="1"/>
        <v>270827.83376612578</v>
      </c>
      <c r="F55" s="1">
        <f t="shared" si="2"/>
        <v>252830.81441553179</v>
      </c>
    </row>
    <row r="56" spans="2:6" x14ac:dyDescent="0.3">
      <c r="B56" s="30">
        <v>43770</v>
      </c>
      <c r="C56" s="10">
        <v>224393.82376452352</v>
      </c>
      <c r="D56" s="1">
        <f t="shared" si="0"/>
        <v>198772.05079154659</v>
      </c>
      <c r="E56" s="1">
        <f t="shared" si="1"/>
        <v>248289.56545476287</v>
      </c>
      <c r="F56" s="1">
        <f t="shared" si="2"/>
        <v>252708.37077127062</v>
      </c>
    </row>
    <row r="57" spans="2:6" x14ac:dyDescent="0.3">
      <c r="B57" s="30">
        <v>43800</v>
      </c>
      <c r="C57" s="10">
        <v>235061.7561782866</v>
      </c>
      <c r="D57" s="1">
        <f t="shared" si="0"/>
        <v>197320.7250736478</v>
      </c>
      <c r="E57" s="1">
        <f t="shared" si="1"/>
        <v>234573.6989942824</v>
      </c>
      <c r="F57" s="1">
        <f t="shared" si="2"/>
        <v>251654.79238546989</v>
      </c>
    </row>
    <row r="58" spans="2:6" x14ac:dyDescent="0.3">
      <c r="B58" s="30">
        <v>43831</v>
      </c>
      <c r="C58" s="10">
        <v>239262.91403575291</v>
      </c>
      <c r="D58" s="1">
        <f t="shared" si="0"/>
        <v>211690.03910328352</v>
      </c>
      <c r="E58" s="1">
        <f t="shared" si="1"/>
        <v>224836.74787656133</v>
      </c>
      <c r="F58" s="1">
        <f t="shared" si="2"/>
        <v>252485.75331144061</v>
      </c>
    </row>
    <row r="59" spans="2:6" x14ac:dyDescent="0.3">
      <c r="B59" s="30">
        <v>43862</v>
      </c>
      <c r="C59" s="10">
        <v>244876.22988987525</v>
      </c>
      <c r="D59" s="1">
        <f t="shared" si="0"/>
        <v>232906.16465952099</v>
      </c>
      <c r="E59" s="1">
        <f t="shared" si="1"/>
        <v>215839.10772553377</v>
      </c>
      <c r="F59" s="1">
        <f t="shared" si="2"/>
        <v>251656.2693470321</v>
      </c>
    </row>
    <row r="60" spans="2:6" x14ac:dyDescent="0.3">
      <c r="B60" s="30">
        <v>43891</v>
      </c>
      <c r="C60" s="10">
        <v>132437.98080330843</v>
      </c>
      <c r="D60" s="1">
        <f t="shared" si="0"/>
        <v>239733.6333679716</v>
      </c>
      <c r="E60" s="1">
        <f t="shared" si="1"/>
        <v>218527.17922080972</v>
      </c>
      <c r="F60" s="1">
        <f t="shared" si="2"/>
        <v>253046.43485543618</v>
      </c>
    </row>
    <row r="61" spans="2:6" x14ac:dyDescent="0.3">
      <c r="B61" s="30">
        <v>43922</v>
      </c>
      <c r="C61" s="10">
        <v>641.93452018587436</v>
      </c>
      <c r="D61" s="1">
        <f t="shared" si="0"/>
        <v>205525.70824297887</v>
      </c>
      <c r="E61" s="1">
        <f t="shared" si="1"/>
        <v>208607.87367313114</v>
      </c>
      <c r="F61" s="1">
        <f t="shared" si="2"/>
        <v>239717.8537196285</v>
      </c>
    </row>
    <row r="62" spans="2:6" x14ac:dyDescent="0.3">
      <c r="B62" s="30">
        <v>43952</v>
      </c>
      <c r="C62" s="10">
        <v>1301.4319637319422</v>
      </c>
      <c r="D62" s="1">
        <f t="shared" si="0"/>
        <v>125985.38173778985</v>
      </c>
      <c r="E62" s="1">
        <f t="shared" si="1"/>
        <v>179445.77319865543</v>
      </c>
      <c r="F62" s="1">
        <f t="shared" si="2"/>
        <v>213867.66932670915</v>
      </c>
    </row>
    <row r="63" spans="2:6" x14ac:dyDescent="0.3">
      <c r="B63" s="30">
        <v>43983</v>
      </c>
      <c r="C63" s="10">
        <v>2067.5903796068651</v>
      </c>
      <c r="D63" s="1">
        <f t="shared" si="0"/>
        <v>44793.782429075414</v>
      </c>
      <c r="E63" s="1">
        <f t="shared" si="1"/>
        <v>142263.70789852351</v>
      </c>
      <c r="F63" s="1">
        <f t="shared" si="2"/>
        <v>188418.70344640294</v>
      </c>
    </row>
    <row r="64" spans="2:6" x14ac:dyDescent="0.3">
      <c r="B64" s="30">
        <v>44013</v>
      </c>
      <c r="C64" s="10">
        <v>2197.920610378228</v>
      </c>
      <c r="D64" s="1">
        <f t="shared" si="0"/>
        <v>1336.9856211748938</v>
      </c>
      <c r="E64" s="1">
        <f t="shared" si="1"/>
        <v>103431.34693207686</v>
      </c>
      <c r="F64" s="1">
        <f t="shared" si="2"/>
        <v>164134.04740431914</v>
      </c>
    </row>
    <row r="65" spans="2:6" x14ac:dyDescent="0.3">
      <c r="B65" s="30">
        <v>44044</v>
      </c>
      <c r="C65" s="10">
        <v>4114.628639773563</v>
      </c>
      <c r="D65" s="1">
        <f t="shared" si="0"/>
        <v>1855.6476512390118</v>
      </c>
      <c r="E65" s="1">
        <f t="shared" si="1"/>
        <v>63920.51469451443</v>
      </c>
      <c r="F65" s="1">
        <f t="shared" si="2"/>
        <v>139879.81121002411</v>
      </c>
    </row>
    <row r="66" spans="2:6" x14ac:dyDescent="0.3">
      <c r="B66" s="30">
        <v>44075</v>
      </c>
      <c r="C66" s="10">
        <v>6689.4271615687639</v>
      </c>
      <c r="D66" s="1">
        <f t="shared" si="0"/>
        <v>2793.3798765862189</v>
      </c>
      <c r="E66" s="1">
        <f t="shared" si="1"/>
        <v>23793.581152830815</v>
      </c>
      <c r="F66" s="1">
        <f t="shared" si="2"/>
        <v>121160.38018682027</v>
      </c>
    </row>
    <row r="67" spans="2:6" x14ac:dyDescent="0.3">
      <c r="B67" s="30">
        <v>44105</v>
      </c>
      <c r="C67" s="10">
        <v>6404.1657751584289</v>
      </c>
      <c r="D67" s="1">
        <f t="shared" si="0"/>
        <v>4333.992137240185</v>
      </c>
      <c r="E67" s="1">
        <f t="shared" si="1"/>
        <v>2835.4888792075394</v>
      </c>
      <c r="F67" s="1">
        <f t="shared" si="2"/>
        <v>105721.68127616936</v>
      </c>
    </row>
    <row r="68" spans="2:6" x14ac:dyDescent="0.3">
      <c r="B68" s="30">
        <v>44136</v>
      </c>
      <c r="C68" s="10">
        <v>3309.7558246726257</v>
      </c>
      <c r="D68" s="1">
        <f t="shared" si="0"/>
        <v>5736.0738588335853</v>
      </c>
      <c r="E68" s="1">
        <f t="shared" si="1"/>
        <v>3795.8607550362981</v>
      </c>
      <c r="F68" s="1">
        <f t="shared" si="2"/>
        <v>91620.816976845861</v>
      </c>
    </row>
    <row r="69" spans="2:6" x14ac:dyDescent="0.3">
      <c r="B69" s="30">
        <v>44166</v>
      </c>
      <c r="C69" s="10">
        <v>4437.5883626819123</v>
      </c>
      <c r="D69" s="1">
        <f t="shared" si="0"/>
        <v>5467.7829204666059</v>
      </c>
      <c r="E69" s="1">
        <f t="shared" si="1"/>
        <v>4130.5813985264122</v>
      </c>
      <c r="F69" s="1">
        <f t="shared" si="2"/>
        <v>73197.144648524962</v>
      </c>
    </row>
    <row r="70" spans="2:6" x14ac:dyDescent="0.3">
      <c r="B70" s="30">
        <v>44197</v>
      </c>
      <c r="C70" s="10">
        <v>3846.4062770999499</v>
      </c>
      <c r="D70" s="1">
        <f t="shared" si="0"/>
        <v>4717.1699875043223</v>
      </c>
      <c r="E70" s="1">
        <f t="shared" si="1"/>
        <v>4525.5810623722537</v>
      </c>
      <c r="F70" s="1">
        <f t="shared" si="2"/>
        <v>53978.463997224571</v>
      </c>
    </row>
    <row r="71" spans="2:6" x14ac:dyDescent="0.3">
      <c r="B71" s="30">
        <v>44228</v>
      </c>
      <c r="C71" s="10">
        <v>3227.5014555003654</v>
      </c>
      <c r="D71" s="1">
        <f t="shared" si="0"/>
        <v>3864.5834881514961</v>
      </c>
      <c r="E71" s="1">
        <f t="shared" si="1"/>
        <v>4800.3286734925414</v>
      </c>
      <c r="F71" s="1">
        <f t="shared" si="2"/>
        <v>34360.421684003493</v>
      </c>
    </row>
    <row r="72" spans="2:6" x14ac:dyDescent="0.3">
      <c r="B72" s="30">
        <v>44256</v>
      </c>
      <c r="C72" s="10">
        <v>2951.0309344861835</v>
      </c>
      <c r="D72" s="1">
        <f t="shared" si="0"/>
        <v>3837.1653650940757</v>
      </c>
      <c r="E72" s="1">
        <f t="shared" si="1"/>
        <v>4652.474142780341</v>
      </c>
      <c r="F72" s="1">
        <f t="shared" si="2"/>
        <v>14223.027647805582</v>
      </c>
    </row>
    <row r="73" spans="2:6" x14ac:dyDescent="0.3">
      <c r="B73" s="30">
        <v>44287</v>
      </c>
      <c r="C73" s="10">
        <v>2598.8621786919034</v>
      </c>
      <c r="D73" s="1">
        <f t="shared" si="0"/>
        <v>3341.6462223621661</v>
      </c>
      <c r="E73" s="1">
        <f t="shared" si="1"/>
        <v>4029.408104933244</v>
      </c>
      <c r="F73" s="1">
        <f t="shared" si="2"/>
        <v>3432.4484920703912</v>
      </c>
    </row>
    <row r="74" spans="2:6" x14ac:dyDescent="0.3">
      <c r="B74" s="30">
        <v>44317</v>
      </c>
      <c r="C74" s="10">
        <v>2753.4790873115135</v>
      </c>
      <c r="D74" s="1">
        <f t="shared" si="0"/>
        <v>2925.7981895594839</v>
      </c>
      <c r="E74" s="1">
        <f t="shared" si="1"/>
        <v>3395.1908388554898</v>
      </c>
      <c r="F74" s="1">
        <f t="shared" si="2"/>
        <v>3595.5257969458939</v>
      </c>
    </row>
    <row r="75" spans="2:6" x14ac:dyDescent="0.3">
      <c r="B75" s="30">
        <v>44348</v>
      </c>
      <c r="C75" s="10">
        <v>2909.7769781967309</v>
      </c>
      <c r="D75" s="1">
        <f t="shared" si="0"/>
        <v>2767.7907334965334</v>
      </c>
      <c r="E75" s="1">
        <f t="shared" si="1"/>
        <v>3302.4780492953046</v>
      </c>
      <c r="F75" s="1">
        <f t="shared" si="2"/>
        <v>3716.5297239108581</v>
      </c>
    </row>
    <row r="76" spans="2:6" x14ac:dyDescent="0.3">
      <c r="B76" s="30">
        <v>44378</v>
      </c>
      <c r="C76" s="10">
        <v>11740.669416837227</v>
      </c>
      <c r="D76" s="1">
        <f t="shared" si="0"/>
        <v>2754.0394147333827</v>
      </c>
      <c r="E76" s="1">
        <f t="shared" si="1"/>
        <v>3047.8428185477737</v>
      </c>
      <c r="F76" s="1">
        <f t="shared" si="2"/>
        <v>3786.7119404600139</v>
      </c>
    </row>
    <row r="77" spans="2:6" x14ac:dyDescent="0.3">
      <c r="B77" s="30">
        <v>44409</v>
      </c>
      <c r="C77" s="10">
        <v>37255.496934670307</v>
      </c>
      <c r="D77" s="1">
        <f t="shared" si="0"/>
        <v>5801.3084941151574</v>
      </c>
      <c r="E77" s="1">
        <f t="shared" si="1"/>
        <v>4363.5533418373207</v>
      </c>
      <c r="F77" s="1">
        <f t="shared" si="2"/>
        <v>4581.9410076649301</v>
      </c>
    </row>
    <row r="78" spans="2:6" x14ac:dyDescent="0.3">
      <c r="B78" s="30">
        <v>44440</v>
      </c>
      <c r="C78" s="10">
        <v>45404.752650119124</v>
      </c>
      <c r="D78" s="1">
        <f t="shared" ref="D78:D108" si="3">AVERAGE(C75:C77)</f>
        <v>17301.981109901422</v>
      </c>
      <c r="E78" s="1">
        <f t="shared" si="1"/>
        <v>10034.885921698979</v>
      </c>
      <c r="F78" s="1">
        <f t="shared" si="2"/>
        <v>7343.6800322396593</v>
      </c>
    </row>
    <row r="79" spans="2:6" x14ac:dyDescent="0.3">
      <c r="B79" s="30">
        <v>44470</v>
      </c>
      <c r="C79" s="10">
        <v>50645.752357514291</v>
      </c>
      <c r="D79" s="1">
        <f t="shared" si="3"/>
        <v>31466.973000542221</v>
      </c>
      <c r="E79" s="1">
        <f t="shared" si="1"/>
        <v>17110.506207637798</v>
      </c>
      <c r="F79" s="1">
        <f t="shared" si="2"/>
        <v>10569.957156285522</v>
      </c>
    </row>
    <row r="80" spans="2:6" x14ac:dyDescent="0.3">
      <c r="B80" s="30">
        <v>44501</v>
      </c>
      <c r="C80" s="10">
        <v>49721.641573337147</v>
      </c>
      <c r="D80" s="1">
        <f t="shared" si="3"/>
        <v>44435.333980767908</v>
      </c>
      <c r="E80" s="1">
        <f t="shared" si="1"/>
        <v>25118.321237441531</v>
      </c>
      <c r="F80" s="1">
        <f t="shared" si="2"/>
        <v>14256.756038148511</v>
      </c>
    </row>
    <row r="81" spans="2:6" x14ac:dyDescent="0.3">
      <c r="B81" s="30">
        <v>44531</v>
      </c>
      <c r="C81" s="10">
        <v>66329.056761290121</v>
      </c>
      <c r="D81" s="1">
        <f t="shared" si="3"/>
        <v>48590.715526990185</v>
      </c>
      <c r="E81" s="1">
        <f t="shared" ref="E81:E108" si="4">AVERAGE(C75:C80)</f>
        <v>32946.348318445802</v>
      </c>
      <c r="F81" s="1">
        <f t="shared" si="2"/>
        <v>18124.413183870554</v>
      </c>
    </row>
    <row r="82" spans="2:6" x14ac:dyDescent="0.3">
      <c r="B82" s="30">
        <v>44562</v>
      </c>
      <c r="C82" s="10">
        <v>90770.999675373227</v>
      </c>
      <c r="D82" s="1">
        <f t="shared" si="3"/>
        <v>55565.483564047179</v>
      </c>
      <c r="E82" s="1">
        <f t="shared" si="4"/>
        <v>43516.228282294702</v>
      </c>
      <c r="F82" s="1">
        <f t="shared" si="2"/>
        <v>23282.035550421238</v>
      </c>
    </row>
    <row r="83" spans="2:6" x14ac:dyDescent="0.3">
      <c r="B83" s="30">
        <v>44593</v>
      </c>
      <c r="C83" s="10">
        <v>108122.73917942983</v>
      </c>
      <c r="D83" s="1">
        <f t="shared" si="3"/>
        <v>68940.566003333501</v>
      </c>
      <c r="E83" s="1">
        <f t="shared" si="4"/>
        <v>56687.949992050708</v>
      </c>
      <c r="F83" s="1">
        <f t="shared" si="2"/>
        <v>30525.751666944008</v>
      </c>
    </row>
    <row r="84" spans="2:6" x14ac:dyDescent="0.3">
      <c r="B84" s="30">
        <v>44621</v>
      </c>
      <c r="C84" s="10">
        <v>116465.79105006406</v>
      </c>
      <c r="D84" s="1">
        <f t="shared" si="3"/>
        <v>88407.598538697741</v>
      </c>
      <c r="E84" s="1">
        <f t="shared" si="4"/>
        <v>68499.157032843956</v>
      </c>
      <c r="F84" s="1">
        <f t="shared" si="2"/>
        <v>39267.021477271461</v>
      </c>
    </row>
    <row r="85" spans="2:6" x14ac:dyDescent="0.3">
      <c r="B85" s="30">
        <v>44652</v>
      </c>
      <c r="C85" s="10">
        <v>191524.73040034555</v>
      </c>
      <c r="D85" s="1">
        <f t="shared" si="3"/>
        <v>105119.84330162237</v>
      </c>
      <c r="E85" s="1">
        <f t="shared" si="4"/>
        <v>80342.663432834772</v>
      </c>
      <c r="F85" s="1">
        <f t="shared" si="2"/>
        <v>48726.584820236283</v>
      </c>
    </row>
    <row r="86" spans="2:6" x14ac:dyDescent="0.3">
      <c r="B86" s="30">
        <v>44682</v>
      </c>
      <c r="C86" s="10">
        <v>209311.20369504517</v>
      </c>
      <c r="D86" s="1">
        <f t="shared" si="3"/>
        <v>138704.42020994649</v>
      </c>
      <c r="E86" s="1">
        <f t="shared" si="4"/>
        <v>103822.49310663999</v>
      </c>
      <c r="F86" s="1">
        <f t="shared" si="2"/>
        <v>64470.407172040752</v>
      </c>
    </row>
    <row r="87" spans="2:6" x14ac:dyDescent="0.3">
      <c r="B87" s="30">
        <v>44713</v>
      </c>
      <c r="C87" s="10">
        <v>219057.63590834805</v>
      </c>
      <c r="D87" s="1">
        <f t="shared" si="3"/>
        <v>172433.90838181824</v>
      </c>
      <c r="E87" s="1">
        <f t="shared" si="4"/>
        <v>130420.753460258</v>
      </c>
      <c r="F87" s="1">
        <f t="shared" ref="F87:F108" si="5">AVERAGE(C75:C86)</f>
        <v>81683.550889351885</v>
      </c>
    </row>
    <row r="88" spans="2:6" x14ac:dyDescent="0.3">
      <c r="B88" s="30">
        <v>44743</v>
      </c>
      <c r="C88" s="10">
        <v>198392.07731468696</v>
      </c>
      <c r="D88" s="1">
        <f t="shared" si="3"/>
        <v>206631.19000124626</v>
      </c>
      <c r="E88" s="1">
        <f t="shared" si="4"/>
        <v>155875.51665143433</v>
      </c>
      <c r="F88" s="1">
        <f t="shared" si="5"/>
        <v>99695.872466864515</v>
      </c>
    </row>
    <row r="89" spans="2:6" x14ac:dyDescent="0.3">
      <c r="B89" s="30">
        <v>44774</v>
      </c>
      <c r="C89" s="10">
        <v>207026.95401613574</v>
      </c>
      <c r="D89" s="1">
        <f t="shared" si="3"/>
        <v>208920.30563936007</v>
      </c>
      <c r="E89" s="1">
        <f t="shared" si="4"/>
        <v>173812.36292465325</v>
      </c>
      <c r="F89" s="1">
        <f t="shared" si="5"/>
        <v>115250.15645835199</v>
      </c>
    </row>
    <row r="90" spans="2:6" x14ac:dyDescent="0.3">
      <c r="B90" s="30">
        <v>44805</v>
      </c>
      <c r="C90" s="10">
        <v>156165.16614220969</v>
      </c>
      <c r="D90" s="1">
        <f t="shared" si="3"/>
        <v>208158.88907972359</v>
      </c>
      <c r="E90" s="1">
        <f t="shared" si="4"/>
        <v>190296.39873077092</v>
      </c>
      <c r="F90" s="1">
        <f t="shared" si="5"/>
        <v>129397.77788180743</v>
      </c>
    </row>
    <row r="91" spans="2:6" x14ac:dyDescent="0.3">
      <c r="B91" s="30">
        <v>44835</v>
      </c>
      <c r="C91" s="10">
        <v>186183.08411958037</v>
      </c>
      <c r="D91" s="1">
        <f t="shared" si="3"/>
        <v>187194.7324910108</v>
      </c>
      <c r="E91" s="1">
        <f t="shared" si="4"/>
        <v>196912.96124612854</v>
      </c>
      <c r="F91" s="1">
        <f t="shared" si="5"/>
        <v>138627.81233948164</v>
      </c>
    </row>
    <row r="92" spans="2:6" x14ac:dyDescent="0.3">
      <c r="B92" s="30">
        <v>44866</v>
      </c>
      <c r="C92" s="10">
        <v>186840.61561237861</v>
      </c>
      <c r="D92" s="1">
        <f t="shared" si="3"/>
        <v>183125.06809264192</v>
      </c>
      <c r="E92" s="1">
        <f t="shared" si="4"/>
        <v>196022.68686600099</v>
      </c>
      <c r="F92" s="1">
        <f t="shared" si="5"/>
        <v>149922.5899863205</v>
      </c>
    </row>
    <row r="93" spans="2:6" x14ac:dyDescent="0.3">
      <c r="B93" s="30">
        <v>44896</v>
      </c>
      <c r="C93" s="10">
        <v>169713.20389962225</v>
      </c>
      <c r="D93" s="1">
        <f t="shared" si="3"/>
        <v>176396.28862472289</v>
      </c>
      <c r="E93" s="1">
        <f t="shared" si="4"/>
        <v>192277.58885222324</v>
      </c>
      <c r="F93" s="1">
        <f t="shared" si="5"/>
        <v>161349.17115624063</v>
      </c>
    </row>
    <row r="94" spans="2:6" x14ac:dyDescent="0.3">
      <c r="B94" s="30">
        <v>44927</v>
      </c>
      <c r="C94" s="10">
        <v>172677.96810761312</v>
      </c>
      <c r="D94" s="1">
        <f t="shared" si="3"/>
        <v>180912.30121052708</v>
      </c>
      <c r="E94" s="1">
        <f t="shared" si="4"/>
        <v>184053.51685076894</v>
      </c>
      <c r="F94" s="1">
        <f t="shared" si="5"/>
        <v>169964.51675110162</v>
      </c>
    </row>
    <row r="95" spans="2:6" x14ac:dyDescent="0.3">
      <c r="B95" s="30">
        <v>44958</v>
      </c>
      <c r="C95" s="10">
        <v>188491.46256984698</v>
      </c>
      <c r="D95" s="1">
        <f t="shared" si="3"/>
        <v>176410.59587320467</v>
      </c>
      <c r="E95" s="1">
        <f t="shared" si="4"/>
        <v>179767.83198292329</v>
      </c>
      <c r="F95" s="1">
        <f t="shared" si="5"/>
        <v>176790.09745378827</v>
      </c>
    </row>
    <row r="96" spans="2:6" x14ac:dyDescent="0.3">
      <c r="B96" s="30">
        <v>44986</v>
      </c>
      <c r="C96" s="10">
        <v>222669.40831319566</v>
      </c>
      <c r="D96" s="1">
        <f t="shared" si="3"/>
        <v>176960.87819236077</v>
      </c>
      <c r="E96" s="1">
        <f t="shared" si="4"/>
        <v>176678.58340854183</v>
      </c>
      <c r="F96" s="1">
        <f t="shared" si="5"/>
        <v>183487.49106965636</v>
      </c>
    </row>
    <row r="97" spans="2:6" x14ac:dyDescent="0.3">
      <c r="B97" s="30">
        <v>45017</v>
      </c>
      <c r="C97" s="10">
        <v>341798.35948232247</v>
      </c>
      <c r="D97" s="1">
        <f t="shared" si="3"/>
        <v>194612.94633021858</v>
      </c>
      <c r="E97" s="1">
        <f t="shared" si="4"/>
        <v>187762.62377037283</v>
      </c>
      <c r="F97" s="1">
        <f t="shared" si="5"/>
        <v>192337.79250825068</v>
      </c>
    </row>
    <row r="98" spans="2:6" x14ac:dyDescent="0.3">
      <c r="B98" s="30">
        <v>45047</v>
      </c>
      <c r="C98" s="10">
        <v>346455.81157649617</v>
      </c>
      <c r="D98" s="1">
        <f t="shared" si="3"/>
        <v>250986.41012178836</v>
      </c>
      <c r="E98" s="1">
        <f t="shared" si="4"/>
        <v>213698.50299749654</v>
      </c>
      <c r="F98" s="1">
        <f t="shared" si="5"/>
        <v>204860.59493174872</v>
      </c>
    </row>
    <row r="99" spans="2:6" x14ac:dyDescent="0.3">
      <c r="B99" s="30">
        <v>45078</v>
      </c>
      <c r="C99" s="10">
        <v>355494.835555739</v>
      </c>
      <c r="D99" s="1">
        <f t="shared" si="3"/>
        <v>303641.19312400481</v>
      </c>
      <c r="E99" s="1">
        <f t="shared" si="4"/>
        <v>240301.03565818278</v>
      </c>
      <c r="F99" s="1">
        <f t="shared" si="5"/>
        <v>216289.31225520303</v>
      </c>
    </row>
    <row r="100" spans="2:6" x14ac:dyDescent="0.3">
      <c r="B100" s="30">
        <v>45108</v>
      </c>
      <c r="C100" s="10">
        <v>314898.69355130784</v>
      </c>
      <c r="D100" s="1">
        <f t="shared" si="3"/>
        <v>347916.3355381859</v>
      </c>
      <c r="E100" s="1">
        <f t="shared" si="4"/>
        <v>271264.64093420224</v>
      </c>
      <c r="F100" s="1">
        <f t="shared" si="5"/>
        <v>227659.07889248562</v>
      </c>
    </row>
    <row r="101" spans="2:6" x14ac:dyDescent="0.3">
      <c r="B101" s="30">
        <v>45139</v>
      </c>
      <c r="C101" s="10">
        <v>328728.94789950748</v>
      </c>
      <c r="D101" s="1">
        <f t="shared" si="3"/>
        <v>338949.78022784763</v>
      </c>
      <c r="E101" s="1">
        <f t="shared" si="4"/>
        <v>294968.09517481801</v>
      </c>
      <c r="F101" s="1">
        <f t="shared" si="5"/>
        <v>237367.96357887072</v>
      </c>
    </row>
    <row r="102" spans="2:6" x14ac:dyDescent="0.3">
      <c r="B102" s="30">
        <v>45170</v>
      </c>
      <c r="C102" s="10">
        <v>233650.2511101992</v>
      </c>
      <c r="D102" s="1">
        <f t="shared" si="3"/>
        <v>333040.82566885144</v>
      </c>
      <c r="E102" s="1">
        <f t="shared" si="4"/>
        <v>318341.00939642807</v>
      </c>
      <c r="F102" s="1">
        <f t="shared" si="5"/>
        <v>247509.79640248496</v>
      </c>
    </row>
    <row r="103" spans="2:6" x14ac:dyDescent="0.3">
      <c r="B103" s="30">
        <v>45200</v>
      </c>
      <c r="C103" s="10">
        <v>254817.93501796076</v>
      </c>
      <c r="D103" s="1">
        <f t="shared" si="3"/>
        <v>292425.96418700484</v>
      </c>
      <c r="E103" s="1">
        <f t="shared" si="4"/>
        <v>320171.14986259531</v>
      </c>
      <c r="F103" s="1">
        <f t="shared" si="5"/>
        <v>253966.88681648413</v>
      </c>
    </row>
    <row r="104" spans="2:6" x14ac:dyDescent="0.3">
      <c r="B104" s="30">
        <v>45231</v>
      </c>
      <c r="C104" s="10">
        <v>232886.86769949077</v>
      </c>
      <c r="D104" s="1">
        <f t="shared" si="3"/>
        <v>272399.04467588913</v>
      </c>
      <c r="E104" s="1">
        <f t="shared" si="4"/>
        <v>305674.41245186841</v>
      </c>
      <c r="F104" s="1">
        <f t="shared" si="5"/>
        <v>259686.45772468249</v>
      </c>
    </row>
    <row r="105" spans="2:6" x14ac:dyDescent="0.3">
      <c r="B105" s="30">
        <v>45261</v>
      </c>
      <c r="C105" s="10">
        <v>213567.37935102233</v>
      </c>
      <c r="D105" s="1">
        <f t="shared" si="3"/>
        <v>240451.6846092169</v>
      </c>
      <c r="E105" s="1">
        <f t="shared" si="4"/>
        <v>286746.25513903418</v>
      </c>
      <c r="F105" s="1">
        <f t="shared" si="5"/>
        <v>263523.64539860847</v>
      </c>
    </row>
    <row r="106" spans="2:6" x14ac:dyDescent="0.3">
      <c r="B106" s="30">
        <v>45292</v>
      </c>
      <c r="C106" s="10">
        <v>174061.71257188945</v>
      </c>
      <c r="D106" s="1">
        <f t="shared" si="3"/>
        <v>233757.39402282462</v>
      </c>
      <c r="E106" s="1">
        <f t="shared" si="4"/>
        <v>263091.67910491477</v>
      </c>
      <c r="F106" s="1">
        <f t="shared" si="5"/>
        <v>267178.16001955845</v>
      </c>
    </row>
    <row r="107" spans="2:6" x14ac:dyDescent="0.3">
      <c r="B107" s="30">
        <v>45323</v>
      </c>
      <c r="C107" s="10">
        <v>175542.08526326489</v>
      </c>
      <c r="D107" s="1">
        <f t="shared" si="3"/>
        <v>206838.65320746752</v>
      </c>
      <c r="E107" s="1">
        <f t="shared" si="4"/>
        <v>239618.84894167833</v>
      </c>
      <c r="F107" s="1">
        <f t="shared" si="5"/>
        <v>267293.47205824818</v>
      </c>
    </row>
    <row r="108" spans="2:6" x14ac:dyDescent="0.3">
      <c r="B108" s="30">
        <v>45352</v>
      </c>
      <c r="C108" s="10">
        <v>189641.97923937754</v>
      </c>
      <c r="D108" s="1">
        <f t="shared" si="3"/>
        <v>187723.72572872555</v>
      </c>
      <c r="E108" s="1">
        <f t="shared" si="4"/>
        <v>214087.70516897121</v>
      </c>
      <c r="F108" s="1">
        <f t="shared" si="5"/>
        <v>266214.35728269967</v>
      </c>
    </row>
    <row r="109" spans="2:6" x14ac:dyDescent="0.3">
      <c r="C109" s="1"/>
      <c r="D109" s="1">
        <f t="shared" ref="D109:D111" si="6">AVERAGE(C106:C108)</f>
        <v>179748.59235817729</v>
      </c>
      <c r="E109" s="1">
        <f t="shared" ref="E109:E114" si="7">AVERAGE(C103:C108)</f>
        <v>206752.99319050097</v>
      </c>
      <c r="F109" s="1">
        <f t="shared" ref="F109:F117" si="8">AVERAGE(C97:C108)</f>
        <v>263462.07152654818</v>
      </c>
    </row>
    <row r="110" spans="2:6" x14ac:dyDescent="0.3">
      <c r="C110" s="1"/>
      <c r="D110" s="1">
        <f t="shared" si="6"/>
        <v>182592.03225132122</v>
      </c>
      <c r="E110" s="1">
        <f t="shared" si="7"/>
        <v>197140.004825009</v>
      </c>
      <c r="F110" s="1">
        <f t="shared" si="8"/>
        <v>256340.59080329596</v>
      </c>
    </row>
    <row r="111" spans="2:6" x14ac:dyDescent="0.3">
      <c r="C111" s="1"/>
      <c r="D111" s="1">
        <f t="shared" si="6"/>
        <v>189641.97923937754</v>
      </c>
      <c r="E111" s="1">
        <f t="shared" si="7"/>
        <v>188203.28910638855</v>
      </c>
      <c r="F111" s="1">
        <f t="shared" si="8"/>
        <v>247329.06872597599</v>
      </c>
    </row>
    <row r="112" spans="2:6" x14ac:dyDescent="0.3">
      <c r="C112" s="1"/>
      <c r="D112" s="1"/>
      <c r="E112" s="1">
        <f t="shared" si="7"/>
        <v>179748.59235817729</v>
      </c>
      <c r="F112" s="1">
        <f t="shared" si="8"/>
        <v>235310.6501893356</v>
      </c>
    </row>
    <row r="113" spans="3:6" x14ac:dyDescent="0.3">
      <c r="C113" s="1"/>
      <c r="D113" s="1"/>
      <c r="E113" s="1">
        <f t="shared" si="7"/>
        <v>182592.03225132122</v>
      </c>
      <c r="F113" s="1">
        <f t="shared" si="8"/>
        <v>225362.14476908906</v>
      </c>
    </row>
    <row r="114" spans="3:6" x14ac:dyDescent="0.3">
      <c r="C114" s="1"/>
      <c r="D114" s="1"/>
      <c r="E114" s="1">
        <f t="shared" si="7"/>
        <v>189641.97923937754</v>
      </c>
      <c r="F114" s="1">
        <f t="shared" si="8"/>
        <v>210595.45860760068</v>
      </c>
    </row>
    <row r="115" spans="3:6" x14ac:dyDescent="0.3">
      <c r="C115" s="1"/>
      <c r="D115" s="1"/>
      <c r="E115" s="1"/>
      <c r="F115" s="1">
        <f t="shared" si="8"/>
        <v>206752.99319050097</v>
      </c>
    </row>
    <row r="116" spans="3:6" x14ac:dyDescent="0.3">
      <c r="C116" s="1"/>
      <c r="D116" s="1"/>
      <c r="E116" s="1"/>
      <c r="F116" s="1">
        <f t="shared" si="8"/>
        <v>197140.004825009</v>
      </c>
    </row>
    <row r="117" spans="3:6" x14ac:dyDescent="0.3">
      <c r="C117" s="1"/>
      <c r="D117" s="1"/>
      <c r="E117" s="1"/>
      <c r="F117" s="1">
        <f t="shared" si="8"/>
        <v>188203.28910638855</v>
      </c>
    </row>
    <row r="118" spans="3:6" x14ac:dyDescent="0.3">
      <c r="C118" s="1"/>
      <c r="D118" s="1"/>
      <c r="E118" s="1"/>
      <c r="F118" s="1"/>
    </row>
    <row r="119" spans="3:6" x14ac:dyDescent="0.3">
      <c r="C119" s="1"/>
      <c r="D119" s="1"/>
      <c r="E119" s="1"/>
      <c r="F119" s="1"/>
    </row>
    <row r="120" spans="3:6" x14ac:dyDescent="0.3">
      <c r="C120" s="1"/>
      <c r="D120" s="1"/>
      <c r="E120" s="1"/>
      <c r="F120" s="1"/>
    </row>
    <row r="121" spans="3:6" x14ac:dyDescent="0.3">
      <c r="C121" s="1"/>
      <c r="D121" s="1"/>
      <c r="E121" s="1"/>
      <c r="F121" s="1"/>
    </row>
    <row r="122" spans="3:6" x14ac:dyDescent="0.3">
      <c r="C122" s="1"/>
      <c r="D122" s="1"/>
      <c r="E122" s="1"/>
      <c r="F122" s="1"/>
    </row>
    <row r="123" spans="3:6" x14ac:dyDescent="0.3">
      <c r="C123" s="1"/>
      <c r="D123" s="1"/>
      <c r="E123" s="1"/>
      <c r="F123" s="1"/>
    </row>
    <row r="124" spans="3:6" x14ac:dyDescent="0.3">
      <c r="C124" s="1"/>
      <c r="D124" s="1"/>
      <c r="E124" s="1"/>
      <c r="F124" s="1"/>
    </row>
    <row r="125" spans="3:6" x14ac:dyDescent="0.3">
      <c r="C125" s="1"/>
      <c r="D125" s="1"/>
      <c r="E125" s="1"/>
      <c r="F125" s="1"/>
    </row>
    <row r="126" spans="3:6" x14ac:dyDescent="0.3">
      <c r="C126" s="1"/>
      <c r="D126" s="1"/>
      <c r="E126" s="1"/>
      <c r="F126" s="1"/>
    </row>
    <row r="127" spans="3:6" x14ac:dyDescent="0.3">
      <c r="C127" s="1"/>
      <c r="D127" s="1"/>
      <c r="E127" s="1"/>
      <c r="F127" s="1"/>
    </row>
    <row r="128" spans="3:6" x14ac:dyDescent="0.3">
      <c r="C128" s="1"/>
      <c r="D128" s="1"/>
      <c r="E128" s="1"/>
      <c r="F128" s="1"/>
    </row>
    <row r="129" spans="3:6" x14ac:dyDescent="0.3">
      <c r="C129" s="1"/>
      <c r="D129" s="1"/>
      <c r="E129" s="1"/>
      <c r="F129" s="1"/>
    </row>
    <row r="130" spans="3:6" x14ac:dyDescent="0.3">
      <c r="C130" s="1"/>
      <c r="D130" s="1"/>
      <c r="E130" s="1"/>
      <c r="F130" s="1"/>
    </row>
    <row r="131" spans="3:6" x14ac:dyDescent="0.3">
      <c r="C131" s="1"/>
      <c r="D131" s="1"/>
      <c r="E131" s="1"/>
      <c r="F131" s="1"/>
    </row>
    <row r="132" spans="3:6" x14ac:dyDescent="0.3">
      <c r="C132" s="1"/>
      <c r="D132" s="1"/>
      <c r="E132" s="1"/>
      <c r="F132" s="1"/>
    </row>
    <row r="133" spans="3:6" x14ac:dyDescent="0.3">
      <c r="C133" s="1"/>
      <c r="D133" s="1"/>
      <c r="E133" s="1"/>
      <c r="F133" s="1"/>
    </row>
    <row r="134" spans="3:6" x14ac:dyDescent="0.3">
      <c r="C134" s="1"/>
      <c r="D134" s="1"/>
      <c r="E134" s="1"/>
      <c r="F134" s="1"/>
    </row>
    <row r="135" spans="3:6" x14ac:dyDescent="0.3">
      <c r="C135" s="1"/>
      <c r="D135" s="1"/>
      <c r="E135" s="1"/>
      <c r="F135" s="1"/>
    </row>
    <row r="136" spans="3:6" x14ac:dyDescent="0.3">
      <c r="C136" s="1"/>
      <c r="D136" s="1"/>
      <c r="E136" s="1"/>
      <c r="F136" s="1"/>
    </row>
    <row r="137" spans="3:6" x14ac:dyDescent="0.3">
      <c r="C137" s="1"/>
      <c r="D137" s="1"/>
      <c r="E137" s="1"/>
      <c r="F137" s="1"/>
    </row>
    <row r="138" spans="3:6" x14ac:dyDescent="0.3">
      <c r="C138" s="1"/>
      <c r="D138" s="1"/>
      <c r="E138" s="1"/>
      <c r="F138" s="1"/>
    </row>
    <row r="139" spans="3:6" x14ac:dyDescent="0.3">
      <c r="C139" s="1"/>
      <c r="D139" s="1"/>
      <c r="E139" s="1"/>
      <c r="F139" s="1"/>
    </row>
    <row r="140" spans="3:6" x14ac:dyDescent="0.3">
      <c r="C140" s="1"/>
      <c r="D140" s="1"/>
      <c r="E140" s="1"/>
      <c r="F140" s="1"/>
    </row>
    <row r="141" spans="3:6" x14ac:dyDescent="0.3">
      <c r="C141" s="1"/>
      <c r="D141" s="1"/>
      <c r="E141" s="1"/>
      <c r="F141" s="1"/>
    </row>
    <row r="142" spans="3:6" x14ac:dyDescent="0.3">
      <c r="C142" s="1"/>
      <c r="D142" s="1"/>
      <c r="E142" s="1"/>
      <c r="F142" s="1"/>
    </row>
    <row r="143" spans="3:6" x14ac:dyDescent="0.3">
      <c r="C143" s="1"/>
      <c r="D143" s="1"/>
      <c r="E143" s="1"/>
      <c r="F143" s="1"/>
    </row>
    <row r="144" spans="3:6" x14ac:dyDescent="0.3">
      <c r="C144" s="1"/>
      <c r="D144" s="1"/>
      <c r="E144" s="1"/>
      <c r="F144" s="1"/>
    </row>
    <row r="145" spans="3:6" x14ac:dyDescent="0.3">
      <c r="C145" s="1"/>
      <c r="D145" s="1"/>
      <c r="E145" s="1"/>
      <c r="F145" s="1"/>
    </row>
    <row r="146" spans="3:6" x14ac:dyDescent="0.3">
      <c r="C146" s="1"/>
      <c r="D146" s="1"/>
      <c r="E146" s="1"/>
      <c r="F146" s="1"/>
    </row>
    <row r="147" spans="3:6" x14ac:dyDescent="0.3">
      <c r="C147" s="1"/>
      <c r="D147" s="1"/>
      <c r="E147" s="1"/>
      <c r="F147" s="1"/>
    </row>
    <row r="148" spans="3:6" x14ac:dyDescent="0.3">
      <c r="C148" s="1"/>
      <c r="D148" s="1"/>
      <c r="E148" s="1"/>
      <c r="F148" s="1"/>
    </row>
    <row r="149" spans="3:6" x14ac:dyDescent="0.3">
      <c r="C149" s="1"/>
      <c r="D149" s="1"/>
      <c r="E149" s="1"/>
      <c r="F149" s="1"/>
    </row>
    <row r="150" spans="3:6" x14ac:dyDescent="0.3">
      <c r="C150" s="1"/>
      <c r="D150" s="1"/>
      <c r="E150" s="1"/>
      <c r="F150" s="1"/>
    </row>
    <row r="151" spans="3:6" x14ac:dyDescent="0.3">
      <c r="C151" s="1"/>
      <c r="D151" s="1"/>
      <c r="E151" s="1"/>
      <c r="F151" s="1"/>
    </row>
    <row r="152" spans="3:6" x14ac:dyDescent="0.3">
      <c r="C152" s="1"/>
      <c r="D152" s="1"/>
      <c r="E152" s="1"/>
      <c r="F152" s="1"/>
    </row>
    <row r="153" spans="3:6" x14ac:dyDescent="0.3">
      <c r="C153" s="1"/>
      <c r="D153" s="1"/>
      <c r="E153" s="1"/>
      <c r="F153" s="1"/>
    </row>
    <row r="154" spans="3:6" x14ac:dyDescent="0.3">
      <c r="C154" s="1"/>
      <c r="D154" s="1"/>
      <c r="E154" s="1"/>
      <c r="F154" s="1"/>
    </row>
    <row r="155" spans="3:6" x14ac:dyDescent="0.3">
      <c r="C155" s="1"/>
      <c r="D155" s="1"/>
      <c r="E155" s="1"/>
      <c r="F155" s="1"/>
    </row>
    <row r="156" spans="3:6" x14ac:dyDescent="0.3">
      <c r="C156" s="1"/>
      <c r="D156" s="1"/>
      <c r="E156" s="1"/>
      <c r="F156" s="1"/>
    </row>
    <row r="157" spans="3:6" x14ac:dyDescent="0.3">
      <c r="C157" s="1"/>
      <c r="D157" s="1"/>
      <c r="E157" s="1"/>
      <c r="F157" s="1"/>
    </row>
    <row r="158" spans="3:6" x14ac:dyDescent="0.3">
      <c r="C158" s="1"/>
      <c r="D158" s="1"/>
      <c r="E158" s="1"/>
      <c r="F158" s="1"/>
    </row>
    <row r="159" spans="3:6" x14ac:dyDescent="0.3">
      <c r="C159" s="1"/>
      <c r="D159" s="1"/>
      <c r="E159" s="1"/>
      <c r="F159" s="1"/>
    </row>
    <row r="160" spans="3:6" x14ac:dyDescent="0.3">
      <c r="C160" s="1"/>
      <c r="D160" s="1"/>
      <c r="E160" s="1"/>
      <c r="F160" s="1"/>
    </row>
    <row r="161" spans="3:6" x14ac:dyDescent="0.3">
      <c r="C161" s="1"/>
      <c r="D161" s="1"/>
      <c r="E161" s="1"/>
      <c r="F161" s="1"/>
    </row>
    <row r="162" spans="3:6" x14ac:dyDescent="0.3">
      <c r="C162" s="1"/>
      <c r="D162" s="1"/>
      <c r="E162" s="1"/>
      <c r="F162" s="1"/>
    </row>
    <row r="163" spans="3:6" x14ac:dyDescent="0.3">
      <c r="C163" s="1"/>
      <c r="D163" s="1"/>
      <c r="E163" s="1"/>
      <c r="F163" s="1"/>
    </row>
    <row r="164" spans="3:6" x14ac:dyDescent="0.3">
      <c r="C164" s="1"/>
      <c r="D164" s="1"/>
      <c r="E164" s="1"/>
      <c r="F164" s="1"/>
    </row>
    <row r="165" spans="3:6" x14ac:dyDescent="0.3">
      <c r="C165" s="1"/>
      <c r="D165" s="1"/>
      <c r="E165" s="1"/>
      <c r="F165" s="1"/>
    </row>
    <row r="166" spans="3:6" x14ac:dyDescent="0.3">
      <c r="C166" s="1"/>
      <c r="D166" s="1"/>
      <c r="E166" s="1"/>
      <c r="F166" s="1"/>
    </row>
    <row r="167" spans="3:6" x14ac:dyDescent="0.3">
      <c r="C167" s="1"/>
      <c r="D167" s="1"/>
      <c r="E167" s="1"/>
      <c r="F167" s="1"/>
    </row>
    <row r="168" spans="3:6" x14ac:dyDescent="0.3">
      <c r="C168" s="1"/>
      <c r="D168" s="1"/>
      <c r="E168" s="1"/>
      <c r="F168" s="1"/>
    </row>
    <row r="169" spans="3:6" x14ac:dyDescent="0.3">
      <c r="C169" s="1"/>
      <c r="D169" s="1"/>
      <c r="E169" s="1"/>
      <c r="F169" s="1"/>
    </row>
    <row r="170" spans="3:6" x14ac:dyDescent="0.3">
      <c r="C170" s="1"/>
      <c r="D170" s="1"/>
      <c r="E170" s="1"/>
      <c r="F170" s="1"/>
    </row>
    <row r="171" spans="3:6" x14ac:dyDescent="0.3">
      <c r="C171" s="1"/>
      <c r="D171" s="1"/>
      <c r="E171" s="1"/>
      <c r="F171" s="1"/>
    </row>
    <row r="172" spans="3:6" x14ac:dyDescent="0.3">
      <c r="C172" s="1"/>
      <c r="D172" s="1"/>
      <c r="E172" s="1"/>
      <c r="F172" s="1"/>
    </row>
    <row r="173" spans="3:6" x14ac:dyDescent="0.3">
      <c r="C173" s="1"/>
      <c r="D173" s="1"/>
      <c r="E173" s="1"/>
      <c r="F173" s="1"/>
    </row>
    <row r="174" spans="3:6" x14ac:dyDescent="0.3">
      <c r="C174" s="1"/>
      <c r="D174" s="1"/>
      <c r="E174" s="1"/>
      <c r="F174" s="1"/>
    </row>
    <row r="175" spans="3:6" x14ac:dyDescent="0.3">
      <c r="C175" s="1"/>
      <c r="D175" s="1"/>
      <c r="E175" s="1"/>
      <c r="F175" s="1"/>
    </row>
    <row r="176" spans="3:6" x14ac:dyDescent="0.3">
      <c r="C176" s="1"/>
      <c r="D176" s="1"/>
      <c r="E176" s="1"/>
      <c r="F176" s="1"/>
    </row>
    <row r="177" spans="3:6" x14ac:dyDescent="0.3">
      <c r="C177" s="1"/>
      <c r="D177" s="1"/>
      <c r="E177" s="1"/>
      <c r="F177" s="1"/>
    </row>
    <row r="178" spans="3:6" x14ac:dyDescent="0.3">
      <c r="C178" s="1"/>
      <c r="D178" s="1"/>
      <c r="E178" s="1"/>
      <c r="F178" s="1"/>
    </row>
    <row r="179" spans="3:6" x14ac:dyDescent="0.3">
      <c r="C179" s="1"/>
      <c r="D179" s="1"/>
      <c r="E179" s="1"/>
      <c r="F179" s="1"/>
    </row>
    <row r="180" spans="3:6" x14ac:dyDescent="0.3">
      <c r="C180" s="1"/>
      <c r="D180" s="1"/>
      <c r="E180" s="1"/>
      <c r="F180" s="1"/>
    </row>
    <row r="181" spans="3:6" x14ac:dyDescent="0.3">
      <c r="C181" s="1"/>
      <c r="D181" s="1"/>
      <c r="E181" s="1"/>
      <c r="F181" s="1"/>
    </row>
    <row r="182" spans="3:6" x14ac:dyDescent="0.3">
      <c r="C182" s="1"/>
      <c r="D182" s="1"/>
      <c r="E182" s="1"/>
      <c r="F182" s="1"/>
    </row>
    <row r="183" spans="3:6" x14ac:dyDescent="0.3">
      <c r="C183" s="1"/>
      <c r="D183" s="1"/>
      <c r="E183" s="1"/>
      <c r="F183" s="1"/>
    </row>
    <row r="184" spans="3:6" x14ac:dyDescent="0.3">
      <c r="C184" s="1"/>
      <c r="D184" s="1"/>
      <c r="E184" s="1"/>
      <c r="F184" s="1"/>
    </row>
    <row r="185" spans="3:6" x14ac:dyDescent="0.3">
      <c r="C185" s="1"/>
      <c r="D185" s="1"/>
      <c r="E185" s="1"/>
      <c r="F185" s="1"/>
    </row>
    <row r="186" spans="3:6" x14ac:dyDescent="0.3">
      <c r="C186" s="1"/>
      <c r="D186" s="1"/>
      <c r="E186" s="1"/>
      <c r="F186" s="1"/>
    </row>
    <row r="187" spans="3:6" x14ac:dyDescent="0.3">
      <c r="C187" s="1"/>
      <c r="D187" s="1"/>
      <c r="E187" s="1"/>
      <c r="F187" s="1"/>
    </row>
    <row r="188" spans="3:6" x14ac:dyDescent="0.3">
      <c r="C188" s="1"/>
      <c r="D188" s="1"/>
      <c r="E188" s="1"/>
      <c r="F188" s="1"/>
    </row>
    <row r="189" spans="3:6" x14ac:dyDescent="0.3">
      <c r="C189" s="1"/>
      <c r="D189" s="1"/>
      <c r="E189" s="1"/>
      <c r="F189" s="1"/>
    </row>
    <row r="190" spans="3:6" x14ac:dyDescent="0.3">
      <c r="C190" s="1"/>
      <c r="D190" s="1"/>
      <c r="E190" s="1"/>
      <c r="F190" s="1"/>
    </row>
    <row r="191" spans="3:6" x14ac:dyDescent="0.3">
      <c r="C191" s="1"/>
      <c r="D191" s="1"/>
      <c r="E191" s="1"/>
      <c r="F191" s="1"/>
    </row>
    <row r="192" spans="3:6" x14ac:dyDescent="0.3">
      <c r="C192" s="1"/>
      <c r="D192" s="1"/>
      <c r="E192" s="1"/>
      <c r="F192" s="1"/>
    </row>
    <row r="193" spans="3:6" x14ac:dyDescent="0.3">
      <c r="C193" s="1"/>
      <c r="D193" s="1"/>
      <c r="E193" s="1"/>
      <c r="F193" s="1"/>
    </row>
    <row r="194" spans="3:6" x14ac:dyDescent="0.3">
      <c r="C194" s="1"/>
      <c r="D194" s="1"/>
      <c r="E194" s="1"/>
      <c r="F194" s="1"/>
    </row>
    <row r="195" spans="3:6" x14ac:dyDescent="0.3">
      <c r="C195" s="1"/>
      <c r="D195" s="1"/>
      <c r="E195" s="1"/>
      <c r="F195" s="1"/>
    </row>
    <row r="196" spans="3:6" x14ac:dyDescent="0.3">
      <c r="C196" s="1"/>
      <c r="D196" s="1"/>
      <c r="E196" s="1"/>
      <c r="F196" s="1"/>
    </row>
    <row r="197" spans="3:6" x14ac:dyDescent="0.3">
      <c r="C197" s="1"/>
      <c r="D197" s="1"/>
      <c r="E197" s="1"/>
      <c r="F197" s="1"/>
    </row>
    <row r="198" spans="3:6" x14ac:dyDescent="0.3">
      <c r="C198" s="1"/>
      <c r="D198" s="1"/>
      <c r="E198" s="1"/>
      <c r="F198" s="1"/>
    </row>
    <row r="199" spans="3:6" x14ac:dyDescent="0.3">
      <c r="C199" s="1"/>
      <c r="D199" s="1"/>
      <c r="E199" s="1"/>
      <c r="F199" s="1"/>
    </row>
    <row r="200" spans="3:6" x14ac:dyDescent="0.3">
      <c r="C200" s="1"/>
      <c r="D200" s="1"/>
      <c r="E200" s="1"/>
      <c r="F200" s="1"/>
    </row>
    <row r="201" spans="3:6" x14ac:dyDescent="0.3">
      <c r="C201" s="1"/>
      <c r="D201" s="1"/>
      <c r="E201" s="1"/>
      <c r="F201" s="1"/>
    </row>
    <row r="202" spans="3:6" x14ac:dyDescent="0.3">
      <c r="C202" s="1"/>
      <c r="D202" s="1"/>
      <c r="E202" s="1"/>
      <c r="F202" s="1"/>
    </row>
    <row r="203" spans="3:6" x14ac:dyDescent="0.3">
      <c r="C203" s="1"/>
      <c r="D203" s="1"/>
      <c r="E203" s="1"/>
      <c r="F203" s="1"/>
    </row>
    <row r="204" spans="3:6" x14ac:dyDescent="0.3">
      <c r="C204" s="1"/>
      <c r="D204" s="1"/>
      <c r="E204" s="1"/>
      <c r="F204" s="1"/>
    </row>
    <row r="205" spans="3:6" x14ac:dyDescent="0.3">
      <c r="C205" s="1"/>
      <c r="D205" s="1"/>
      <c r="E205" s="1"/>
      <c r="F205" s="1"/>
    </row>
    <row r="206" spans="3:6" x14ac:dyDescent="0.3">
      <c r="C206" s="1"/>
      <c r="D206" s="1"/>
      <c r="E206" s="1"/>
      <c r="F206" s="1"/>
    </row>
    <row r="207" spans="3:6" x14ac:dyDescent="0.3">
      <c r="C207" s="1"/>
      <c r="D207" s="1"/>
      <c r="E207" s="1"/>
      <c r="F207" s="1"/>
    </row>
    <row r="208" spans="3:6" x14ac:dyDescent="0.3">
      <c r="C208" s="1"/>
      <c r="D208" s="1"/>
      <c r="E208" s="1"/>
      <c r="F208" s="1"/>
    </row>
    <row r="209" spans="2:6" x14ac:dyDescent="0.3">
      <c r="C209" s="1"/>
      <c r="D209" s="1"/>
      <c r="E209" s="1"/>
      <c r="F209" s="1"/>
    </row>
    <row r="210" spans="2:6" x14ac:dyDescent="0.3">
      <c r="C210" s="1"/>
      <c r="D210" s="1"/>
      <c r="E210" s="1"/>
      <c r="F210" s="1"/>
    </row>
    <row r="211" spans="2:6" x14ac:dyDescent="0.3">
      <c r="C211" s="1"/>
      <c r="D211" s="1"/>
      <c r="E211" s="1"/>
      <c r="F211" s="1"/>
    </row>
    <row r="212" spans="2:6" x14ac:dyDescent="0.3">
      <c r="B212" s="5"/>
      <c r="C212" s="9"/>
      <c r="D212" s="9"/>
      <c r="E212" s="9"/>
      <c r="F212" s="9"/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BA01-C6B6-47F5-A539-FF44DF37F578}">
  <dimension ref="A1:B121"/>
  <sheetViews>
    <sheetView topLeftCell="A70" workbookViewId="0">
      <selection activeCell="D82" sqref="D82"/>
    </sheetView>
  </sheetViews>
  <sheetFormatPr baseColWidth="10" defaultRowHeight="13.2" x14ac:dyDescent="0.3"/>
  <cols>
    <col min="2" max="2" width="14.28515625" customWidth="1"/>
  </cols>
  <sheetData>
    <row r="1" spans="1:2" x14ac:dyDescent="0.3">
      <c r="A1" s="89" t="s">
        <v>155</v>
      </c>
      <c r="B1" t="s">
        <v>115</v>
      </c>
    </row>
    <row r="2" spans="1:2" x14ac:dyDescent="0.3">
      <c r="A2" s="79">
        <v>42370</v>
      </c>
      <c r="B2">
        <v>248684</v>
      </c>
    </row>
    <row r="3" spans="1:2" x14ac:dyDescent="0.3">
      <c r="A3" s="80">
        <v>42401</v>
      </c>
      <c r="B3">
        <v>211731</v>
      </c>
    </row>
    <row r="4" spans="1:2" x14ac:dyDescent="0.3">
      <c r="A4" s="79">
        <v>42430</v>
      </c>
      <c r="B4">
        <v>210862</v>
      </c>
    </row>
    <row r="5" spans="1:2" x14ac:dyDescent="0.3">
      <c r="A5" s="80">
        <v>42461</v>
      </c>
      <c r="B5">
        <v>182419</v>
      </c>
    </row>
    <row r="6" spans="1:2" x14ac:dyDescent="0.3">
      <c r="A6" s="79">
        <v>42491</v>
      </c>
      <c r="B6">
        <v>176403</v>
      </c>
    </row>
    <row r="7" spans="1:2" x14ac:dyDescent="0.3">
      <c r="A7" s="80">
        <v>42522</v>
      </c>
      <c r="B7">
        <v>160586</v>
      </c>
    </row>
    <row r="8" spans="1:2" x14ac:dyDescent="0.3">
      <c r="A8" s="79">
        <v>42552</v>
      </c>
      <c r="B8">
        <v>205385</v>
      </c>
    </row>
    <row r="9" spans="1:2" x14ac:dyDescent="0.3">
      <c r="A9" s="80">
        <v>42583</v>
      </c>
      <c r="B9">
        <v>188354</v>
      </c>
    </row>
    <row r="10" spans="1:2" x14ac:dyDescent="0.3">
      <c r="A10" s="79">
        <v>42614</v>
      </c>
      <c r="B10">
        <v>187990</v>
      </c>
    </row>
    <row r="11" spans="1:2" x14ac:dyDescent="0.3">
      <c r="A11" s="80">
        <v>42644</v>
      </c>
      <c r="B11">
        <v>204246</v>
      </c>
    </row>
    <row r="12" spans="1:2" x14ac:dyDescent="0.3">
      <c r="A12" s="79">
        <v>42675</v>
      </c>
      <c r="B12">
        <v>230713</v>
      </c>
    </row>
    <row r="13" spans="1:2" x14ac:dyDescent="0.3">
      <c r="A13" s="80">
        <v>42705</v>
      </c>
      <c r="B13">
        <v>242419</v>
      </c>
    </row>
    <row r="14" spans="1:2" x14ac:dyDescent="0.3">
      <c r="A14" s="79">
        <v>42736</v>
      </c>
      <c r="B14">
        <v>246675</v>
      </c>
    </row>
    <row r="15" spans="1:2" x14ac:dyDescent="0.3">
      <c r="A15" s="80">
        <v>42767</v>
      </c>
      <c r="B15">
        <v>208332</v>
      </c>
    </row>
    <row r="16" spans="1:2" x14ac:dyDescent="0.3">
      <c r="A16" s="79">
        <v>42795</v>
      </c>
      <c r="B16">
        <v>215957</v>
      </c>
    </row>
    <row r="17" spans="1:2" x14ac:dyDescent="0.3">
      <c r="A17" s="80">
        <v>42826</v>
      </c>
      <c r="B17">
        <v>200426</v>
      </c>
    </row>
    <row r="18" spans="1:2" x14ac:dyDescent="0.3">
      <c r="A18" s="79">
        <v>42856</v>
      </c>
      <c r="B18">
        <v>179443</v>
      </c>
    </row>
    <row r="19" spans="1:2" x14ac:dyDescent="0.3">
      <c r="A19" s="80">
        <v>42887</v>
      </c>
      <c r="B19">
        <v>167766</v>
      </c>
    </row>
    <row r="20" spans="1:2" x14ac:dyDescent="0.3">
      <c r="A20" s="79">
        <v>42917</v>
      </c>
      <c r="B20">
        <v>211456</v>
      </c>
    </row>
    <row r="21" spans="1:2" x14ac:dyDescent="0.3">
      <c r="A21" s="80">
        <v>42948</v>
      </c>
      <c r="B21">
        <v>193354</v>
      </c>
    </row>
    <row r="22" spans="1:2" x14ac:dyDescent="0.3">
      <c r="A22" s="79">
        <v>42979</v>
      </c>
      <c r="B22">
        <v>199160</v>
      </c>
    </row>
    <row r="23" spans="1:2" x14ac:dyDescent="0.3">
      <c r="A23" s="80">
        <v>43009</v>
      </c>
      <c r="B23">
        <v>224240</v>
      </c>
    </row>
    <row r="24" spans="1:2" x14ac:dyDescent="0.3">
      <c r="A24" s="79">
        <v>43040</v>
      </c>
      <c r="B24">
        <v>243719</v>
      </c>
    </row>
    <row r="25" spans="1:2" x14ac:dyDescent="0.3">
      <c r="A25" s="80">
        <v>43070</v>
      </c>
      <c r="B25">
        <v>255410</v>
      </c>
    </row>
    <row r="26" spans="1:2" x14ac:dyDescent="0.3">
      <c r="A26" s="79">
        <v>43101</v>
      </c>
      <c r="B26">
        <v>275610</v>
      </c>
    </row>
    <row r="27" spans="1:2" x14ac:dyDescent="0.3">
      <c r="A27" s="80">
        <v>43132</v>
      </c>
      <c r="B27">
        <v>214691</v>
      </c>
    </row>
    <row r="28" spans="1:2" x14ac:dyDescent="0.3">
      <c r="A28" s="79">
        <v>43160</v>
      </c>
      <c r="B28">
        <v>220918</v>
      </c>
    </row>
    <row r="29" spans="1:2" x14ac:dyDescent="0.3">
      <c r="A29" s="80">
        <v>43191</v>
      </c>
      <c r="B29">
        <v>202846</v>
      </c>
    </row>
    <row r="30" spans="1:2" x14ac:dyDescent="0.3">
      <c r="A30" s="79">
        <v>43221</v>
      </c>
      <c r="B30">
        <v>184649</v>
      </c>
    </row>
    <row r="31" spans="1:2" x14ac:dyDescent="0.3">
      <c r="A31" s="80">
        <v>43252</v>
      </c>
      <c r="B31">
        <v>167422</v>
      </c>
    </row>
    <row r="32" spans="1:2" x14ac:dyDescent="0.3">
      <c r="A32" s="79">
        <v>43282</v>
      </c>
      <c r="B32">
        <v>215459</v>
      </c>
    </row>
    <row r="33" spans="1:2" x14ac:dyDescent="0.3">
      <c r="A33" s="80">
        <v>43313</v>
      </c>
      <c r="B33">
        <v>203628</v>
      </c>
    </row>
    <row r="34" spans="1:2" x14ac:dyDescent="0.3">
      <c r="A34" s="79">
        <v>43344</v>
      </c>
      <c r="B34">
        <v>216132</v>
      </c>
    </row>
    <row r="35" spans="1:2" x14ac:dyDescent="0.3">
      <c r="A35" s="80">
        <v>43374</v>
      </c>
      <c r="B35">
        <v>227543</v>
      </c>
    </row>
    <row r="36" spans="1:2" x14ac:dyDescent="0.3">
      <c r="A36" s="79">
        <v>43405</v>
      </c>
      <c r="B36">
        <v>261261</v>
      </c>
    </row>
    <row r="37" spans="1:2" x14ac:dyDescent="0.3">
      <c r="A37" s="80">
        <v>43435</v>
      </c>
      <c r="B37">
        <v>293385</v>
      </c>
    </row>
    <row r="38" spans="1:2" x14ac:dyDescent="0.3">
      <c r="A38" s="79">
        <v>43466</v>
      </c>
      <c r="B38">
        <v>321304</v>
      </c>
    </row>
    <row r="39" spans="1:2" x14ac:dyDescent="0.3">
      <c r="A39" s="80">
        <v>43497</v>
      </c>
      <c r="B39">
        <v>237633</v>
      </c>
    </row>
    <row r="40" spans="1:2" x14ac:dyDescent="0.3">
      <c r="A40" s="79">
        <v>43525</v>
      </c>
      <c r="B40">
        <v>261862</v>
      </c>
    </row>
    <row r="41" spans="1:2" x14ac:dyDescent="0.3">
      <c r="A41" s="80">
        <v>43556</v>
      </c>
      <c r="B41">
        <v>239694</v>
      </c>
    </row>
    <row r="42" spans="1:2" x14ac:dyDescent="0.3">
      <c r="A42" s="79">
        <v>43586</v>
      </c>
      <c r="B42">
        <v>209733</v>
      </c>
    </row>
    <row r="43" spans="1:2" x14ac:dyDescent="0.3">
      <c r="A43" s="80">
        <v>43617</v>
      </c>
      <c r="B43">
        <v>197587</v>
      </c>
    </row>
    <row r="44" spans="1:2" x14ac:dyDescent="0.3">
      <c r="A44" s="79">
        <v>43647</v>
      </c>
      <c r="B44">
        <v>244027</v>
      </c>
    </row>
    <row r="45" spans="1:2" x14ac:dyDescent="0.3">
      <c r="A45" s="80">
        <v>43678</v>
      </c>
      <c r="B45">
        <v>216649</v>
      </c>
    </row>
    <row r="46" spans="1:2" x14ac:dyDescent="0.3">
      <c r="A46" s="79">
        <v>43709</v>
      </c>
      <c r="B46">
        <v>225687</v>
      </c>
    </row>
    <row r="47" spans="1:2" x14ac:dyDescent="0.3">
      <c r="A47" s="80">
        <v>43739</v>
      </c>
      <c r="B47">
        <v>225655</v>
      </c>
    </row>
    <row r="48" spans="1:2" x14ac:dyDescent="0.3">
      <c r="A48" s="79">
        <v>43770</v>
      </c>
      <c r="B48">
        <v>247326</v>
      </c>
    </row>
    <row r="49" spans="1:2" x14ac:dyDescent="0.3">
      <c r="A49" s="80">
        <v>43800</v>
      </c>
      <c r="B49">
        <v>306382</v>
      </c>
    </row>
    <row r="50" spans="1:2" x14ac:dyDescent="0.3">
      <c r="A50" s="79">
        <v>43831</v>
      </c>
      <c r="B50">
        <v>308471</v>
      </c>
    </row>
    <row r="51" spans="1:2" x14ac:dyDescent="0.3">
      <c r="A51" s="80">
        <v>43862</v>
      </c>
      <c r="B51">
        <v>255005</v>
      </c>
    </row>
    <row r="52" spans="1:2" x14ac:dyDescent="0.3">
      <c r="A52" s="79">
        <v>43891</v>
      </c>
      <c r="B52">
        <v>261862</v>
      </c>
    </row>
    <row r="53" spans="1:2" x14ac:dyDescent="0.3">
      <c r="A53" s="80">
        <v>43922</v>
      </c>
      <c r="B53">
        <v>239694</v>
      </c>
    </row>
    <row r="54" spans="1:2" x14ac:dyDescent="0.3">
      <c r="A54" s="79">
        <v>43952</v>
      </c>
      <c r="B54">
        <v>261862</v>
      </c>
    </row>
    <row r="55" spans="1:2" x14ac:dyDescent="0.3">
      <c r="A55" s="80">
        <v>43983</v>
      </c>
      <c r="B55">
        <v>239694</v>
      </c>
    </row>
    <row r="56" spans="1:2" x14ac:dyDescent="0.3">
      <c r="A56" s="79">
        <v>44013</v>
      </c>
      <c r="B56">
        <v>209733</v>
      </c>
    </row>
    <row r="57" spans="1:2" x14ac:dyDescent="0.3">
      <c r="A57" s="80">
        <v>44044</v>
      </c>
      <c r="B57">
        <v>197587</v>
      </c>
    </row>
    <row r="58" spans="1:2" x14ac:dyDescent="0.3">
      <c r="A58" s="79">
        <v>44075</v>
      </c>
      <c r="B58">
        <v>244027</v>
      </c>
    </row>
    <row r="59" spans="1:2" x14ac:dyDescent="0.3">
      <c r="A59" s="80">
        <v>44105</v>
      </c>
      <c r="B59">
        <v>216649</v>
      </c>
    </row>
    <row r="60" spans="1:2" x14ac:dyDescent="0.3">
      <c r="A60" s="79">
        <v>44136</v>
      </c>
      <c r="B60">
        <v>225687</v>
      </c>
    </row>
    <row r="61" spans="1:2" x14ac:dyDescent="0.3">
      <c r="A61" s="80">
        <v>44166</v>
      </c>
      <c r="B61">
        <v>225655</v>
      </c>
    </row>
    <row r="62" spans="1:2" x14ac:dyDescent="0.3">
      <c r="A62" s="79">
        <v>44197</v>
      </c>
      <c r="B62">
        <v>247326</v>
      </c>
    </row>
    <row r="63" spans="1:2" x14ac:dyDescent="0.3">
      <c r="A63" s="80">
        <v>44228</v>
      </c>
      <c r="B63">
        <v>306382</v>
      </c>
    </row>
    <row r="64" spans="1:2" x14ac:dyDescent="0.3">
      <c r="A64" s="79">
        <v>44256</v>
      </c>
      <c r="B64">
        <v>308471</v>
      </c>
    </row>
    <row r="65" spans="1:2" x14ac:dyDescent="0.3">
      <c r="A65" s="80">
        <v>44287</v>
      </c>
      <c r="B65">
        <v>255005</v>
      </c>
    </row>
    <row r="66" spans="1:2" x14ac:dyDescent="0.3">
      <c r="A66" s="79">
        <v>44317</v>
      </c>
      <c r="B66">
        <v>261862</v>
      </c>
    </row>
    <row r="67" spans="1:2" x14ac:dyDescent="0.3">
      <c r="A67" s="80">
        <v>44348</v>
      </c>
      <c r="B67">
        <v>239694</v>
      </c>
    </row>
    <row r="68" spans="1:2" x14ac:dyDescent="0.3">
      <c r="A68" s="79">
        <v>44378</v>
      </c>
      <c r="B68">
        <v>261862</v>
      </c>
    </row>
    <row r="69" spans="1:2" x14ac:dyDescent="0.3">
      <c r="A69" s="80">
        <v>44409</v>
      </c>
      <c r="B69">
        <v>239694</v>
      </c>
    </row>
    <row r="70" spans="1:2" x14ac:dyDescent="0.3">
      <c r="A70" s="79">
        <v>44440</v>
      </c>
      <c r="B70">
        <v>209733</v>
      </c>
    </row>
    <row r="71" spans="1:2" x14ac:dyDescent="0.3">
      <c r="A71" s="80">
        <v>44470</v>
      </c>
      <c r="B71">
        <v>197587</v>
      </c>
    </row>
    <row r="72" spans="1:2" x14ac:dyDescent="0.3">
      <c r="A72" s="79">
        <v>44501</v>
      </c>
      <c r="B72">
        <v>244027</v>
      </c>
    </row>
    <row r="73" spans="1:2" x14ac:dyDescent="0.3">
      <c r="A73" s="80">
        <v>44531</v>
      </c>
      <c r="B73">
        <v>216649</v>
      </c>
    </row>
    <row r="74" spans="1:2" x14ac:dyDescent="0.3">
      <c r="A74" s="79">
        <v>44562</v>
      </c>
      <c r="B74">
        <v>225687</v>
      </c>
    </row>
    <row r="75" spans="1:2" x14ac:dyDescent="0.3">
      <c r="A75" s="80">
        <v>44593</v>
      </c>
      <c r="B75">
        <v>225655</v>
      </c>
    </row>
    <row r="76" spans="1:2" x14ac:dyDescent="0.3">
      <c r="A76" s="79">
        <v>44621</v>
      </c>
      <c r="B76">
        <v>247326</v>
      </c>
    </row>
    <row r="77" spans="1:2" x14ac:dyDescent="0.3">
      <c r="A77" s="80">
        <v>44652</v>
      </c>
      <c r="B77">
        <v>117027</v>
      </c>
    </row>
    <row r="78" spans="1:2" x14ac:dyDescent="0.3">
      <c r="A78" s="79">
        <v>44682</v>
      </c>
      <c r="B78">
        <v>112595</v>
      </c>
    </row>
    <row r="79" spans="1:2" x14ac:dyDescent="0.3">
      <c r="A79" s="80">
        <v>44713</v>
      </c>
      <c r="B79">
        <v>104309</v>
      </c>
    </row>
    <row r="80" spans="1:2" x14ac:dyDescent="0.3">
      <c r="A80" s="79">
        <v>44743</v>
      </c>
      <c r="B80">
        <v>147686</v>
      </c>
    </row>
    <row r="81" spans="1:2" x14ac:dyDescent="0.3">
      <c r="A81" s="80">
        <v>44774</v>
      </c>
      <c r="B81">
        <v>143140</v>
      </c>
    </row>
    <row r="82" spans="1:2" x14ac:dyDescent="0.3">
      <c r="A82" s="79">
        <v>44805</v>
      </c>
      <c r="B82">
        <v>147480</v>
      </c>
    </row>
    <row r="83" spans="1:2" x14ac:dyDescent="0.3">
      <c r="A83" s="80">
        <v>44835</v>
      </c>
      <c r="B83">
        <v>165092</v>
      </c>
    </row>
    <row r="84" spans="1:2" x14ac:dyDescent="0.3">
      <c r="A84" s="79">
        <v>44866</v>
      </c>
      <c r="B84">
        <v>196077</v>
      </c>
    </row>
    <row r="85" spans="1:2" x14ac:dyDescent="0.3">
      <c r="A85" s="80">
        <v>44896</v>
      </c>
      <c r="B85">
        <v>183609</v>
      </c>
    </row>
    <row r="86" spans="1:2" x14ac:dyDescent="0.3">
      <c r="A86" s="79">
        <v>44927</v>
      </c>
      <c r="B86">
        <v>239235</v>
      </c>
    </row>
    <row r="87" spans="1:2" x14ac:dyDescent="0.3">
      <c r="A87" s="80">
        <v>44958</v>
      </c>
      <c r="B87">
        <v>205935</v>
      </c>
    </row>
    <row r="88" spans="1:2" x14ac:dyDescent="0.3">
      <c r="A88" s="79">
        <v>44986</v>
      </c>
      <c r="B88">
        <v>221206</v>
      </c>
    </row>
    <row r="89" spans="1:2" x14ac:dyDescent="0.3">
      <c r="A89" s="80">
        <v>45017</v>
      </c>
      <c r="B89">
        <v>222626</v>
      </c>
    </row>
    <row r="90" spans="1:2" x14ac:dyDescent="0.3">
      <c r="A90" s="79">
        <v>45047</v>
      </c>
      <c r="B90">
        <v>196288</v>
      </c>
    </row>
    <row r="91" spans="1:2" x14ac:dyDescent="0.3">
      <c r="A91" s="80">
        <v>45078</v>
      </c>
      <c r="B91">
        <v>199427</v>
      </c>
    </row>
    <row r="92" spans="1:2" x14ac:dyDescent="0.3">
      <c r="A92" s="79">
        <v>45108</v>
      </c>
      <c r="B92">
        <v>263563</v>
      </c>
    </row>
    <row r="93" spans="1:2" x14ac:dyDescent="0.3">
      <c r="A93" s="80">
        <v>45139</v>
      </c>
      <c r="B93">
        <v>236928</v>
      </c>
    </row>
    <row r="94" spans="1:2" x14ac:dyDescent="0.3">
      <c r="A94" s="79">
        <v>45170</v>
      </c>
      <c r="B94">
        <v>239336</v>
      </c>
    </row>
    <row r="95" spans="1:2" x14ac:dyDescent="0.3">
      <c r="A95" s="80">
        <v>45200</v>
      </c>
      <c r="B95">
        <v>262043</v>
      </c>
    </row>
    <row r="96" spans="1:2" x14ac:dyDescent="0.3">
      <c r="A96" s="79">
        <v>45231</v>
      </c>
      <c r="B96">
        <v>311342</v>
      </c>
    </row>
    <row r="97" spans="1:2" x14ac:dyDescent="0.3">
      <c r="A97" s="80">
        <v>45261</v>
      </c>
      <c r="B97">
        <v>274711</v>
      </c>
    </row>
    <row r="98" spans="1:2" x14ac:dyDescent="0.3">
      <c r="A98" s="79">
        <v>45292</v>
      </c>
      <c r="B98">
        <v>327427</v>
      </c>
    </row>
    <row r="99" spans="1:2" x14ac:dyDescent="0.3">
      <c r="A99" s="80">
        <v>45323</v>
      </c>
      <c r="B99">
        <v>256687</v>
      </c>
    </row>
    <row r="100" spans="1:2" x14ac:dyDescent="0.3">
      <c r="A100" s="79">
        <v>45352</v>
      </c>
      <c r="B100">
        <v>278366</v>
      </c>
    </row>
    <row r="101" spans="1:2" x14ac:dyDescent="0.3">
      <c r="A101" s="80">
        <v>45383</v>
      </c>
      <c r="B101">
        <v>224410</v>
      </c>
    </row>
    <row r="102" spans="1:2" x14ac:dyDescent="0.3">
      <c r="A102" s="79">
        <v>45413</v>
      </c>
      <c r="B102">
        <v>182803</v>
      </c>
    </row>
    <row r="103" spans="1:2" x14ac:dyDescent="0.3">
      <c r="A103" s="80">
        <v>45444</v>
      </c>
      <c r="B103">
        <v>169847</v>
      </c>
    </row>
    <row r="104" spans="1:2" x14ac:dyDescent="0.3">
      <c r="A104" s="79">
        <v>45474</v>
      </c>
    </row>
    <row r="105" spans="1:2" x14ac:dyDescent="0.3">
      <c r="A105" s="80">
        <v>45505</v>
      </c>
    </row>
    <row r="106" spans="1:2" x14ac:dyDescent="0.3">
      <c r="A106" s="79">
        <v>45536</v>
      </c>
    </row>
    <row r="107" spans="1:2" x14ac:dyDescent="0.3">
      <c r="A107" s="80">
        <v>45566</v>
      </c>
    </row>
    <row r="108" spans="1:2" x14ac:dyDescent="0.3">
      <c r="A108" s="79">
        <v>45597</v>
      </c>
    </row>
    <row r="109" spans="1:2" x14ac:dyDescent="0.3">
      <c r="A109" s="80">
        <v>45627</v>
      </c>
    </row>
    <row r="110" spans="1:2" x14ac:dyDescent="0.3">
      <c r="A110" s="79">
        <v>45658</v>
      </c>
    </row>
    <row r="111" spans="1:2" x14ac:dyDescent="0.3">
      <c r="A111" s="80">
        <v>45689</v>
      </c>
    </row>
    <row r="112" spans="1:2" x14ac:dyDescent="0.3">
      <c r="A112" s="79">
        <v>45717</v>
      </c>
    </row>
    <row r="113" spans="1:1" x14ac:dyDescent="0.3">
      <c r="A113" s="80">
        <v>45748</v>
      </c>
    </row>
    <row r="114" spans="1:1" x14ac:dyDescent="0.3">
      <c r="A114" s="79">
        <v>45778</v>
      </c>
    </row>
    <row r="115" spans="1:1" x14ac:dyDescent="0.3">
      <c r="A115" s="80">
        <v>45809</v>
      </c>
    </row>
    <row r="116" spans="1:1" x14ac:dyDescent="0.3">
      <c r="A116" s="79">
        <v>45839</v>
      </c>
    </row>
    <row r="117" spans="1:1" x14ac:dyDescent="0.3">
      <c r="A117" s="80">
        <v>45870</v>
      </c>
    </row>
    <row r="118" spans="1:1" x14ac:dyDescent="0.3">
      <c r="A118" s="79">
        <v>45901</v>
      </c>
    </row>
    <row r="119" spans="1:1" x14ac:dyDescent="0.3">
      <c r="A119" s="80">
        <v>45931</v>
      </c>
    </row>
    <row r="120" spans="1:1" x14ac:dyDescent="0.3">
      <c r="A120" s="79">
        <v>45962</v>
      </c>
    </row>
    <row r="121" spans="1:1" x14ac:dyDescent="0.3">
      <c r="A121" s="80">
        <v>45992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2E51-8FF1-421C-A1E7-69ED7F921F1F}">
  <dimension ref="A1:D16"/>
  <sheetViews>
    <sheetView zoomScale="130" zoomScaleNormal="130" workbookViewId="0">
      <selection activeCell="D8" sqref="D8"/>
    </sheetView>
  </sheetViews>
  <sheetFormatPr baseColWidth="10" defaultRowHeight="13.2" x14ac:dyDescent="0.3"/>
  <cols>
    <col min="1" max="1" width="23.140625" customWidth="1"/>
  </cols>
  <sheetData>
    <row r="1" spans="1:4" x14ac:dyDescent="0.3">
      <c r="A1" t="s">
        <v>191</v>
      </c>
      <c r="B1" t="s">
        <v>192</v>
      </c>
      <c r="C1" t="s">
        <v>177</v>
      </c>
      <c r="D1" t="s">
        <v>79</v>
      </c>
    </row>
    <row r="2" spans="1:4" x14ac:dyDescent="0.3">
      <c r="A2" s="35" t="s">
        <v>193</v>
      </c>
      <c r="B2" s="10">
        <v>93239</v>
      </c>
      <c r="C2" s="10">
        <v>76108</v>
      </c>
      <c r="D2" s="122">
        <v>0.22</v>
      </c>
    </row>
    <row r="3" spans="1:4" x14ac:dyDescent="0.3">
      <c r="A3" s="35" t="s">
        <v>194</v>
      </c>
      <c r="B3" s="10">
        <v>17333</v>
      </c>
      <c r="C3" s="10">
        <v>16374</v>
      </c>
      <c r="D3" s="123">
        <v>0.12970000000000001</v>
      </c>
    </row>
    <row r="4" spans="1:4" x14ac:dyDescent="0.3">
      <c r="A4" s="35" t="s">
        <v>195</v>
      </c>
      <c r="B4" s="10">
        <v>13025</v>
      </c>
      <c r="C4" s="10">
        <v>22119</v>
      </c>
      <c r="D4" s="122">
        <v>0.2</v>
      </c>
    </row>
    <row r="5" spans="1:4" x14ac:dyDescent="0.3">
      <c r="A5" s="35" t="s">
        <v>196</v>
      </c>
      <c r="B5" s="10">
        <v>9059</v>
      </c>
      <c r="C5" s="10">
        <v>31059</v>
      </c>
      <c r="D5" s="122">
        <v>0.1168</v>
      </c>
    </row>
    <row r="6" spans="1:4" x14ac:dyDescent="0.3">
      <c r="A6" t="s">
        <v>197</v>
      </c>
      <c r="B6" s="10">
        <v>23751</v>
      </c>
      <c r="C6" s="10">
        <v>26365</v>
      </c>
      <c r="D6" s="122">
        <v>0.12509999999999999</v>
      </c>
    </row>
    <row r="7" spans="1:4" x14ac:dyDescent="0.3">
      <c r="A7" t="s">
        <v>198</v>
      </c>
      <c r="B7" s="10">
        <v>561</v>
      </c>
      <c r="C7" s="10">
        <v>45568</v>
      </c>
      <c r="D7" s="122">
        <v>0.21840000000000001</v>
      </c>
    </row>
    <row r="8" spans="1:4" x14ac:dyDescent="0.3">
      <c r="A8" t="s">
        <v>199</v>
      </c>
      <c r="B8" s="10">
        <v>699</v>
      </c>
      <c r="C8" s="10">
        <v>24483</v>
      </c>
      <c r="D8" s="122">
        <v>2.37</v>
      </c>
    </row>
    <row r="9" spans="1:4" x14ac:dyDescent="0.3">
      <c r="B9" s="10"/>
      <c r="C9" s="10"/>
      <c r="D9" s="122"/>
    </row>
    <row r="10" spans="1:4" x14ac:dyDescent="0.3">
      <c r="B10" s="10"/>
      <c r="C10" s="10"/>
      <c r="D10" s="122"/>
    </row>
    <row r="11" spans="1:4" x14ac:dyDescent="0.3">
      <c r="B11" s="10"/>
      <c r="C11" s="10"/>
      <c r="D11" s="122"/>
    </row>
    <row r="12" spans="1:4" x14ac:dyDescent="0.3">
      <c r="B12" s="10"/>
      <c r="C12" s="10"/>
      <c r="D12" s="122"/>
    </row>
    <row r="13" spans="1:4" x14ac:dyDescent="0.3">
      <c r="B13" s="10"/>
      <c r="C13" s="10"/>
      <c r="D13" s="122"/>
    </row>
    <row r="14" spans="1:4" x14ac:dyDescent="0.3">
      <c r="B14" s="10"/>
      <c r="C14" s="10"/>
      <c r="D14" s="122"/>
    </row>
    <row r="15" spans="1:4" x14ac:dyDescent="0.3">
      <c r="B15" s="10"/>
      <c r="C15" s="10"/>
      <c r="D15" s="122"/>
    </row>
    <row r="16" spans="1:4" x14ac:dyDescent="0.3">
      <c r="B16" s="10"/>
      <c r="C16" s="10"/>
      <c r="D16" s="122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5697-F65B-461C-9B01-EF146C3579F1}">
  <dimension ref="A1:AO131"/>
  <sheetViews>
    <sheetView topLeftCell="A64" zoomScale="70" zoomScaleNormal="70" workbookViewId="0">
      <selection activeCell="C94" sqref="C94"/>
    </sheetView>
  </sheetViews>
  <sheetFormatPr baseColWidth="10" defaultRowHeight="13.2" x14ac:dyDescent="0.3"/>
  <cols>
    <col min="2" max="2" width="23.42578125" customWidth="1"/>
    <col min="3" max="3" width="32.85546875" customWidth="1"/>
    <col min="4" max="4" width="48.28515625" customWidth="1"/>
    <col min="5" max="5" width="49.28515625" customWidth="1"/>
    <col min="16" max="16" width="11.85546875" customWidth="1"/>
    <col min="18" max="18" width="16.28515625" bestFit="1" customWidth="1"/>
    <col min="20" max="20" width="10.28515625" customWidth="1"/>
    <col min="35" max="35" width="29.28515625" bestFit="1" customWidth="1"/>
    <col min="36" max="36" width="15.28515625" bestFit="1" customWidth="1"/>
    <col min="41" max="41" width="14.85546875" bestFit="1" customWidth="1"/>
  </cols>
  <sheetData>
    <row r="1" spans="1:41" ht="14.4" x14ac:dyDescent="0.3">
      <c r="N1" s="77" t="s">
        <v>149</v>
      </c>
      <c r="AE1" s="40"/>
      <c r="AF1" s="40"/>
    </row>
    <row r="2" spans="1:41" x14ac:dyDescent="0.3">
      <c r="Q2" t="s">
        <v>148</v>
      </c>
      <c r="R2" t="s">
        <v>147</v>
      </c>
      <c r="S2" t="s">
        <v>146</v>
      </c>
      <c r="AE2" s="40"/>
      <c r="AF2" s="40"/>
      <c r="AL2" s="1">
        <v>41214.739789897401</v>
      </c>
    </row>
    <row r="3" spans="1:41" ht="13.8" thickBot="1" x14ac:dyDescent="0.35">
      <c r="A3" t="s">
        <v>71</v>
      </c>
      <c r="B3" t="s">
        <v>72</v>
      </c>
      <c r="C3" t="s">
        <v>76</v>
      </c>
      <c r="D3" t="s">
        <v>77</v>
      </c>
      <c r="E3" t="s">
        <v>78</v>
      </c>
      <c r="N3" s="56" t="s">
        <v>155</v>
      </c>
      <c r="O3" s="76" t="s">
        <v>90</v>
      </c>
      <c r="P3" s="78" t="s">
        <v>115</v>
      </c>
      <c r="Q3" s="76" t="s">
        <v>144</v>
      </c>
      <c r="R3" s="76" t="s">
        <v>143</v>
      </c>
      <c r="S3" s="76" t="s">
        <v>142</v>
      </c>
      <c r="T3" s="76" t="s">
        <v>138</v>
      </c>
      <c r="U3" s="76" t="s">
        <v>141</v>
      </c>
      <c r="V3" s="76" t="s">
        <v>140</v>
      </c>
      <c r="W3" s="101" t="s">
        <v>181</v>
      </c>
      <c r="X3" s="101" t="s">
        <v>79</v>
      </c>
      <c r="Y3" s="101" t="s">
        <v>183</v>
      </c>
      <c r="Z3" s="76" t="s">
        <v>184</v>
      </c>
      <c r="AA3" s="76" t="s">
        <v>139</v>
      </c>
      <c r="AB3" s="99" t="s">
        <v>187</v>
      </c>
      <c r="AC3" s="76" t="s">
        <v>185</v>
      </c>
      <c r="AD3" s="73"/>
      <c r="AE3" s="73" t="s">
        <v>90</v>
      </c>
      <c r="AF3" s="73" t="s">
        <v>139</v>
      </c>
      <c r="AG3" s="73" t="s">
        <v>138</v>
      </c>
      <c r="AI3" s="40" t="s">
        <v>137</v>
      </c>
      <c r="AJ3" s="40" t="s">
        <v>136</v>
      </c>
      <c r="AK3" s="40" t="s">
        <v>135</v>
      </c>
      <c r="AN3" s="40" t="s">
        <v>134</v>
      </c>
      <c r="AO3" s="40" t="s">
        <v>133</v>
      </c>
    </row>
    <row r="4" spans="1:41" ht="13.8" thickTop="1" x14ac:dyDescent="0.3">
      <c r="A4" s="33">
        <v>42370</v>
      </c>
      <c r="B4">
        <v>248684</v>
      </c>
      <c r="N4" s="79">
        <v>42370</v>
      </c>
      <c r="O4" s="40">
        <v>1</v>
      </c>
      <c r="P4" s="81">
        <v>248684</v>
      </c>
      <c r="S4" s="74">
        <f t="shared" ref="S4:S15" si="0">P4/AVERAGE(P$4:P$15)</f>
        <v>1.2181474998693766</v>
      </c>
      <c r="W4" s="17"/>
      <c r="X4" s="69"/>
      <c r="Y4" s="69"/>
      <c r="Z4" s="70">
        <v>1</v>
      </c>
      <c r="AA4" s="81">
        <v>248684</v>
      </c>
      <c r="AB4" s="111"/>
      <c r="AC4" s="74"/>
      <c r="AD4" s="74"/>
      <c r="AE4" s="40">
        <v>1</v>
      </c>
      <c r="AF4" s="81">
        <v>248684</v>
      </c>
      <c r="AG4" s="74"/>
      <c r="AI4" s="46">
        <v>0.5</v>
      </c>
      <c r="AJ4" s="62">
        <v>0.5</v>
      </c>
      <c r="AK4" s="75">
        <v>0.5</v>
      </c>
      <c r="AN4" s="85">
        <f>AVERAGE(U4:U117)</f>
        <v>92809.023843454255</v>
      </c>
      <c r="AO4" s="75">
        <f>AVERAGE(V4:V117)</f>
        <v>20184619861.254433</v>
      </c>
    </row>
    <row r="5" spans="1:41" x14ac:dyDescent="0.3">
      <c r="A5" s="33">
        <v>42401</v>
      </c>
      <c r="B5">
        <v>211731</v>
      </c>
      <c r="N5" s="80">
        <v>42401</v>
      </c>
      <c r="O5" s="40">
        <f t="shared" ref="O5:O18" si="1">O4+1</f>
        <v>2</v>
      </c>
      <c r="P5" s="82">
        <v>211731</v>
      </c>
      <c r="S5" s="74">
        <f t="shared" si="0"/>
        <v>1.0371378468049532</v>
      </c>
      <c r="W5" s="17"/>
      <c r="X5" s="69"/>
      <c r="Y5" s="69"/>
      <c r="Z5" s="70">
        <f t="shared" ref="Z5:Z68" si="2">Z4+1</f>
        <v>2</v>
      </c>
      <c r="AA5" s="82">
        <v>211731</v>
      </c>
      <c r="AB5" s="112"/>
      <c r="AC5" s="74"/>
      <c r="AD5" s="74"/>
      <c r="AE5" s="40">
        <f t="shared" ref="AE5:AE36" si="3">AE4+1</f>
        <v>2</v>
      </c>
      <c r="AF5" s="82">
        <v>211731</v>
      </c>
      <c r="AG5" s="74"/>
    </row>
    <row r="6" spans="1:41" x14ac:dyDescent="0.3">
      <c r="A6" s="33">
        <v>42430</v>
      </c>
      <c r="B6">
        <v>210862</v>
      </c>
      <c r="N6" s="79">
        <v>42430</v>
      </c>
      <c r="O6" s="40">
        <f t="shared" si="1"/>
        <v>3</v>
      </c>
      <c r="P6" s="81">
        <v>210862</v>
      </c>
      <c r="S6" s="74">
        <f t="shared" si="0"/>
        <v>1.032881158890224</v>
      </c>
      <c r="W6" s="17"/>
      <c r="X6" s="69"/>
      <c r="Y6" s="69"/>
      <c r="Z6" s="70">
        <f t="shared" si="2"/>
        <v>3</v>
      </c>
      <c r="AA6" s="81">
        <v>210862</v>
      </c>
      <c r="AB6" s="111"/>
      <c r="AC6" s="74"/>
      <c r="AD6" s="74"/>
      <c r="AE6" s="40">
        <f t="shared" si="3"/>
        <v>3</v>
      </c>
      <c r="AF6" s="81">
        <v>210862</v>
      </c>
      <c r="AG6" s="74"/>
      <c r="AI6" s="124" t="s">
        <v>154</v>
      </c>
      <c r="AJ6" s="125"/>
      <c r="AK6" s="125"/>
    </row>
    <row r="7" spans="1:41" ht="14.4" x14ac:dyDescent="0.3">
      <c r="A7" s="33">
        <v>42461</v>
      </c>
      <c r="B7">
        <v>182419</v>
      </c>
      <c r="N7" s="80">
        <v>42461</v>
      </c>
      <c r="O7" s="40">
        <f t="shared" si="1"/>
        <v>4</v>
      </c>
      <c r="P7" s="82">
        <v>182419</v>
      </c>
      <c r="S7" s="74">
        <f t="shared" si="0"/>
        <v>0.89355667746486223</v>
      </c>
      <c r="W7" s="17"/>
      <c r="X7" s="69"/>
      <c r="Y7" s="69"/>
      <c r="Z7" s="70">
        <f t="shared" si="2"/>
        <v>4</v>
      </c>
      <c r="AA7" s="82">
        <v>182419</v>
      </c>
      <c r="AB7" s="112"/>
      <c r="AC7" s="74"/>
      <c r="AD7" s="74"/>
      <c r="AE7" s="40">
        <f t="shared" si="3"/>
        <v>4</v>
      </c>
      <c r="AF7" s="82">
        <v>182419</v>
      </c>
      <c r="AG7" s="74"/>
      <c r="AI7" s="88" t="s">
        <v>134</v>
      </c>
      <c r="AJ7" s="88" t="s">
        <v>133</v>
      </c>
      <c r="AK7" s="88" t="s">
        <v>79</v>
      </c>
      <c r="AM7" s="1">
        <f>IF(AI4=0.5&amp;AJ4=0.5&amp;AK4=0.5,AN4,AL2)</f>
        <v>41214.739789897401</v>
      </c>
      <c r="AN7" s="2">
        <f>AN4-AM7</f>
        <v>51594.284053556854</v>
      </c>
    </row>
    <row r="8" spans="1:41" x14ac:dyDescent="0.3">
      <c r="A8" s="33">
        <v>42491</v>
      </c>
      <c r="B8">
        <v>176403</v>
      </c>
      <c r="N8" s="79">
        <v>42491</v>
      </c>
      <c r="O8" s="40">
        <f t="shared" si="1"/>
        <v>5</v>
      </c>
      <c r="P8" s="81">
        <v>176403</v>
      </c>
      <c r="S8" s="74">
        <f t="shared" si="0"/>
        <v>0.86408805318982174</v>
      </c>
      <c r="W8" s="17"/>
      <c r="X8" s="69"/>
      <c r="Y8" s="69"/>
      <c r="Z8" s="70">
        <f t="shared" si="2"/>
        <v>5</v>
      </c>
      <c r="AA8" s="81">
        <v>176403</v>
      </c>
      <c r="AB8" s="111"/>
      <c r="AC8" s="74"/>
      <c r="AD8" s="74"/>
      <c r="AE8" s="40">
        <f t="shared" si="3"/>
        <v>5</v>
      </c>
      <c r="AF8" s="81">
        <v>176403</v>
      </c>
      <c r="AG8" s="74"/>
      <c r="AI8" s="86">
        <f>SUMPRODUCT(ABS(P16:P105-T16:T105))/COUNT(T16:T105)</f>
        <v>58555.396228616977</v>
      </c>
      <c r="AJ8" s="87">
        <f>SUMXMY2(P16:P105,T16:T105)/COUNT(T16:T105)</f>
        <v>6200451962.6020508</v>
      </c>
      <c r="AK8" s="87">
        <f>SUMPRODUCT(ABS(1-IFERROR(T16:T105/P16:P105,0)))/COUNT(T16:T105)</f>
        <v>1.1111111111111112E-2</v>
      </c>
    </row>
    <row r="9" spans="1:41" x14ac:dyDescent="0.3">
      <c r="A9" s="33">
        <v>42522</v>
      </c>
      <c r="B9">
        <v>160586</v>
      </c>
      <c r="N9" s="80">
        <v>42522</v>
      </c>
      <c r="O9" s="40">
        <f t="shared" si="1"/>
        <v>6</v>
      </c>
      <c r="P9" s="82">
        <v>160586</v>
      </c>
      <c r="S9" s="74">
        <f t="shared" si="0"/>
        <v>0.78661045509169758</v>
      </c>
      <c r="W9" s="17"/>
      <c r="X9" s="69"/>
      <c r="Y9" s="69"/>
      <c r="Z9" s="70">
        <f t="shared" si="2"/>
        <v>6</v>
      </c>
      <c r="AA9" s="82">
        <v>160586</v>
      </c>
      <c r="AB9" s="112"/>
      <c r="AC9" s="74"/>
      <c r="AD9" s="74"/>
      <c r="AE9" s="40">
        <f t="shared" si="3"/>
        <v>6</v>
      </c>
      <c r="AF9" s="82">
        <v>160586</v>
      </c>
      <c r="AG9" s="74"/>
    </row>
    <row r="10" spans="1:41" ht="14.4" x14ac:dyDescent="0.3">
      <c r="A10" s="33">
        <v>42552</v>
      </c>
      <c r="B10">
        <v>205385</v>
      </c>
      <c r="N10" s="79">
        <v>42552</v>
      </c>
      <c r="O10" s="40">
        <f t="shared" si="1"/>
        <v>7</v>
      </c>
      <c r="P10" s="81">
        <v>205385</v>
      </c>
      <c r="S10" s="74">
        <f t="shared" si="0"/>
        <v>1.0060527587648258</v>
      </c>
      <c r="W10" s="17"/>
      <c r="X10" s="69"/>
      <c r="Y10" s="69"/>
      <c r="Z10" s="70">
        <f t="shared" si="2"/>
        <v>7</v>
      </c>
      <c r="AA10" s="81">
        <v>205385</v>
      </c>
      <c r="AB10" s="111"/>
      <c r="AC10" s="74"/>
      <c r="AD10" s="74"/>
      <c r="AE10" s="40">
        <f t="shared" si="3"/>
        <v>7</v>
      </c>
      <c r="AF10" s="81">
        <v>205385</v>
      </c>
      <c r="AG10" s="74"/>
      <c r="AI10" s="88" t="s">
        <v>182</v>
      </c>
      <c r="AJ10" s="88" t="s">
        <v>177</v>
      </c>
      <c r="AK10" s="88" t="s">
        <v>79</v>
      </c>
    </row>
    <row r="11" spans="1:41" ht="14.4" x14ac:dyDescent="0.3">
      <c r="A11" s="33">
        <v>42583</v>
      </c>
      <c r="B11">
        <v>188354</v>
      </c>
      <c r="N11" s="80">
        <v>42583</v>
      </c>
      <c r="O11" s="40">
        <f t="shared" si="1"/>
        <v>8</v>
      </c>
      <c r="P11" s="82">
        <v>188354</v>
      </c>
      <c r="S11" s="74">
        <f t="shared" si="0"/>
        <v>0.92262853336119965</v>
      </c>
      <c r="W11" s="17"/>
      <c r="X11" s="69"/>
      <c r="Y11" s="69"/>
      <c r="Z11" s="70">
        <f t="shared" si="2"/>
        <v>8</v>
      </c>
      <c r="AA11" s="82">
        <v>188354</v>
      </c>
      <c r="AB11" s="112"/>
      <c r="AC11" s="74"/>
      <c r="AD11" s="74"/>
      <c r="AE11" s="40">
        <f t="shared" si="3"/>
        <v>8</v>
      </c>
      <c r="AF11" s="82">
        <v>188354</v>
      </c>
      <c r="AG11" s="74"/>
      <c r="AI11" s="102">
        <f>W105</f>
        <v>93747.705199381628</v>
      </c>
      <c r="AJ11" s="102">
        <f>SUMPRODUCT(ABS(P16:P105-T16:T105))/COUNT(T16:T105)</f>
        <v>58555.396228616977</v>
      </c>
      <c r="AK11" s="110">
        <f>AVERAGE(AB16:AB117)</f>
        <v>1.0869168227492214</v>
      </c>
    </row>
    <row r="12" spans="1:41" x14ac:dyDescent="0.3">
      <c r="A12" s="33">
        <v>42614</v>
      </c>
      <c r="B12">
        <v>187990</v>
      </c>
      <c r="N12" s="79">
        <v>42614</v>
      </c>
      <c r="O12" s="40">
        <f t="shared" si="1"/>
        <v>9</v>
      </c>
      <c r="P12" s="81">
        <v>187990</v>
      </c>
      <c r="S12" s="74">
        <f t="shared" si="0"/>
        <v>0.92084552484455817</v>
      </c>
      <c r="W12" s="17"/>
      <c r="X12" s="69"/>
      <c r="Y12" s="69"/>
      <c r="Z12" s="70">
        <f t="shared" si="2"/>
        <v>9</v>
      </c>
      <c r="AA12" s="81">
        <v>187990</v>
      </c>
      <c r="AB12" s="111"/>
      <c r="AC12" s="74"/>
      <c r="AD12" s="74"/>
      <c r="AE12" s="40">
        <f t="shared" si="3"/>
        <v>9</v>
      </c>
      <c r="AF12" s="81">
        <v>187990</v>
      </c>
      <c r="AG12" s="74"/>
    </row>
    <row r="13" spans="1:41" x14ac:dyDescent="0.3">
      <c r="A13" s="33">
        <v>42644</v>
      </c>
      <c r="B13">
        <v>204246</v>
      </c>
      <c r="N13" s="80">
        <v>42644</v>
      </c>
      <c r="O13" s="40">
        <f t="shared" si="1"/>
        <v>10</v>
      </c>
      <c r="P13" s="82">
        <v>204246</v>
      </c>
      <c r="S13" s="74">
        <f t="shared" si="0"/>
        <v>1.0004735095877526</v>
      </c>
      <c r="W13" s="17"/>
      <c r="X13" s="69"/>
      <c r="Y13" s="69"/>
      <c r="Z13" s="70">
        <f t="shared" si="2"/>
        <v>10</v>
      </c>
      <c r="AA13" s="82">
        <v>204246</v>
      </c>
      <c r="AB13" s="112"/>
      <c r="AC13" s="74"/>
      <c r="AD13" s="74"/>
      <c r="AE13" s="40">
        <f t="shared" si="3"/>
        <v>10</v>
      </c>
      <c r="AF13" s="82">
        <v>204246</v>
      </c>
      <c r="AG13" s="74"/>
    </row>
    <row r="14" spans="1:41" x14ac:dyDescent="0.3">
      <c r="A14" s="33">
        <v>42675</v>
      </c>
      <c r="B14">
        <v>230713</v>
      </c>
      <c r="N14" s="79">
        <v>42675</v>
      </c>
      <c r="O14" s="40">
        <f t="shared" si="1"/>
        <v>11</v>
      </c>
      <c r="P14" s="81">
        <v>230713</v>
      </c>
      <c r="S14" s="74">
        <f t="shared" si="0"/>
        <v>1.1301188019227755</v>
      </c>
      <c r="W14" s="17"/>
      <c r="X14" s="69"/>
      <c r="Y14" s="69"/>
      <c r="Z14" s="70">
        <f t="shared" si="2"/>
        <v>11</v>
      </c>
      <c r="AA14" s="81">
        <v>230713</v>
      </c>
      <c r="AB14" s="111"/>
      <c r="AC14" s="74"/>
      <c r="AD14" s="74"/>
      <c r="AE14" s="40">
        <f t="shared" si="3"/>
        <v>11</v>
      </c>
      <c r="AF14" s="81">
        <v>230713</v>
      </c>
      <c r="AG14" s="74"/>
    </row>
    <row r="15" spans="1:41" x14ac:dyDescent="0.3">
      <c r="A15" s="33">
        <v>42705</v>
      </c>
      <c r="B15">
        <v>242419</v>
      </c>
      <c r="N15" s="80">
        <v>42705</v>
      </c>
      <c r="O15" s="40">
        <f t="shared" si="1"/>
        <v>12</v>
      </c>
      <c r="P15" s="82">
        <v>242419</v>
      </c>
      <c r="Q15" s="82">
        <f>P15/S15</f>
        <v>204149.33333333331</v>
      </c>
      <c r="R15" s="2">
        <f>AVERAGE(P4:P15)</f>
        <v>204149.33333333334</v>
      </c>
      <c r="S15" s="74">
        <f t="shared" si="0"/>
        <v>1.1874591802079524</v>
      </c>
      <c r="W15" s="17"/>
      <c r="X15" s="69"/>
      <c r="Y15" s="69"/>
      <c r="Z15" s="70">
        <f t="shared" si="2"/>
        <v>12</v>
      </c>
      <c r="AA15" s="82">
        <v>242419</v>
      </c>
      <c r="AB15" s="112"/>
      <c r="AC15" s="74"/>
      <c r="AD15" s="74"/>
      <c r="AE15" s="40">
        <f t="shared" si="3"/>
        <v>12</v>
      </c>
      <c r="AF15" s="82">
        <v>242419</v>
      </c>
      <c r="AG15" s="74"/>
    </row>
    <row r="16" spans="1:41" x14ac:dyDescent="0.3">
      <c r="A16" s="33">
        <v>42736</v>
      </c>
      <c r="B16">
        <v>246675</v>
      </c>
      <c r="N16" s="79">
        <v>42736</v>
      </c>
      <c r="O16" s="40">
        <f t="shared" si="1"/>
        <v>13</v>
      </c>
      <c r="P16" s="81">
        <v>246675</v>
      </c>
      <c r="Q16" s="74">
        <f>AI$4*Tabla610[[#This Row],[Receptive tourism]]/S4+(1-AI$4)*(Q15+R15)</f>
        <v>305399.38721697684</v>
      </c>
      <c r="R16" s="74">
        <f t="shared" ref="R16:R47" si="4">AJ$4*(Q16-Q15)+(1-AJ$4)*R15</f>
        <v>152699.69360848842</v>
      </c>
      <c r="S16" s="74">
        <f t="shared" ref="S16:S47" si="5">AK$4*(P16/Q16)+(1-AK$4)*S4</f>
        <v>1.012930159483973</v>
      </c>
      <c r="T16" s="2">
        <f>(Q15+R15)*S4</f>
        <v>497367.99999999994</v>
      </c>
      <c r="U16">
        <f t="shared" ref="U16:U19" si="6">ABS(P4-T16)</f>
        <v>248683.99999999994</v>
      </c>
      <c r="V16">
        <f t="shared" ref="V16:V19" si="7">(P4-T16)^2</f>
        <v>61843731855.999969</v>
      </c>
      <c r="W16" s="17">
        <f>ABS(P16-T16)</f>
        <v>250692.99999999994</v>
      </c>
      <c r="X16" s="69">
        <f>IF($P16=0,0,(ABS(($P16-Tabla6[[#This Row],[pred]])/$P16))*100/COUNT($N16:$N104))</f>
        <v>1.1418973470756564</v>
      </c>
      <c r="Y16" s="69"/>
      <c r="Z16" s="70">
        <f t="shared" si="2"/>
        <v>13</v>
      </c>
      <c r="AA16" s="81">
        <v>246675</v>
      </c>
      <c r="AB16" s="114">
        <f>IF($T16=0,0,(ABS(($R16-Tabla610[[#This Row],[pred]])/$T16))*100/COUNT($R$15:$R$105))</f>
        <v>0.76152141000227735</v>
      </c>
      <c r="AC16" s="74"/>
      <c r="AD16" s="74"/>
      <c r="AE16" s="40">
        <f t="shared" si="3"/>
        <v>13</v>
      </c>
      <c r="AF16" s="81">
        <v>246675</v>
      </c>
      <c r="AG16" s="74">
        <f>Tabla610[[#This Row],[pred]]</f>
        <v>497367.99999999994</v>
      </c>
    </row>
    <row r="17" spans="1:33" x14ac:dyDescent="0.3">
      <c r="A17" s="33">
        <v>42767</v>
      </c>
      <c r="B17">
        <v>208332</v>
      </c>
      <c r="N17" s="80">
        <v>42767</v>
      </c>
      <c r="O17" s="40">
        <f t="shared" si="1"/>
        <v>14</v>
      </c>
      <c r="P17" s="82">
        <v>208332</v>
      </c>
      <c r="Q17" s="74">
        <f>AI$4*Tabla610[[#This Row],[Receptive tourism]]/S5+(1-AI$4)*(Q16+R16)</f>
        <v>329485.56279962923</v>
      </c>
      <c r="R17" s="74">
        <f t="shared" si="4"/>
        <v>88392.934595570405</v>
      </c>
      <c r="S17" s="74">
        <f t="shared" si="5"/>
        <v>0.83471631121183776</v>
      </c>
      <c r="T17" s="2">
        <f t="shared" ref="T17:T80" si="8">(Q16+R16)*S6</f>
        <v>473161.90948955296</v>
      </c>
      <c r="U17">
        <f t="shared" si="6"/>
        <v>261430.90948955296</v>
      </c>
      <c r="V17">
        <f t="shared" si="7"/>
        <v>68346120436.534828</v>
      </c>
      <c r="W17" s="17">
        <f t="shared" ref="W17:W80" si="9">ABS(P17-T17)</f>
        <v>264829.90948955296</v>
      </c>
      <c r="X17" s="69">
        <f>IF($P17=0,0,(ABS(($P17-Tabla6[[#This Row],[pred]])/$P17))*100/COUNT($N17:$N105))</f>
        <v>3.4301081955070624E-2</v>
      </c>
      <c r="Y17" s="69"/>
      <c r="Z17" s="70">
        <f t="shared" si="2"/>
        <v>14</v>
      </c>
      <c r="AA17" s="82">
        <v>208332</v>
      </c>
      <c r="AB17" s="115">
        <f>IF($T17=0,0,(ABS(($R17-Tabla610[[#This Row],[pred]])/$T17))*100/COUNT($R$15:$R$105))</f>
        <v>0.89361176555861854</v>
      </c>
      <c r="AC17" s="105">
        <f>Tabla6[[#This Row],[pred]]</f>
        <v>214691.95157521876</v>
      </c>
      <c r="AD17" s="74"/>
      <c r="AE17" s="40">
        <f t="shared" si="3"/>
        <v>14</v>
      </c>
      <c r="AF17" s="82">
        <v>208332</v>
      </c>
      <c r="AG17" s="74">
        <f>Tabla610[[#This Row],[pred]]</f>
        <v>473161.90948955296</v>
      </c>
    </row>
    <row r="18" spans="1:33" x14ac:dyDescent="0.3">
      <c r="A18" s="33">
        <v>42795</v>
      </c>
      <c r="B18">
        <v>215957</v>
      </c>
      <c r="N18" s="79">
        <v>42795</v>
      </c>
      <c r="O18" s="40">
        <f t="shared" si="1"/>
        <v>15</v>
      </c>
      <c r="P18" s="81">
        <v>215957</v>
      </c>
      <c r="Q18" s="74">
        <f>AI$4*Tabla610[[#This Row],[Receptive tourism]]/S6+(1-AI$4)*(Q17+R17)</f>
        <v>313480.31721318502</v>
      </c>
      <c r="R18" s="74">
        <f t="shared" si="4"/>
        <v>36193.844504563094</v>
      </c>
      <c r="S18" s="74">
        <f t="shared" si="5"/>
        <v>0.86089123255124722</v>
      </c>
      <c r="T18" s="2">
        <f t="shared" si="8"/>
        <v>373398.12171646365</v>
      </c>
      <c r="U18">
        <f t="shared" si="6"/>
        <v>162536.12171646365</v>
      </c>
      <c r="V18">
        <f t="shared" si="7"/>
        <v>26417990862.629086</v>
      </c>
      <c r="W18" s="17">
        <f t="shared" si="9"/>
        <v>157441.12171646365</v>
      </c>
      <c r="X18" s="69">
        <f>IF($P18=0,0,(ABS(($P18-Tabla6[[#This Row],[pred]])/$P18))*100/COUNT($N18:$N106))</f>
        <v>6.2943854159323603E-2</v>
      </c>
      <c r="Y18" s="69"/>
      <c r="Z18" s="70">
        <f t="shared" si="2"/>
        <v>15</v>
      </c>
      <c r="AA18" s="81">
        <v>215957</v>
      </c>
      <c r="AB18" s="114">
        <f>IF($T18=0,0,(ABS(($R18-Tabla610[[#This Row],[pred]])/$T18))*100/COUNT($R$15:$R$105))</f>
        <v>0.99238354247449889</v>
      </c>
      <c r="AC18" s="105">
        <f>Tabla6[[#This Row],[pred]]</f>
        <v>203859.08233771031</v>
      </c>
      <c r="AD18" s="74"/>
      <c r="AE18" s="40">
        <f t="shared" si="3"/>
        <v>15</v>
      </c>
      <c r="AF18" s="81">
        <v>215957</v>
      </c>
      <c r="AG18" s="74">
        <f>Tabla610[[#This Row],[pred]]</f>
        <v>373398.12171646365</v>
      </c>
    </row>
    <row r="19" spans="1:33" x14ac:dyDescent="0.3">
      <c r="A19" s="33">
        <v>42826</v>
      </c>
      <c r="B19">
        <v>200426</v>
      </c>
      <c r="N19" s="80">
        <v>42826</v>
      </c>
      <c r="O19" s="40">
        <f t="shared" ref="O19:O82" si="10">O18+1</f>
        <v>16</v>
      </c>
      <c r="P19" s="82">
        <v>200426</v>
      </c>
      <c r="Q19" s="74">
        <f>AI$4*Tabla610[[#This Row],[Receptive tourism]]/S7+(1-AI$4)*(Q18+R18)</f>
        <v>286987.77317345387</v>
      </c>
      <c r="R19" s="74">
        <f t="shared" si="4"/>
        <v>4850.6502324159737</v>
      </c>
      <c r="S19" s="74">
        <f t="shared" si="5"/>
        <v>0.79596743097794564</v>
      </c>
      <c r="T19" s="2">
        <f t="shared" si="8"/>
        <v>302149.26564947184</v>
      </c>
      <c r="U19">
        <f t="shared" si="6"/>
        <v>119730.26564947184</v>
      </c>
      <c r="V19">
        <f t="shared" si="7"/>
        <v>14335336512.493095</v>
      </c>
      <c r="W19" s="17">
        <f t="shared" si="9"/>
        <v>101723.26564947184</v>
      </c>
      <c r="X19" s="69">
        <f>IF($P19=0,0,(ABS(($P19-Tabla6[[#This Row],[pred]])/$P19))*100/COUNT($N19:$N107))</f>
        <v>3.7172546928507355E-2</v>
      </c>
      <c r="Y19" s="69"/>
      <c r="Z19" s="70">
        <f t="shared" si="2"/>
        <v>16</v>
      </c>
      <c r="AA19" s="82">
        <v>200426</v>
      </c>
      <c r="AB19" s="115">
        <f>IF($T19=0,0,(ABS(($R19-Tabla610[[#This Row],[pred]])/$T19))*100/COUNT($R$15:$R$105))</f>
        <v>1.0812595373393685</v>
      </c>
      <c r="AC19" s="105">
        <f>Tabla6[[#This Row],[pred]]</f>
        <v>193795.19304728322</v>
      </c>
      <c r="AD19" s="74"/>
      <c r="AE19" s="40">
        <f t="shared" si="3"/>
        <v>16</v>
      </c>
      <c r="AF19" s="82">
        <v>200426</v>
      </c>
      <c r="AG19" s="74">
        <f>Tabla610[[#This Row],[pred]]</f>
        <v>302149.26564947184</v>
      </c>
    </row>
    <row r="20" spans="1:33" x14ac:dyDescent="0.3">
      <c r="A20" s="33">
        <v>42856</v>
      </c>
      <c r="B20">
        <v>179443</v>
      </c>
      <c r="N20" s="79">
        <v>42856</v>
      </c>
      <c r="O20" s="40">
        <f t="shared" si="10"/>
        <v>17</v>
      </c>
      <c r="P20" s="81">
        <v>179443</v>
      </c>
      <c r="Q20" s="74">
        <f>AI$4*Tabla610[[#This Row],[Receptive tourism]]/S8+(1-AI$4)*(Q19+R19)</f>
        <v>249752.9583550138</v>
      </c>
      <c r="R20" s="74">
        <f t="shared" si="4"/>
        <v>-16192.082293012045</v>
      </c>
      <c r="S20" s="74">
        <f t="shared" si="5"/>
        <v>0.79128501653531624</v>
      </c>
      <c r="T20" s="2">
        <f t="shared" si="8"/>
        <v>229563.15504853483</v>
      </c>
      <c r="U20">
        <f t="shared" ref="U20:U51" si="11">ABS(P8-T20)</f>
        <v>53160.155048534827</v>
      </c>
      <c r="V20">
        <f t="shared" ref="V20:V51" si="12">(P8-T20)^2</f>
        <v>2826002084.7842627</v>
      </c>
      <c r="W20" s="17">
        <f t="shared" si="9"/>
        <v>50120.155048534827</v>
      </c>
      <c r="X20" s="69">
        <f>IF($P20=0,0,(ABS(($P20-Tabla6[[#This Row],[pred]])/$P20))*100/COUNT($N20:$N108))</f>
        <v>0.17177626452033959</v>
      </c>
      <c r="Y20" s="69"/>
      <c r="Z20" s="70">
        <f t="shared" si="2"/>
        <v>17</v>
      </c>
      <c r="AA20" s="81">
        <v>179443</v>
      </c>
      <c r="AB20" s="114">
        <f>IF($T20=0,0,(ABS(($R20-Tabla610[[#This Row],[pred]])/$T20))*100/COUNT($R$15:$R$105))</f>
        <v>1.1764113466650574</v>
      </c>
      <c r="AC20" s="105">
        <f>Tabla6[[#This Row],[pred]]</f>
        <v>206876.40292854773</v>
      </c>
      <c r="AD20" s="74"/>
      <c r="AE20" s="40">
        <f t="shared" si="3"/>
        <v>17</v>
      </c>
      <c r="AF20" s="81">
        <v>179443</v>
      </c>
      <c r="AG20" s="74">
        <f>Tabla610[[#This Row],[pred]]</f>
        <v>229563.15504853483</v>
      </c>
    </row>
    <row r="21" spans="1:33" x14ac:dyDescent="0.3">
      <c r="A21" s="33">
        <v>42887</v>
      </c>
      <c r="B21">
        <v>167766</v>
      </c>
      <c r="N21" s="80">
        <v>42887</v>
      </c>
      <c r="O21" s="40">
        <f t="shared" si="10"/>
        <v>18</v>
      </c>
      <c r="P21" s="82">
        <v>167766</v>
      </c>
      <c r="Q21" s="74">
        <f>AI$4*Tabla610[[#This Row],[Receptive tourism]]/S9+(1-AI$4)*(Q20+R20)</f>
        <v>223418.99013392394</v>
      </c>
      <c r="R21" s="74">
        <f t="shared" si="4"/>
        <v>-21263.025257050955</v>
      </c>
      <c r="S21" s="74">
        <f t="shared" si="5"/>
        <v>0.76875675004050359</v>
      </c>
      <c r="T21" s="2">
        <f t="shared" si="8"/>
        <v>234974.56370170644</v>
      </c>
      <c r="U21">
        <f t="shared" si="11"/>
        <v>74388.563701706444</v>
      </c>
      <c r="V21">
        <f t="shared" si="12"/>
        <v>5533658409.6028376</v>
      </c>
      <c r="W21" s="17">
        <f t="shared" si="9"/>
        <v>67208.563701706444</v>
      </c>
      <c r="X21" s="69">
        <f>IF($P21=0,0,(ABS(($P21-Tabla6[[#This Row],[pred]])/$P21))*100/COUNT($N21:$N109))</f>
        <v>0.11179220352411372</v>
      </c>
      <c r="Y21" s="69"/>
      <c r="Z21" s="70">
        <f t="shared" si="2"/>
        <v>18</v>
      </c>
      <c r="AA21" s="82">
        <v>167766</v>
      </c>
      <c r="AB21" s="115">
        <f>IF($T21=0,0,(ABS(($R21-Tabla610[[#This Row],[pred]])/$T21))*100/COUNT($R$15:$R$105))</f>
        <v>1.1983414870556122</v>
      </c>
      <c r="AC21" s="105">
        <f>Tabla6[[#This Row],[pred]]</f>
        <v>151074.11157338045</v>
      </c>
      <c r="AD21" s="74"/>
      <c r="AE21" s="40">
        <f t="shared" si="3"/>
        <v>18</v>
      </c>
      <c r="AF21" s="82">
        <v>167766</v>
      </c>
      <c r="AG21" s="74">
        <f>Tabla610[[#This Row],[pred]]</f>
        <v>234974.56370170644</v>
      </c>
    </row>
    <row r="22" spans="1:33" x14ac:dyDescent="0.3">
      <c r="A22" s="33">
        <v>42917</v>
      </c>
      <c r="B22">
        <v>211456</v>
      </c>
      <c r="N22" s="79">
        <v>42917</v>
      </c>
      <c r="O22" s="40">
        <f t="shared" si="10"/>
        <v>19</v>
      </c>
      <c r="P22" s="81">
        <v>211456</v>
      </c>
      <c r="Q22" s="74">
        <f>AI$4*Tabla610[[#This Row],[Receptive tourism]]/S10+(1-AI$4)*(Q21+R21)</f>
        <v>206169.88649504562</v>
      </c>
      <c r="R22" s="74">
        <f t="shared" si="4"/>
        <v>-19256.06444796464</v>
      </c>
      <c r="S22" s="74">
        <f t="shared" si="5"/>
        <v>1.01584617958413</v>
      </c>
      <c r="T22" s="2">
        <f t="shared" si="8"/>
        <v>186514.86138456751</v>
      </c>
      <c r="U22">
        <f t="shared" si="11"/>
        <v>18870.138615432486</v>
      </c>
      <c r="V22">
        <f t="shared" si="12"/>
        <v>356082131.36563629</v>
      </c>
      <c r="W22" s="17">
        <f t="shared" si="9"/>
        <v>24941.138615432486</v>
      </c>
      <c r="X22" s="69">
        <f>IF($P22=0,0,(ABS(($P22-Tabla6[[#This Row],[pred]])/$P22))*100/COUNT($N22:$N110))</f>
        <v>4.1434811504816135E-2</v>
      </c>
      <c r="Y22" s="69"/>
      <c r="Z22" s="70">
        <f t="shared" si="2"/>
        <v>19</v>
      </c>
      <c r="AA22" s="81">
        <v>211456</v>
      </c>
      <c r="AB22" s="114">
        <f>IF($T22=0,0,(ABS(($R22-Tabla610[[#This Row],[pred]])/$T22))*100/COUNT($R$15:$R$105))</f>
        <v>1.2123532400618438</v>
      </c>
      <c r="AC22" s="105">
        <f>Tabla6[[#This Row],[pred]]</f>
        <v>219253.85915639054</v>
      </c>
      <c r="AD22" s="74"/>
      <c r="AE22" s="40">
        <f t="shared" si="3"/>
        <v>19</v>
      </c>
      <c r="AF22" s="81">
        <v>211456</v>
      </c>
      <c r="AG22" s="74">
        <f>Tabla610[[#This Row],[pred]]</f>
        <v>186514.86138456751</v>
      </c>
    </row>
    <row r="23" spans="1:33" x14ac:dyDescent="0.3">
      <c r="A23" s="33">
        <v>42948</v>
      </c>
      <c r="B23">
        <v>193354</v>
      </c>
      <c r="N23" s="80">
        <v>42948</v>
      </c>
      <c r="O23" s="40">
        <f t="shared" si="10"/>
        <v>20</v>
      </c>
      <c r="P23" s="82">
        <v>193354</v>
      </c>
      <c r="Q23" s="74">
        <f>AI$4*Tabla610[[#This Row],[Receptive tourism]]/S11+(1-AI$4)*(Q22+R22)</f>
        <v>198241.22725078635</v>
      </c>
      <c r="R23" s="74">
        <f t="shared" si="4"/>
        <v>-13592.361846111953</v>
      </c>
      <c r="S23" s="74">
        <f t="shared" si="5"/>
        <v>0.94898780129657623</v>
      </c>
      <c r="T23" s="2">
        <f t="shared" si="8"/>
        <v>172118.75656364663</v>
      </c>
      <c r="U23">
        <f t="shared" si="11"/>
        <v>16235.243436353368</v>
      </c>
      <c r="V23">
        <f t="shared" si="12"/>
        <v>263583129.43765512</v>
      </c>
      <c r="W23" s="17">
        <f t="shared" si="9"/>
        <v>21235.243436353368</v>
      </c>
      <c r="X23" s="69">
        <f>IF($P23=0,0,(ABS(($P23-Tabla6[[#This Row],[pred]])/$P23))*100/COUNT($N23:$N111))</f>
        <v>1.0906121203681354E-2</v>
      </c>
      <c r="Y23" s="69"/>
      <c r="Z23" s="70">
        <f t="shared" si="2"/>
        <v>20</v>
      </c>
      <c r="AA23" s="82">
        <v>193354</v>
      </c>
      <c r="AB23" s="115">
        <f>IF($T23=0,0,(ABS(($R23-Tabla610[[#This Row],[pred]])/$T23))*100/COUNT($R$15:$R$105))</f>
        <v>1.1856822357601167</v>
      </c>
      <c r="AC23" s="105">
        <f>Tabla6[[#This Row],[pred]]</f>
        <v>191477.21947829722</v>
      </c>
      <c r="AD23" s="74"/>
      <c r="AE23" s="40">
        <f t="shared" si="3"/>
        <v>20</v>
      </c>
      <c r="AF23" s="82">
        <v>193354</v>
      </c>
      <c r="AG23" s="74">
        <f>Tabla610[[#This Row],[pred]]</f>
        <v>172118.75656364663</v>
      </c>
    </row>
    <row r="24" spans="1:33" x14ac:dyDescent="0.3">
      <c r="A24" s="33">
        <v>42979</v>
      </c>
      <c r="B24">
        <v>199160</v>
      </c>
      <c r="N24" s="79">
        <v>42979</v>
      </c>
      <c r="O24" s="40">
        <f t="shared" si="10"/>
        <v>21</v>
      </c>
      <c r="P24" s="81">
        <v>199160</v>
      </c>
      <c r="Q24" s="74">
        <f>AI$4*Tabla610[[#This Row],[Receptive tourism]]/S12+(1-AI$4)*(Q23+R23)</f>
        <v>200464.17744053248</v>
      </c>
      <c r="R24" s="74">
        <f t="shared" si="4"/>
        <v>-5684.7058281829113</v>
      </c>
      <c r="S24" s="74">
        <f t="shared" si="5"/>
        <v>0.95716986842100704</v>
      </c>
      <c r="T24" s="2">
        <f t="shared" si="8"/>
        <v>184736.29841281116</v>
      </c>
      <c r="U24">
        <f t="shared" si="11"/>
        <v>3253.7015871888434</v>
      </c>
      <c r="V24">
        <f t="shared" si="12"/>
        <v>10586574.018475199</v>
      </c>
      <c r="W24" s="17">
        <f t="shared" si="9"/>
        <v>14423.701587188843</v>
      </c>
      <c r="X24" s="16">
        <f>IF($P24=0,0,(ABS(($P24-Tabla6[[#This Row],[pred]])/$P24))*100/COUNT($N24:$N112))</f>
        <v>3.877818256396693E-2</v>
      </c>
      <c r="Y24" s="16"/>
      <c r="Z24" s="70">
        <f t="shared" si="2"/>
        <v>21</v>
      </c>
      <c r="AA24" s="81">
        <v>199160</v>
      </c>
      <c r="AB24" s="114">
        <f>IF($T24=0,0,(ABS(($R24-Tabla610[[#This Row],[pred]])/$T24))*100/COUNT($R$15:$R$105))</f>
        <v>1.1327164862136687</v>
      </c>
      <c r="AC24" s="105">
        <f>Tabla6[[#This Row],[pred]]</f>
        <v>192286.47407289871</v>
      </c>
      <c r="AD24" s="74"/>
      <c r="AE24" s="40">
        <f t="shared" si="3"/>
        <v>21</v>
      </c>
      <c r="AF24" s="81">
        <v>199160</v>
      </c>
      <c r="AG24" s="74">
        <f>Tabla610[[#This Row],[pred]]</f>
        <v>184736.29841281116</v>
      </c>
    </row>
    <row r="25" spans="1:33" x14ac:dyDescent="0.3">
      <c r="A25" s="33">
        <v>43009</v>
      </c>
      <c r="B25">
        <v>224240</v>
      </c>
      <c r="N25" s="80">
        <v>43009</v>
      </c>
      <c r="O25" s="40">
        <f t="shared" si="10"/>
        <v>22</v>
      </c>
      <c r="P25" s="82">
        <v>224240</v>
      </c>
      <c r="Q25" s="74">
        <f>AI$4*Tabla610[[#This Row],[Receptive tourism]]/S13+(1-AI$4)*(Q24+R24)</f>
        <v>209456.67103787253</v>
      </c>
      <c r="R25" s="74">
        <f t="shared" si="4"/>
        <v>1653.8938845785656</v>
      </c>
      <c r="S25" s="74">
        <f t="shared" si="5"/>
        <v>1.0355264614641748</v>
      </c>
      <c r="T25" s="2">
        <f t="shared" si="8"/>
        <v>220123.94309769975</v>
      </c>
      <c r="U25">
        <f t="shared" si="11"/>
        <v>15877.943097699754</v>
      </c>
      <c r="V25">
        <f t="shared" si="12"/>
        <v>252109077.01379126</v>
      </c>
      <c r="W25" s="17">
        <f t="shared" si="9"/>
        <v>4116.0569023002463</v>
      </c>
      <c r="X25" s="16">
        <f>IF($P25=0,0,(ABS(($P25-Tabla6[[#This Row],[pred]])/$P25))*100/COUNT($N25:$N113))</f>
        <v>6.7494111838227282E-3</v>
      </c>
      <c r="Y25" s="16"/>
      <c r="Z25" s="70">
        <f t="shared" si="2"/>
        <v>22</v>
      </c>
      <c r="AA25" s="82">
        <v>224240</v>
      </c>
      <c r="AB25" s="115">
        <f>IF($T25=0,0,(ABS(($R25-Tabla610[[#This Row],[pred]])/$T25))*100/COUNT($R$15:$R$105))</f>
        <v>1.0906445422464575</v>
      </c>
      <c r="AC25" s="105">
        <f>Tabla6[[#This Row],[pred]]</f>
        <v>222892.99571216424</v>
      </c>
      <c r="AD25" s="74"/>
      <c r="AE25" s="40">
        <f t="shared" si="3"/>
        <v>22</v>
      </c>
      <c r="AF25" s="82">
        <v>224240</v>
      </c>
      <c r="AG25" s="74">
        <f>Tabla610[[#This Row],[pred]]</f>
        <v>220123.94309769975</v>
      </c>
    </row>
    <row r="26" spans="1:33" x14ac:dyDescent="0.3">
      <c r="A26" s="33">
        <v>43040</v>
      </c>
      <c r="B26">
        <v>243719</v>
      </c>
      <c r="N26" s="79">
        <v>43040</v>
      </c>
      <c r="O26" s="40">
        <f t="shared" si="10"/>
        <v>23</v>
      </c>
      <c r="P26" s="81">
        <v>243719</v>
      </c>
      <c r="Q26" s="74">
        <f>AI$4*Tabla610[[#This Row],[Receptive tourism]]/S14+(1-AI$4)*(Q25+R25)</f>
        <v>213384.21141335799</v>
      </c>
      <c r="R26" s="74">
        <f t="shared" si="4"/>
        <v>2790.7171300320142</v>
      </c>
      <c r="S26" s="74">
        <f t="shared" si="5"/>
        <v>1.1361396097212544</v>
      </c>
      <c r="T26" s="2">
        <f t="shared" si="8"/>
        <v>250685.1783560515</v>
      </c>
      <c r="U26">
        <f t="shared" si="11"/>
        <v>19972.178356051503</v>
      </c>
      <c r="V26">
        <f t="shared" si="12"/>
        <v>398887908.28593212</v>
      </c>
      <c r="W26" s="17">
        <f t="shared" si="9"/>
        <v>6966.1783560515032</v>
      </c>
      <c r="X26" s="16">
        <f>IF($P26=0,0,(ABS(($P26-Tabla6[[#This Row],[pred]])/$P26))*100/COUNT($N26:$N114))</f>
        <v>8.5261878954842343E-2</v>
      </c>
      <c r="Y26" s="16"/>
      <c r="Z26" s="70">
        <f t="shared" si="2"/>
        <v>23</v>
      </c>
      <c r="AA26" s="81">
        <v>243719</v>
      </c>
      <c r="AB26" s="114">
        <f>IF($T26=0,0,(ABS(($R26-Tabla610[[#This Row],[pred]])/$T26))*100/COUNT($R$15:$R$105))</f>
        <v>1.0866677385523726</v>
      </c>
      <c r="AC26" s="105">
        <f>Tabla6[[#This Row],[pred]]</f>
        <v>262213.14649052575</v>
      </c>
      <c r="AD26" s="74"/>
      <c r="AE26" s="40">
        <f t="shared" si="3"/>
        <v>23</v>
      </c>
      <c r="AF26" s="81">
        <v>243719</v>
      </c>
      <c r="AG26" s="74">
        <f>Tabla610[[#This Row],[pred]]</f>
        <v>250685.1783560515</v>
      </c>
    </row>
    <row r="27" spans="1:33" x14ac:dyDescent="0.3">
      <c r="A27" s="33">
        <v>43070</v>
      </c>
      <c r="B27">
        <v>255410</v>
      </c>
      <c r="N27" s="80">
        <v>43070</v>
      </c>
      <c r="O27" s="40">
        <f t="shared" si="10"/>
        <v>24</v>
      </c>
      <c r="P27" s="82">
        <v>255410</v>
      </c>
      <c r="Q27" s="74">
        <f>AI$4*Tabla610[[#This Row],[Receptive tourism]]/S15+(1-AI$4)*(Q26+R26)</f>
        <v>215632.21370690153</v>
      </c>
      <c r="R27" s="74">
        <f t="shared" si="4"/>
        <v>2519.3597117877775</v>
      </c>
      <c r="S27" s="74">
        <f t="shared" si="5"/>
        <v>1.1859648494126027</v>
      </c>
      <c r="T27" s="2">
        <f t="shared" si="8"/>
        <v>218970.10484589252</v>
      </c>
      <c r="U27">
        <f t="shared" si="11"/>
        <v>23448.895154107478</v>
      </c>
      <c r="V27">
        <f t="shared" si="12"/>
        <v>549850683.94832516</v>
      </c>
      <c r="W27" s="17">
        <f t="shared" si="9"/>
        <v>36439.895154107478</v>
      </c>
      <c r="X27" s="16">
        <f>IF($P27=0,0,(ABS(($P27-Tabla6[[#This Row],[pred]])/$P27))*100/COUNT($N27:$N115))</f>
        <v>3.8682005408404628E-2</v>
      </c>
      <c r="Y27" s="16"/>
      <c r="Z27" s="70">
        <f t="shared" si="2"/>
        <v>24</v>
      </c>
      <c r="AA27" s="82">
        <v>255410</v>
      </c>
      <c r="AB27" s="115">
        <f>IF($T27=0,0,(ABS(($R27-Tabla610[[#This Row],[pred]])/$T27))*100/COUNT($R$15:$R$105))</f>
        <v>1.0862576964706201</v>
      </c>
      <c r="AC27" s="105">
        <f>Tabla6[[#This Row],[pred]]</f>
        <v>246617.00380878904</v>
      </c>
      <c r="AD27" s="74"/>
      <c r="AE27" s="40">
        <f t="shared" si="3"/>
        <v>24</v>
      </c>
      <c r="AF27" s="82">
        <v>255410</v>
      </c>
      <c r="AG27" s="74">
        <f>Tabla610[[#This Row],[pred]]</f>
        <v>218970.10484589252</v>
      </c>
    </row>
    <row r="28" spans="1:33" x14ac:dyDescent="0.3">
      <c r="A28" s="33">
        <v>43101</v>
      </c>
      <c r="B28">
        <v>275610</v>
      </c>
      <c r="N28" s="79">
        <v>43101</v>
      </c>
      <c r="O28" s="40">
        <f t="shared" si="10"/>
        <v>25</v>
      </c>
      <c r="P28" s="81">
        <v>275610</v>
      </c>
      <c r="Q28" s="74">
        <f>AI$4*Tabla610[[#This Row],[Receptive tourism]]/S16+(1-AI$4)*(Q27+R27)</f>
        <v>245121.69146372905</v>
      </c>
      <c r="R28" s="74">
        <f t="shared" si="4"/>
        <v>16004.418734307646</v>
      </c>
      <c r="S28" s="74">
        <f t="shared" si="5"/>
        <v>1.0686552277338102</v>
      </c>
      <c r="T28" s="2">
        <f t="shared" si="8"/>
        <v>182094.67664910675</v>
      </c>
      <c r="U28">
        <f t="shared" si="11"/>
        <v>64580.323350893246</v>
      </c>
      <c r="V28">
        <f t="shared" si="12"/>
        <v>4170618164.1059275</v>
      </c>
      <c r="W28" s="17">
        <f t="shared" si="9"/>
        <v>93515.323350893246</v>
      </c>
      <c r="X28">
        <f>IF($P28=0,0,(ABS(($P28-Tabla6[[#This Row],[pred]])/$P28))*100/COUNT($N28:$N116))</f>
        <v>6.0175660084474364E-2</v>
      </c>
      <c r="Z28" s="70">
        <f t="shared" si="2"/>
        <v>25</v>
      </c>
      <c r="AA28" s="81">
        <v>275610</v>
      </c>
      <c r="AB28" s="114">
        <f>IF($T28=0,0,(ABS(($R28-Tabla610[[#This Row],[pred]])/$T28))*100/COUNT($R$15:$R$105))</f>
        <v>1.0023179716068598</v>
      </c>
      <c r="AC28" s="105">
        <f>Tabla6[[#This Row],[pred]]</f>
        <v>260849.33782846504</v>
      </c>
      <c r="AD28" s="74"/>
      <c r="AE28" s="40">
        <f t="shared" si="3"/>
        <v>25</v>
      </c>
      <c r="AF28" s="81">
        <v>275610</v>
      </c>
      <c r="AG28" s="74">
        <f>Tabla610[[#This Row],[pred]]</f>
        <v>182094.67664910675</v>
      </c>
    </row>
    <row r="29" spans="1:33" x14ac:dyDescent="0.3">
      <c r="A29" s="33">
        <v>43132</v>
      </c>
      <c r="B29">
        <v>214691</v>
      </c>
      <c r="N29" s="80">
        <v>43132</v>
      </c>
      <c r="O29" s="40">
        <f t="shared" si="10"/>
        <v>26</v>
      </c>
      <c r="P29" s="82">
        <v>214691</v>
      </c>
      <c r="Q29" s="74">
        <f>AI$4*Tabla610[[#This Row],[Receptive tourism]]/S17+(1-AI$4)*(Q28+R28)</f>
        <v>259164.2319996545</v>
      </c>
      <c r="R29" s="74">
        <f t="shared" si="4"/>
        <v>15023.47963511655</v>
      </c>
      <c r="S29" s="74">
        <f t="shared" si="5"/>
        <v>0.83155690198286147</v>
      </c>
      <c r="T29" s="2">
        <f t="shared" si="8"/>
        <v>224801.17885970059</v>
      </c>
      <c r="U29">
        <f t="shared" si="11"/>
        <v>16469.178859700594</v>
      </c>
      <c r="V29">
        <f t="shared" si="12"/>
        <v>271233852.31280899</v>
      </c>
      <c r="W29" s="17">
        <f t="shared" si="9"/>
        <v>10110.178859700594</v>
      </c>
      <c r="X29">
        <f>IF($P29=0,0,(ABS(($P29-Tabla6[[#This Row],[pred]])/$P29))*100/COUNT($N29:$N117))</f>
        <v>0.16351947260501754</v>
      </c>
      <c r="Z29" s="70">
        <f t="shared" si="2"/>
        <v>26</v>
      </c>
      <c r="AA29" s="82">
        <v>214691</v>
      </c>
      <c r="AB29" s="115">
        <f>IF($T29=0,0,(ABS(($R29-Tabla610[[#This Row],[pred]])/$T29))*100/COUNT($R$15:$R$105))</f>
        <v>1.0254614560838724</v>
      </c>
      <c r="AC29" s="105">
        <f>Tabla6[[#This Row],[pred]]</f>
        <v>245935.481592809</v>
      </c>
      <c r="AD29" s="74"/>
      <c r="AE29" s="40">
        <f t="shared" si="3"/>
        <v>26</v>
      </c>
      <c r="AF29" s="82">
        <v>214691</v>
      </c>
      <c r="AG29" s="74">
        <f>Tabla610[[#This Row],[pred]]</f>
        <v>224801.17885970059</v>
      </c>
    </row>
    <row r="30" spans="1:33" x14ac:dyDescent="0.3">
      <c r="A30" s="33">
        <v>43160</v>
      </c>
      <c r="B30">
        <v>220918</v>
      </c>
      <c r="N30" s="79">
        <v>43160</v>
      </c>
      <c r="O30" s="40">
        <f t="shared" si="10"/>
        <v>27</v>
      </c>
      <c r="P30" s="81">
        <v>220918</v>
      </c>
      <c r="Q30" s="74">
        <f>AI$4*Tabla610[[#This Row],[Receptive tourism]]/S18+(1-AI$4)*(Q29+R29)</f>
        <v>265401.58602002129</v>
      </c>
      <c r="R30" s="74">
        <f t="shared" si="4"/>
        <v>10630.416827741672</v>
      </c>
      <c r="S30" s="74">
        <f t="shared" si="5"/>
        <v>0.84664132051556451</v>
      </c>
      <c r="T30" s="2">
        <f t="shared" si="8"/>
        <v>218244.48843565048</v>
      </c>
      <c r="U30">
        <f t="shared" si="11"/>
        <v>2287.4884356504772</v>
      </c>
      <c r="V30">
        <f t="shared" si="12"/>
        <v>5232603.3432346676</v>
      </c>
      <c r="W30" s="17">
        <f t="shared" si="9"/>
        <v>2673.5115643495228</v>
      </c>
      <c r="X30">
        <f>IF($P30=0,0,(ABS(($P30-Tabla6[[#This Row],[pred]])/$P30))*100/COUNT($N30:$N118))</f>
        <v>0.13190936705492695</v>
      </c>
      <c r="Z30" s="70">
        <f t="shared" si="2"/>
        <v>27</v>
      </c>
      <c r="AA30" s="81">
        <v>220918</v>
      </c>
      <c r="AB30" s="114">
        <f>IF($T30=0,0,(ABS(($R30-Tabla610[[#This Row],[pred]])/$T30))*100/COUNT($R$15:$R$105))</f>
        <v>1.0453749969705732</v>
      </c>
      <c r="AC30" s="105">
        <f>Tabla6[[#This Row],[pred]]</f>
        <v>194982.37333957409</v>
      </c>
      <c r="AD30" s="74"/>
      <c r="AE30" s="40">
        <f t="shared" si="3"/>
        <v>27</v>
      </c>
      <c r="AF30" s="81">
        <v>220918</v>
      </c>
      <c r="AG30" s="74">
        <f>Tabla610[[#This Row],[pred]]</f>
        <v>218244.48843565048</v>
      </c>
    </row>
    <row r="31" spans="1:33" x14ac:dyDescent="0.3">
      <c r="A31" s="33">
        <v>43191</v>
      </c>
      <c r="B31">
        <v>202846</v>
      </c>
      <c r="N31" s="80">
        <v>43191</v>
      </c>
      <c r="O31" s="40">
        <f t="shared" si="10"/>
        <v>28</v>
      </c>
      <c r="P31" s="82">
        <v>202846</v>
      </c>
      <c r="Q31" s="74">
        <f>AI$4*Tabla610[[#This Row],[Receptive tourism]]/S19+(1-AI$4)*(Q30+R30)</f>
        <v>265437.04411075264</v>
      </c>
      <c r="R31" s="74">
        <f t="shared" si="4"/>
        <v>5332.9374592365111</v>
      </c>
      <c r="S31" s="74">
        <f t="shared" si="5"/>
        <v>0.78008185231753702</v>
      </c>
      <c r="T31" s="2">
        <f t="shared" si="8"/>
        <v>218419.98793766857</v>
      </c>
      <c r="U31">
        <f t="shared" si="11"/>
        <v>17993.987937668571</v>
      </c>
      <c r="V31">
        <f t="shared" si="12"/>
        <v>323783601.90096205</v>
      </c>
      <c r="W31" s="17">
        <f t="shared" si="9"/>
        <v>15573.987937668571</v>
      </c>
      <c r="X31">
        <f>IF($P31=0,0,(ABS(($P31-Tabla6[[#This Row],[pred]])/$P31))*100/COUNT($N31:$N119))</f>
        <v>3.610516267157439E-2</v>
      </c>
      <c r="Z31" s="70">
        <f t="shared" si="2"/>
        <v>28</v>
      </c>
      <c r="AA31" s="82">
        <v>202846</v>
      </c>
      <c r="AB31" s="115">
        <f>IF($T31=0,0,(ABS(($R31-Tabla610[[#This Row],[pred]])/$T31))*100/COUNT($R$15:$R$105))</f>
        <v>1.0720703546562167</v>
      </c>
      <c r="AC31" s="105">
        <f>Tabla6[[#This Row],[pred]]</f>
        <v>196327.82883372242</v>
      </c>
      <c r="AD31" s="74"/>
      <c r="AE31" s="40">
        <f t="shared" si="3"/>
        <v>28</v>
      </c>
      <c r="AF31" s="82">
        <v>202846</v>
      </c>
      <c r="AG31" s="74">
        <f>Tabla610[[#This Row],[pred]]</f>
        <v>218419.98793766857</v>
      </c>
    </row>
    <row r="32" spans="1:33" x14ac:dyDescent="0.3">
      <c r="A32" s="33">
        <v>43221</v>
      </c>
      <c r="B32">
        <v>184649</v>
      </c>
      <c r="N32" s="79">
        <v>43221</v>
      </c>
      <c r="O32" s="40">
        <f t="shared" si="10"/>
        <v>29</v>
      </c>
      <c r="P32" s="81">
        <v>184649</v>
      </c>
      <c r="Q32" s="74">
        <f>AI$4*Tabla610[[#This Row],[Receptive tourism]]/S20+(1-AI$4)*(Q31+R31)</f>
        <v>252061.65983687143</v>
      </c>
      <c r="R32" s="74">
        <f t="shared" si="4"/>
        <v>-4021.223407322349</v>
      </c>
      <c r="S32" s="74">
        <f t="shared" si="5"/>
        <v>0.7619199503020806</v>
      </c>
      <c r="T32" s="2">
        <f t="shared" si="8"/>
        <v>208156.25104027192</v>
      </c>
      <c r="U32">
        <f t="shared" si="11"/>
        <v>28713.25104027192</v>
      </c>
      <c r="V32">
        <f t="shared" si="12"/>
        <v>824450785.30167651</v>
      </c>
      <c r="W32" s="17">
        <f t="shared" si="9"/>
        <v>23507.25104027192</v>
      </c>
      <c r="X32">
        <f>IF($P32=0,0,(ABS(($P32-Tabla6[[#This Row],[pred]])/$P32))*100/COUNT($N32:$N120))</f>
        <v>0.13920446926594415</v>
      </c>
      <c r="Z32" s="70">
        <f t="shared" si="2"/>
        <v>29</v>
      </c>
      <c r="AA32" s="81">
        <v>184649</v>
      </c>
      <c r="AB32" s="114">
        <f>IF($T32=0,0,(ABS(($R32-Tabla610[[#This Row],[pred]])/$T32))*100/COUNT($R$15:$R$105))</f>
        <v>1.1201299920962324</v>
      </c>
      <c r="AC32" s="105">
        <f>Tabla6[[#This Row],[pred]]</f>
        <v>207525.52978048372</v>
      </c>
      <c r="AD32" s="74"/>
      <c r="AE32" s="40">
        <f t="shared" si="3"/>
        <v>29</v>
      </c>
      <c r="AF32" s="81">
        <v>184649</v>
      </c>
      <c r="AG32" s="74">
        <f>Tabla610[[#This Row],[pred]]</f>
        <v>208156.25104027192</v>
      </c>
    </row>
    <row r="33" spans="1:33" x14ac:dyDescent="0.3">
      <c r="A33" s="33">
        <v>43252</v>
      </c>
      <c r="B33">
        <v>167422</v>
      </c>
      <c r="N33" s="80">
        <v>43252</v>
      </c>
      <c r="O33" s="40">
        <f t="shared" si="10"/>
        <v>30</v>
      </c>
      <c r="P33" s="82">
        <v>167422</v>
      </c>
      <c r="Q33" s="74">
        <f>AI$4*Tabla610[[#This Row],[Receptive tourism]]/S21+(1-AI$4)*(Q32+R32)</f>
        <v>232911.61981299077</v>
      </c>
      <c r="R33" s="74">
        <f t="shared" si="4"/>
        <v>-11585.631715601505</v>
      </c>
      <c r="S33" s="74">
        <f t="shared" si="5"/>
        <v>0.74378938279742135</v>
      </c>
      <c r="T33" s="2">
        <f t="shared" si="8"/>
        <v>251970.92972933772</v>
      </c>
      <c r="U33">
        <f t="shared" si="11"/>
        <v>84204.929729337717</v>
      </c>
      <c r="V33">
        <f t="shared" si="12"/>
        <v>7090470190.722703</v>
      </c>
      <c r="W33" s="17">
        <f t="shared" si="9"/>
        <v>84548.929729337717</v>
      </c>
      <c r="X33">
        <f>IF($P33=0,0,(ABS(($P33-Tabla6[[#This Row],[pred]])/$P33))*100/COUNT($N33:$N121))</f>
        <v>6.1238345924032052E-2</v>
      </c>
      <c r="Z33" s="70">
        <f t="shared" si="2"/>
        <v>30</v>
      </c>
      <c r="AA33" s="82">
        <v>167422</v>
      </c>
      <c r="AB33" s="115">
        <f>IF($T33=0,0,(ABS(($R33-Tabla610[[#This Row],[pred]])/$T33))*100/COUNT($R$15:$R$105))</f>
        <v>1.1494286079173723</v>
      </c>
      <c r="AC33" s="105">
        <f>Tabla6[[#This Row],[pred]]</f>
        <v>158297.14474734897</v>
      </c>
      <c r="AD33" s="74"/>
      <c r="AE33" s="40">
        <f t="shared" si="3"/>
        <v>30</v>
      </c>
      <c r="AF33" s="82">
        <v>167422</v>
      </c>
      <c r="AG33" s="74">
        <f>Tabla610[[#This Row],[pred]]</f>
        <v>251970.92972933772</v>
      </c>
    </row>
    <row r="34" spans="1:33" x14ac:dyDescent="0.3">
      <c r="A34" s="33">
        <v>43282</v>
      </c>
      <c r="B34">
        <v>215459</v>
      </c>
      <c r="N34" s="79">
        <v>43282</v>
      </c>
      <c r="O34" s="40">
        <f t="shared" si="10"/>
        <v>31</v>
      </c>
      <c r="P34" s="81">
        <v>215459</v>
      </c>
      <c r="Q34" s="74">
        <f>AI$4*Tabla610[[#This Row],[Receptive tourism]]/S22+(1-AI$4)*(Q33+R33)</f>
        <v>216712.02210538584</v>
      </c>
      <c r="R34" s="74">
        <f t="shared" si="4"/>
        <v>-13892.614711603219</v>
      </c>
      <c r="S34" s="74">
        <f t="shared" si="5"/>
        <v>1.0050321054959181</v>
      </c>
      <c r="T34" s="2">
        <f t="shared" si="8"/>
        <v>210035.66281433363</v>
      </c>
      <c r="U34">
        <f t="shared" si="11"/>
        <v>1420.3371856663725</v>
      </c>
      <c r="V34">
        <f t="shared" si="12"/>
        <v>2017357.7209866715</v>
      </c>
      <c r="W34" s="17">
        <f t="shared" si="9"/>
        <v>5423.3371856663725</v>
      </c>
      <c r="X34">
        <f>IF($P34=0,0,(ABS(($P34-Tabla6[[#This Row],[pred]])/$P34))*100/COUNT($N34:$N122))</f>
        <v>1.4622355885161699E-2</v>
      </c>
      <c r="Z34" s="70">
        <f t="shared" si="2"/>
        <v>31</v>
      </c>
      <c r="AA34" s="81">
        <v>215459</v>
      </c>
      <c r="AB34" s="114">
        <f>IF($T34=0,0,(ABS(($R34-Tabla610[[#This Row],[pred]])/$T34))*100/COUNT($R$15:$R$105))</f>
        <v>1.1715868960111147</v>
      </c>
      <c r="AC34" s="105">
        <f>Tabla6[[#This Row],[pred]]</f>
        <v>212655.03882277166</v>
      </c>
      <c r="AD34" s="74"/>
      <c r="AE34" s="40">
        <f t="shared" si="3"/>
        <v>31</v>
      </c>
      <c r="AF34" s="81">
        <v>215459</v>
      </c>
      <c r="AG34" s="74">
        <f>Tabla610[[#This Row],[pred]]</f>
        <v>210035.66281433363</v>
      </c>
    </row>
    <row r="35" spans="1:33" x14ac:dyDescent="0.3">
      <c r="A35" s="33">
        <v>43313</v>
      </c>
      <c r="B35">
        <v>203628</v>
      </c>
      <c r="N35" s="80">
        <v>43313</v>
      </c>
      <c r="O35" s="40">
        <f t="shared" si="10"/>
        <v>32</v>
      </c>
      <c r="P35" s="82">
        <v>203628</v>
      </c>
      <c r="Q35" s="74">
        <f>AI$4*Tabla610[[#This Row],[Receptive tourism]]/S23+(1-AI$4)*(Q34+R34)</f>
        <v>208696.64654367429</v>
      </c>
      <c r="R35" s="74">
        <f t="shared" si="4"/>
        <v>-10953.995136657386</v>
      </c>
      <c r="S35" s="74">
        <f t="shared" si="5"/>
        <v>0.9623503261644174</v>
      </c>
      <c r="T35" s="2">
        <f t="shared" si="8"/>
        <v>194132.62548833355</v>
      </c>
      <c r="U35">
        <f t="shared" si="11"/>
        <v>778.62548833354958</v>
      </c>
      <c r="V35">
        <f t="shared" si="12"/>
        <v>606257.65108265856</v>
      </c>
      <c r="W35" s="17">
        <f t="shared" si="9"/>
        <v>9495.3745116664504</v>
      </c>
      <c r="X35">
        <f>IF($P35=0,0,(ABS(($P35-Tabla6[[#This Row],[pred]])/$P35))*100/COUNT($N35:$N123))</f>
        <v>2.6401066437000971E-2</v>
      </c>
      <c r="Z35" s="70">
        <f t="shared" si="2"/>
        <v>32</v>
      </c>
      <c r="AA35" s="82">
        <v>203628</v>
      </c>
      <c r="AB35" s="115">
        <f>IF($T35=0,0,(ABS(($R35-Tabla610[[#This Row],[pred]])/$T35))*100/COUNT($R$15:$R$105))</f>
        <v>1.1609069429098045</v>
      </c>
      <c r="AC35" s="105">
        <f>Tabla6[[#This Row],[pred]]</f>
        <v>198843.36324277407</v>
      </c>
      <c r="AD35" s="74"/>
      <c r="AE35" s="40">
        <f t="shared" si="3"/>
        <v>32</v>
      </c>
      <c r="AF35" s="82">
        <v>203628</v>
      </c>
      <c r="AG35" s="74">
        <f>Tabla610[[#This Row],[pred]]</f>
        <v>194132.62548833355</v>
      </c>
    </row>
    <row r="36" spans="1:33" x14ac:dyDescent="0.3">
      <c r="A36" s="33">
        <v>43344</v>
      </c>
      <c r="B36">
        <v>216132</v>
      </c>
      <c r="N36" s="79">
        <v>43344</v>
      </c>
      <c r="O36" s="40">
        <f t="shared" si="10"/>
        <v>33</v>
      </c>
      <c r="P36" s="81">
        <v>216132</v>
      </c>
      <c r="Q36" s="74">
        <f>AI$4*Tabla610[[#This Row],[Receptive tourism]]/S24+(1-AI$4)*(Q35+R35)</f>
        <v>211772.9156566803</v>
      </c>
      <c r="R36" s="74">
        <f t="shared" si="4"/>
        <v>-3938.863011825687</v>
      </c>
      <c r="S36" s="74">
        <f t="shared" si="5"/>
        <v>0.98887681768814928</v>
      </c>
      <c r="T36" s="2">
        <f t="shared" si="8"/>
        <v>204767.74809205206</v>
      </c>
      <c r="U36">
        <f t="shared" si="11"/>
        <v>5607.7480920520611</v>
      </c>
      <c r="V36">
        <f t="shared" si="12"/>
        <v>31446838.663913533</v>
      </c>
      <c r="W36" s="17">
        <f t="shared" si="9"/>
        <v>11364.251907947939</v>
      </c>
      <c r="X36">
        <f>IF($P36=0,0,(ABS(($P36-Tabla6[[#This Row],[pred]])/$P36))*100/COUNT($N36:$N124))</f>
        <v>3.6756477880922518E-2</v>
      </c>
      <c r="Z36" s="70">
        <f t="shared" si="2"/>
        <v>33</v>
      </c>
      <c r="AA36" s="81">
        <v>216132</v>
      </c>
      <c r="AB36" s="114">
        <f>IF($T36=0,0,(ABS(($R36-Tabla610[[#This Row],[pred]])/$T36))*100/COUNT($R$15:$R$105))</f>
        <v>1.120039295381974</v>
      </c>
      <c r="AC36" s="105">
        <f>Tabla6[[#This Row],[pred]]</f>
        <v>209141.0590519236</v>
      </c>
      <c r="AD36" s="74"/>
      <c r="AE36" s="40">
        <f t="shared" si="3"/>
        <v>33</v>
      </c>
      <c r="AF36" s="81">
        <v>216132</v>
      </c>
      <c r="AG36" s="74">
        <f>Tabla610[[#This Row],[pred]]</f>
        <v>204767.74809205206</v>
      </c>
    </row>
    <row r="37" spans="1:33" x14ac:dyDescent="0.3">
      <c r="A37" s="33">
        <v>43374</v>
      </c>
      <c r="B37">
        <v>227543</v>
      </c>
      <c r="N37" s="80">
        <v>43374</v>
      </c>
      <c r="O37" s="40">
        <f t="shared" si="10"/>
        <v>34</v>
      </c>
      <c r="P37" s="82">
        <v>227543</v>
      </c>
      <c r="Q37" s="74">
        <f>AI$4*Tabla610[[#This Row],[Receptive tourism]]/S25+(1-AI$4)*(Q36+R36)</f>
        <v>213785.29549165128</v>
      </c>
      <c r="R37" s="74">
        <f t="shared" si="4"/>
        <v>-963.24158842735187</v>
      </c>
      <c r="S37" s="74">
        <f t="shared" si="5"/>
        <v>1.0499396825238478</v>
      </c>
      <c r="T37" s="2">
        <f t="shared" si="8"/>
        <v>236128.49945871177</v>
      </c>
      <c r="U37">
        <f t="shared" si="11"/>
        <v>11888.499458711769</v>
      </c>
      <c r="V37">
        <f t="shared" si="12"/>
        <v>141336419.37979004</v>
      </c>
      <c r="W37" s="17">
        <f t="shared" si="9"/>
        <v>8585.499458711769</v>
      </c>
      <c r="X37">
        <f>IF($P37=0,0,(ABS(($P37-Tabla6[[#This Row],[pred]])/$P37))*100/COUNT($N37:$N125))</f>
        <v>0.10666718800646642</v>
      </c>
      <c r="Z37" s="70">
        <f t="shared" si="2"/>
        <v>34</v>
      </c>
      <c r="AA37" s="82">
        <v>227543</v>
      </c>
      <c r="AB37" s="115">
        <f>IF($T37=0,0,(ABS(($R37-Tabla610[[#This Row],[pred]])/$T37))*100/COUNT($R$15:$R$105))</f>
        <v>1.1033838582565201</v>
      </c>
      <c r="AC37" s="105">
        <f>Tabla6[[#This Row],[pred]]</f>
        <v>248659.09360568319</v>
      </c>
      <c r="AD37" s="74"/>
      <c r="AE37" s="40">
        <f t="shared" ref="AE37:AE68" si="13">AE36+1</f>
        <v>34</v>
      </c>
      <c r="AF37" s="82">
        <v>227543</v>
      </c>
      <c r="AG37" s="74">
        <f>Tabla610[[#This Row],[pred]]</f>
        <v>236128.49945871177</v>
      </c>
    </row>
    <row r="38" spans="1:33" x14ac:dyDescent="0.3">
      <c r="A38" s="33">
        <v>43405</v>
      </c>
      <c r="B38">
        <v>261261</v>
      </c>
      <c r="N38" s="79">
        <v>43405</v>
      </c>
      <c r="O38" s="40">
        <f t="shared" si="10"/>
        <v>35</v>
      </c>
      <c r="P38" s="81">
        <v>261261</v>
      </c>
      <c r="Q38" s="74">
        <f>AI$4*Tabla610[[#This Row],[Receptive tourism]]/S26+(1-AI$4)*(Q37+R37)</f>
        <v>221388.53401348571</v>
      </c>
      <c r="R38" s="74">
        <f t="shared" si="4"/>
        <v>3319.9984667035378</v>
      </c>
      <c r="S38" s="74">
        <f t="shared" si="5"/>
        <v>1.1581206879476562</v>
      </c>
      <c r="T38" s="2">
        <f t="shared" si="8"/>
        <v>252399.47510901777</v>
      </c>
      <c r="U38">
        <f t="shared" si="11"/>
        <v>8680.4751090177742</v>
      </c>
      <c r="V38">
        <f t="shared" si="12"/>
        <v>75350648.118277133</v>
      </c>
      <c r="W38" s="17">
        <f t="shared" si="9"/>
        <v>8861.5248909822258</v>
      </c>
      <c r="X38">
        <f>IF($P38=0,0,(ABS(($P38-Tabla6[[#This Row],[pred]])/$P38))*100/COUNT($N38:$N126))</f>
        <v>5.187182052222742E-2</v>
      </c>
      <c r="Z38" s="70">
        <f t="shared" si="2"/>
        <v>35</v>
      </c>
      <c r="AA38" s="81">
        <v>261261</v>
      </c>
      <c r="AB38" s="114">
        <f>IF($T38=0,0,(ABS(($R38-Tabla610[[#This Row],[pred]])/$T38))*100/COUNT($R$15:$R$105))</f>
        <v>1.0844464334869386</v>
      </c>
      <c r="AC38" s="105">
        <f>Tabla6[[#This Row],[pred]]</f>
        <v>249606.20801674642</v>
      </c>
      <c r="AD38" s="74"/>
      <c r="AE38" s="40">
        <f t="shared" si="13"/>
        <v>35</v>
      </c>
      <c r="AF38" s="81">
        <v>261261</v>
      </c>
      <c r="AG38" s="74">
        <f>Tabla610[[#This Row],[pred]]</f>
        <v>252399.47510901777</v>
      </c>
    </row>
    <row r="39" spans="1:33" x14ac:dyDescent="0.3">
      <c r="A39" s="33">
        <v>43435</v>
      </c>
      <c r="B39">
        <v>293385</v>
      </c>
      <c r="N39" s="80">
        <v>43435</v>
      </c>
      <c r="O39" s="40">
        <f t="shared" si="10"/>
        <v>36</v>
      </c>
      <c r="P39" s="82">
        <v>293385</v>
      </c>
      <c r="Q39" s="74">
        <f>AI$4*Tabla610[[#This Row],[Receptive tourism]]/S27+(1-AI$4)*(Q38+R38)</f>
        <v>236044.69439456769</v>
      </c>
      <c r="R39" s="74">
        <f t="shared" si="4"/>
        <v>8988.0794238927592</v>
      </c>
      <c r="S39" s="74">
        <f t="shared" si="5"/>
        <v>1.214443120428577</v>
      </c>
      <c r="T39" s="2">
        <f t="shared" si="8"/>
        <v>240135.94795134693</v>
      </c>
      <c r="U39">
        <f t="shared" si="11"/>
        <v>15274.052048653073</v>
      </c>
      <c r="V39">
        <f t="shared" si="12"/>
        <v>233296665.98496315</v>
      </c>
      <c r="W39" s="17">
        <f t="shared" si="9"/>
        <v>53249.052048653073</v>
      </c>
      <c r="X39">
        <f>IF($P39=0,0,(ABS(($P39-Tabla6[[#This Row],[pred]])/$P39))*100/COUNT($N39:$N127))</f>
        <v>6.0302285852899096E-2</v>
      </c>
      <c r="Z39" s="70">
        <f t="shared" si="2"/>
        <v>36</v>
      </c>
      <c r="AA39" s="82">
        <v>293385</v>
      </c>
      <c r="AB39" s="115">
        <f>IF($T39=0,0,(ABS(($R39-Tabla610[[#This Row],[pred]])/$T39))*100/COUNT($R$15:$R$105))</f>
        <v>1.0577701876810626</v>
      </c>
      <c r="AC39" s="105">
        <f>Tabla6[[#This Row],[pred]]</f>
        <v>278346.98178529012</v>
      </c>
      <c r="AD39" s="74"/>
      <c r="AE39" s="40">
        <f t="shared" si="13"/>
        <v>36</v>
      </c>
      <c r="AF39" s="82">
        <v>293385</v>
      </c>
      <c r="AG39" s="74">
        <f>Tabla610[[#This Row],[pred]]</f>
        <v>240135.94795134693</v>
      </c>
    </row>
    <row r="40" spans="1:33" x14ac:dyDescent="0.3">
      <c r="A40" s="33">
        <v>43466</v>
      </c>
      <c r="B40">
        <v>321304</v>
      </c>
      <c r="N40" s="79">
        <v>43466</v>
      </c>
      <c r="O40" s="40">
        <f t="shared" si="10"/>
        <v>37</v>
      </c>
      <c r="P40" s="81">
        <v>321304</v>
      </c>
      <c r="Q40" s="74">
        <f>AI$4*Tabla610[[#This Row],[Receptive tourism]]/S28+(1-AI$4)*(Q39+R39)</f>
        <v>272847.37844957813</v>
      </c>
      <c r="R40" s="74">
        <f t="shared" si="4"/>
        <v>22895.381739451601</v>
      </c>
      <c r="S40" s="74">
        <f t="shared" si="5"/>
        <v>1.1231256478186524</v>
      </c>
      <c r="T40" s="2">
        <f t="shared" si="8"/>
        <v>203758.69428074616</v>
      </c>
      <c r="U40">
        <f t="shared" si="11"/>
        <v>71851.30571925384</v>
      </c>
      <c r="V40">
        <f t="shared" si="12"/>
        <v>5162610133.5616798</v>
      </c>
      <c r="W40" s="17">
        <f t="shared" si="9"/>
        <v>117545.30571925384</v>
      </c>
      <c r="X40">
        <f>IF($P40=0,0,(ABS(($P40-Tabla6[[#This Row],[pred]])/$P40))*100/COUNT($N40:$N128))</f>
        <v>4.878992149623498E-3</v>
      </c>
      <c r="Z40" s="70">
        <f t="shared" si="2"/>
        <v>37</v>
      </c>
      <c r="AA40" s="81">
        <v>321304</v>
      </c>
      <c r="AB40" s="114">
        <f>IF($T40=0,0,(ABS(($R40-Tabla610[[#This Row],[pred]])/$T40))*100/COUNT($R$15:$R$105))</f>
        <v>0.97542288246446696</v>
      </c>
      <c r="AC40" s="105">
        <f>Tabla6[[#This Row],[pred]]</f>
        <v>319987.18265734019</v>
      </c>
      <c r="AD40" s="74"/>
      <c r="AE40" s="40">
        <f t="shared" si="13"/>
        <v>37</v>
      </c>
      <c r="AF40" s="81">
        <v>321304</v>
      </c>
      <c r="AG40" s="74">
        <f>Tabla610[[#This Row],[pred]]</f>
        <v>203758.69428074616</v>
      </c>
    </row>
    <row r="41" spans="1:33" x14ac:dyDescent="0.3">
      <c r="A41" s="33">
        <v>43497</v>
      </c>
      <c r="B41">
        <v>237633</v>
      </c>
      <c r="N41" s="80">
        <v>43497</v>
      </c>
      <c r="O41" s="40">
        <f t="shared" si="10"/>
        <v>38</v>
      </c>
      <c r="P41" s="82">
        <v>237633</v>
      </c>
      <c r="Q41" s="74">
        <f>AI$4*Tabla610[[#This Row],[Receptive tourism]]/S29+(1-AI$4)*(Q40+R40)</f>
        <v>290755.76926461258</v>
      </c>
      <c r="R41" s="74">
        <f t="shared" si="4"/>
        <v>20401.886277243026</v>
      </c>
      <c r="S41" s="74">
        <f t="shared" si="5"/>
        <v>0.82442554439395865</v>
      </c>
      <c r="T41" s="2">
        <f t="shared" si="8"/>
        <v>250388.04101935806</v>
      </c>
      <c r="U41">
        <f t="shared" si="11"/>
        <v>35697.041019358061</v>
      </c>
      <c r="V41">
        <f t="shared" si="12"/>
        <v>1274278737.5377319</v>
      </c>
      <c r="W41" s="17">
        <f t="shared" si="9"/>
        <v>12755.041019358061</v>
      </c>
      <c r="X41">
        <f>IF($P41=0,0,(ABS(($P41-Tabla6[[#This Row],[pred]])/$P41))*100/COUNT($N41:$N129))</f>
        <v>0.27043738509967641</v>
      </c>
      <c r="Z41" s="70">
        <f t="shared" si="2"/>
        <v>38</v>
      </c>
      <c r="AA41" s="82">
        <v>237633</v>
      </c>
      <c r="AB41" s="115">
        <f>IF($T41=0,0,(ABS(($R41-Tabla610[[#This Row],[pred]])/$T41))*100/COUNT($R$15:$R$105))</f>
        <v>1.009361458116161</v>
      </c>
      <c r="AC41" s="105">
        <f>Tabla6[[#This Row],[pred]]</f>
        <v>290972.82312071486</v>
      </c>
      <c r="AD41" s="74"/>
      <c r="AE41" s="40">
        <f t="shared" si="13"/>
        <v>38</v>
      </c>
      <c r="AF41" s="82">
        <v>237633</v>
      </c>
      <c r="AG41" s="74">
        <f>Tabla610[[#This Row],[pred]]</f>
        <v>250388.04101935806</v>
      </c>
    </row>
    <row r="42" spans="1:33" x14ac:dyDescent="0.3">
      <c r="A42" s="33">
        <v>43525</v>
      </c>
      <c r="B42">
        <v>261862</v>
      </c>
      <c r="N42" s="79">
        <v>43525</v>
      </c>
      <c r="O42" s="40">
        <f t="shared" si="10"/>
        <v>39</v>
      </c>
      <c r="P42" s="81">
        <v>261862</v>
      </c>
      <c r="Q42" s="74">
        <f>AI$4*Tabla610[[#This Row],[Receptive tourism]]/S30+(1-AI$4)*(Q41+R41)</f>
        <v>310226.37074729614</v>
      </c>
      <c r="R42" s="74">
        <f t="shared" si="4"/>
        <v>19936.243879963295</v>
      </c>
      <c r="S42" s="74">
        <f t="shared" si="5"/>
        <v>0.84537053204851287</v>
      </c>
      <c r="T42" s="2">
        <f t="shared" si="8"/>
        <v>242728.44029787285</v>
      </c>
      <c r="U42">
        <f t="shared" si="11"/>
        <v>21810.440297872847</v>
      </c>
      <c r="V42">
        <f t="shared" si="12"/>
        <v>475695305.98707581</v>
      </c>
      <c r="W42" s="17">
        <f t="shared" si="9"/>
        <v>19133.559702127153</v>
      </c>
      <c r="X42">
        <f>IF($P42=0,0,(ABS(($P42-Tabla6[[#This Row],[pred]])/$P42))*100/COUNT($N42:$N130))</f>
        <v>0.27655817578911956</v>
      </c>
      <c r="Z42" s="70">
        <f t="shared" si="2"/>
        <v>39</v>
      </c>
      <c r="AA42" s="81">
        <v>261862</v>
      </c>
      <c r="AB42" s="114">
        <f>IF($T42=0,0,(ABS(($R42-Tabla610[[#This Row],[pred]])/$T42))*100/COUNT($R$15:$R$105))</f>
        <v>1.0086440186810521</v>
      </c>
      <c r="AC42" s="105">
        <f>Tabla6[[#This Row],[pred]]</f>
        <v>202477.53683663785</v>
      </c>
      <c r="AD42" s="74"/>
      <c r="AE42" s="40">
        <f t="shared" si="13"/>
        <v>39</v>
      </c>
      <c r="AF42" s="81">
        <v>261862</v>
      </c>
      <c r="AG42" s="74">
        <f>Tabla610[[#This Row],[pred]]</f>
        <v>242728.44029787285</v>
      </c>
    </row>
    <row r="43" spans="1:33" x14ac:dyDescent="0.3">
      <c r="A43" s="33">
        <v>43556</v>
      </c>
      <c r="B43">
        <v>239694</v>
      </c>
      <c r="N43" s="80">
        <v>43556</v>
      </c>
      <c r="O43" s="40">
        <f t="shared" si="10"/>
        <v>40</v>
      </c>
      <c r="P43" s="82">
        <v>239694</v>
      </c>
      <c r="Q43" s="74">
        <f>AI$4*Tabla610[[#This Row],[Receptive tourism]]/S31+(1-AI$4)*(Q42+R42)</f>
        <v>318715.18514830538</v>
      </c>
      <c r="R43" s="74">
        <f t="shared" si="4"/>
        <v>14212.529140486266</v>
      </c>
      <c r="S43" s="74">
        <f t="shared" si="5"/>
        <v>0.76607258572413395</v>
      </c>
      <c r="T43" s="2">
        <f t="shared" si="8"/>
        <v>251557.48292840651</v>
      </c>
      <c r="U43">
        <f t="shared" si="11"/>
        <v>48711.482928406505</v>
      </c>
      <c r="V43">
        <f t="shared" si="12"/>
        <v>2372808569.0844383</v>
      </c>
      <c r="W43" s="17">
        <f t="shared" si="9"/>
        <v>11863.482928406505</v>
      </c>
      <c r="X43">
        <f>IF($P43=0,0,(ABS(($P43-Tabla6[[#This Row],[pred]])/$P43))*100/COUNT($N43:$N131))</f>
        <v>3.4274828166501944E-2</v>
      </c>
      <c r="Z43" s="70">
        <f t="shared" si="2"/>
        <v>40</v>
      </c>
      <c r="AA43" s="82">
        <v>239694</v>
      </c>
      <c r="AB43" s="115">
        <f>IF($T43=0,0,(ABS(($R43-Tabla610[[#This Row],[pred]])/$T43))*100/COUNT($R$15:$R$105))</f>
        <v>1.0368152340370065</v>
      </c>
      <c r="AC43" s="105">
        <f>Tabla6[[#This Row],[pred]]</f>
        <v>246348.53123665863</v>
      </c>
      <c r="AD43" s="74"/>
      <c r="AE43" s="40">
        <f t="shared" si="13"/>
        <v>40</v>
      </c>
      <c r="AF43" s="82">
        <v>239694</v>
      </c>
      <c r="AG43" s="74">
        <f>Tabla610[[#This Row],[pred]]</f>
        <v>251557.48292840651</v>
      </c>
    </row>
    <row r="44" spans="1:33" x14ac:dyDescent="0.3">
      <c r="A44" s="33">
        <v>43586</v>
      </c>
      <c r="B44">
        <v>209733</v>
      </c>
      <c r="N44" s="79">
        <v>43586</v>
      </c>
      <c r="O44" s="40">
        <f t="shared" si="10"/>
        <v>41</v>
      </c>
      <c r="P44" s="81">
        <v>209733</v>
      </c>
      <c r="Q44" s="74">
        <f>AI$4*Tabla610[[#This Row],[Receptive tourism]]/S32+(1-AI$4)*(Q43+R43)</f>
        <v>304098.39468134218</v>
      </c>
      <c r="R44" s="74">
        <f t="shared" si="4"/>
        <v>-202.13066323846579</v>
      </c>
      <c r="S44" s="74">
        <f t="shared" si="5"/>
        <v>0.7258039527389103</v>
      </c>
      <c r="T44" s="2">
        <f t="shared" si="8"/>
        <v>247628.09912701658</v>
      </c>
      <c r="U44">
        <f t="shared" si="11"/>
        <v>62979.099127016583</v>
      </c>
      <c r="V44">
        <f t="shared" si="12"/>
        <v>3966366926.8505812</v>
      </c>
      <c r="W44" s="17">
        <f t="shared" si="9"/>
        <v>37895.099127016583</v>
      </c>
      <c r="X44">
        <f>IF($P44=0,0,(ABS(($P44-Tabla6[[#This Row],[pred]])/$P44))*100/COUNT($N44:$N132))</f>
        <v>0.211375082091043</v>
      </c>
      <c r="Z44" s="70">
        <f t="shared" si="2"/>
        <v>41</v>
      </c>
      <c r="AA44" s="81">
        <v>209733</v>
      </c>
      <c r="AB44" s="114">
        <f>IF($T44=0,0,(ABS(($R44-Tabla610[[#This Row],[pred]])/$T44))*100/COUNT($R$15:$R$105))</f>
        <v>1.099798095682714</v>
      </c>
      <c r="AC44" s="105">
        <f>Tabla6[[#This Row],[pred]]</f>
        <v>245198.86407376057</v>
      </c>
      <c r="AD44" s="74"/>
      <c r="AE44" s="40">
        <f t="shared" si="13"/>
        <v>41</v>
      </c>
      <c r="AF44" s="81">
        <v>209733</v>
      </c>
      <c r="AG44" s="74">
        <f>Tabla610[[#This Row],[pred]]</f>
        <v>247628.09912701658</v>
      </c>
    </row>
    <row r="45" spans="1:33" x14ac:dyDescent="0.3">
      <c r="A45" s="33">
        <v>43617</v>
      </c>
      <c r="B45">
        <v>197587</v>
      </c>
      <c r="N45" s="80">
        <v>43617</v>
      </c>
      <c r="O45" s="40">
        <f t="shared" si="10"/>
        <v>42</v>
      </c>
      <c r="P45" s="82">
        <v>197587</v>
      </c>
      <c r="Q45" s="74">
        <f>AI$4*Tabla610[[#This Row],[Receptive tourism]]/S33+(1-AI$4)*(Q44+R44)</f>
        <v>284772.6953665358</v>
      </c>
      <c r="R45" s="74">
        <f t="shared" si="4"/>
        <v>-9763.9149890224217</v>
      </c>
      <c r="S45" s="74">
        <f t="shared" si="5"/>
        <v>0.71881524104214189</v>
      </c>
      <c r="T45" s="2">
        <f t="shared" si="8"/>
        <v>305425.5020784582</v>
      </c>
      <c r="U45">
        <f t="shared" si="11"/>
        <v>138003.5020784582</v>
      </c>
      <c r="V45">
        <f t="shared" si="12"/>
        <v>19044966585.919018</v>
      </c>
      <c r="W45" s="17">
        <f t="shared" si="9"/>
        <v>107838.5020784582</v>
      </c>
      <c r="X45">
        <f>IF($P45=0,0,(ABS(($P45-Tabla6[[#This Row],[pred]])/$P45))*100/COUNT($N45:$N133))</f>
        <v>0.16548532114147116</v>
      </c>
      <c r="Z45" s="70">
        <f t="shared" si="2"/>
        <v>42</v>
      </c>
      <c r="AA45" s="82">
        <v>197587</v>
      </c>
      <c r="AB45" s="115">
        <f>IF($T45=0,0,(ABS(($R45-Tabla610[[#This Row],[pred]])/$T45))*100/COUNT($R$15:$R$105))</f>
        <v>1.1340310302198577</v>
      </c>
      <c r="AC45" s="105">
        <f>Tabla6[[#This Row],[pred]]</f>
        <v>171755.77896277991</v>
      </c>
      <c r="AD45" s="74"/>
      <c r="AE45" s="40">
        <f t="shared" si="13"/>
        <v>42</v>
      </c>
      <c r="AF45" s="82">
        <v>197587</v>
      </c>
      <c r="AG45" s="74">
        <f>Tabla610[[#This Row],[pred]]</f>
        <v>305425.5020784582</v>
      </c>
    </row>
    <row r="46" spans="1:33" x14ac:dyDescent="0.3">
      <c r="A46" s="33">
        <v>43647</v>
      </c>
      <c r="B46">
        <v>244027</v>
      </c>
      <c r="N46" s="79">
        <v>43647</v>
      </c>
      <c r="O46" s="40">
        <f t="shared" si="10"/>
        <v>43</v>
      </c>
      <c r="P46" s="81">
        <v>244027</v>
      </c>
      <c r="Q46" s="74">
        <f>AI$4*Tabla610[[#This Row],[Receptive tourism]]/S34+(1-AI$4)*(Q45+R45)</f>
        <v>258906.97955160521</v>
      </c>
      <c r="R46" s="74">
        <f t="shared" si="4"/>
        <v>-17814.815401976506</v>
      </c>
      <c r="S46" s="74">
        <f t="shared" si="5"/>
        <v>0.97377990284312554</v>
      </c>
      <c r="T46" s="2">
        <f t="shared" si="8"/>
        <v>264654.78949437861</v>
      </c>
      <c r="U46">
        <f t="shared" si="11"/>
        <v>49195.789494378609</v>
      </c>
      <c r="V46">
        <f t="shared" si="12"/>
        <v>2420225703.9752126</v>
      </c>
      <c r="W46" s="17">
        <f t="shared" si="9"/>
        <v>20627.789494378609</v>
      </c>
      <c r="X46">
        <f>IF($P46=0,0,(ABS(($P46-Tabla6[[#This Row],[pred]])/$P46))*100/COUNT($N46:$N134))</f>
        <v>8.2997404189635207E-2</v>
      </c>
      <c r="Z46" s="70">
        <f t="shared" si="2"/>
        <v>43</v>
      </c>
      <c r="AA46" s="81">
        <v>244027</v>
      </c>
      <c r="AB46" s="114">
        <f>IF($T46=0,0,(ABS(($R46-Tabla610[[#This Row],[pred]])/$T46))*100/COUNT($R$15:$R$105))</f>
        <v>1.1728718751691327</v>
      </c>
      <c r="AC46" s="105">
        <f>Tabla6[[#This Row],[pred]]</f>
        <v>259824.8138907036</v>
      </c>
      <c r="AD46" s="74"/>
      <c r="AE46" s="40">
        <f t="shared" si="13"/>
        <v>43</v>
      </c>
      <c r="AF46" s="81">
        <v>244027</v>
      </c>
      <c r="AG46" s="74">
        <f>Tabla610[[#This Row],[pred]]</f>
        <v>264654.78949437861</v>
      </c>
    </row>
    <row r="47" spans="1:33" x14ac:dyDescent="0.3">
      <c r="A47" s="33">
        <v>43678</v>
      </c>
      <c r="B47">
        <v>216649</v>
      </c>
      <c r="N47" s="80">
        <v>43678</v>
      </c>
      <c r="O47" s="40">
        <f t="shared" si="10"/>
        <v>44</v>
      </c>
      <c r="P47" s="82">
        <v>216649</v>
      </c>
      <c r="Q47" s="74">
        <f>AI$4*Tabla610[[#This Row],[Receptive tourism]]/S35+(1-AI$4)*(Q46+R46)</f>
        <v>233108.52119378108</v>
      </c>
      <c r="R47" s="74">
        <f t="shared" si="4"/>
        <v>-21806.636879900318</v>
      </c>
      <c r="S47" s="74">
        <f t="shared" si="5"/>
        <v>0.9458707454026456</v>
      </c>
      <c r="T47" s="2">
        <f t="shared" si="8"/>
        <v>238410.45205383375</v>
      </c>
      <c r="U47">
        <f t="shared" si="11"/>
        <v>34782.452053833753</v>
      </c>
      <c r="V47">
        <f t="shared" si="12"/>
        <v>1209818970.8772438</v>
      </c>
      <c r="W47" s="17">
        <f t="shared" si="9"/>
        <v>21761.452053833753</v>
      </c>
      <c r="X47">
        <f>IF($P47=0,0,(ABS(($P47-Tabla6[[#This Row],[pred]])/$P47))*100/COUNT($N47:$N135))</f>
        <v>4.9451143020380411E-4</v>
      </c>
      <c r="Z47" s="70">
        <f t="shared" si="2"/>
        <v>44</v>
      </c>
      <c r="AA47" s="82">
        <v>216649</v>
      </c>
      <c r="AB47" s="115">
        <f>IF($T47=0,0,(ABS(($R47-Tabla610[[#This Row],[pred]])/$T47))*100/COUNT($R$15:$R$105))</f>
        <v>1.1994140463168805</v>
      </c>
      <c r="AC47" s="105">
        <f>Tabla6[[#This Row],[pred]]</f>
        <v>216566.50573673149</v>
      </c>
      <c r="AD47" s="74"/>
      <c r="AE47" s="40">
        <f t="shared" si="13"/>
        <v>44</v>
      </c>
      <c r="AF47" s="82">
        <v>216649</v>
      </c>
      <c r="AG47" s="74">
        <f>Tabla610[[#This Row],[pred]]</f>
        <v>238410.45205383375</v>
      </c>
    </row>
    <row r="48" spans="1:33" x14ac:dyDescent="0.3">
      <c r="A48" s="33">
        <v>43709</v>
      </c>
      <c r="B48">
        <v>225687</v>
      </c>
      <c r="N48" s="79">
        <v>43709</v>
      </c>
      <c r="O48" s="40">
        <f t="shared" si="10"/>
        <v>45</v>
      </c>
      <c r="P48" s="81">
        <v>225687</v>
      </c>
      <c r="Q48" s="74">
        <f>AI$4*Tabla610[[#This Row],[Receptive tourism]]/S36+(1-AI$4)*(Q47+R47)</f>
        <v>219763.73960709374</v>
      </c>
      <c r="R48" s="74">
        <f t="shared" ref="R48:R79" si="14">AJ$4*(Q48-Q47)+(1-AJ$4)*R47</f>
        <v>-17575.70923329383</v>
      </c>
      <c r="S48" s="74">
        <f t="shared" ref="S48:S79" si="15">AK$4*(P48/Q48)+(1-AK$4)*S36</f>
        <v>1.0079148367650235</v>
      </c>
      <c r="T48" s="2">
        <f t="shared" si="8"/>
        <v>221854.23333320679</v>
      </c>
      <c r="U48">
        <f t="shared" si="11"/>
        <v>5722.2333332067938</v>
      </c>
      <c r="V48">
        <f t="shared" si="12"/>
        <v>32743954.319662932</v>
      </c>
      <c r="W48" s="17">
        <f t="shared" si="9"/>
        <v>3832.7666667932062</v>
      </c>
      <c r="X48">
        <f>IF($P48=0,0,(ABS(($P48-Tabla6[[#This Row],[pred]])/$P48))*100/COUNT($N48:$N136))</f>
        <v>9.7553909360556343E-2</v>
      </c>
      <c r="Z48" s="70">
        <f t="shared" si="2"/>
        <v>45</v>
      </c>
      <c r="AA48" s="81">
        <v>225687</v>
      </c>
      <c r="AB48" s="114">
        <f>IF($T48=0,0,(ABS(($R48-Tabla610[[#This Row],[pred]])/$T48))*100/COUNT($R$15:$R$105))</f>
        <v>1.1859581088136608</v>
      </c>
      <c r="AC48" s="105">
        <f>Tabla6[[#This Row],[pred]]</f>
        <v>208954.34665218953</v>
      </c>
      <c r="AD48" s="74"/>
      <c r="AE48" s="40">
        <f t="shared" si="13"/>
        <v>45</v>
      </c>
      <c r="AF48" s="81">
        <v>225687</v>
      </c>
      <c r="AG48" s="74">
        <f>Tabla610[[#This Row],[pred]]</f>
        <v>221854.23333320679</v>
      </c>
    </row>
    <row r="49" spans="1:33" x14ac:dyDescent="0.3">
      <c r="A49" s="33">
        <v>43739</v>
      </c>
      <c r="B49">
        <v>225655</v>
      </c>
      <c r="N49" s="80">
        <v>43739</v>
      </c>
      <c r="O49" s="40">
        <f t="shared" si="10"/>
        <v>46</v>
      </c>
      <c r="P49" s="82">
        <v>225655</v>
      </c>
      <c r="Q49" s="74">
        <f>AI$4*Tabla610[[#This Row],[Receptive tourism]]/S37+(1-AI$4)*(Q48+R48)</f>
        <v>208554.95020821941</v>
      </c>
      <c r="R49" s="74">
        <f t="shared" si="14"/>
        <v>-14392.24931608408</v>
      </c>
      <c r="S49" s="74">
        <f t="shared" si="15"/>
        <v>1.0659663502747958</v>
      </c>
      <c r="T49" s="2">
        <f t="shared" si="8"/>
        <v>234158.14083128676</v>
      </c>
      <c r="U49">
        <f t="shared" si="11"/>
        <v>6615.140831286757</v>
      </c>
      <c r="V49">
        <f t="shared" si="12"/>
        <v>43760088.217757247</v>
      </c>
      <c r="W49" s="17">
        <f t="shared" si="9"/>
        <v>8503.140831286757</v>
      </c>
      <c r="X49">
        <f>IF($P49=0,0,(ABS(($P49-Tabla6[[#This Row],[pred]])/$P49))*100/COUNT($N49:$N137))</f>
        <v>0.17300458215464209</v>
      </c>
      <c r="Z49" s="70">
        <f t="shared" si="2"/>
        <v>46</v>
      </c>
      <c r="AA49" s="82">
        <v>225655</v>
      </c>
      <c r="AB49" s="115">
        <f>IF($T49=0,0,(ABS(($R49-Tabla610[[#This Row],[pred]])/$T49))*100/COUNT($R$15:$R$105))</f>
        <v>1.166443737106869</v>
      </c>
      <c r="AC49" s="105">
        <f>Tabla6[[#This Row],[pred]]</f>
        <v>254934.51173957932</v>
      </c>
      <c r="AD49" s="74"/>
      <c r="AE49" s="40">
        <f t="shared" si="13"/>
        <v>46</v>
      </c>
      <c r="AF49" s="82">
        <v>225655</v>
      </c>
      <c r="AG49" s="74">
        <f>Tabla610[[#This Row],[pred]]</f>
        <v>234158.14083128676</v>
      </c>
    </row>
    <row r="50" spans="1:33" x14ac:dyDescent="0.3">
      <c r="A50" s="33">
        <v>43770</v>
      </c>
      <c r="B50">
        <v>247326</v>
      </c>
      <c r="N50" s="79">
        <v>43770</v>
      </c>
      <c r="O50" s="40">
        <f t="shared" si="10"/>
        <v>47</v>
      </c>
      <c r="P50" s="81">
        <v>247326</v>
      </c>
      <c r="Q50" s="74">
        <f>AI$4*Tabla610[[#This Row],[Receptive tourism]]/S38+(1-AI$4)*(Q49+R49)</f>
        <v>203860.37726679328</v>
      </c>
      <c r="R50" s="74">
        <f t="shared" si="14"/>
        <v>-9543.4111287551059</v>
      </c>
      <c r="S50" s="74">
        <f t="shared" si="15"/>
        <v>1.1856666970963945</v>
      </c>
      <c r="T50" s="2">
        <f t="shared" si="8"/>
        <v>235799.5563422853</v>
      </c>
      <c r="U50">
        <f t="shared" si="11"/>
        <v>25461.443657714699</v>
      </c>
      <c r="V50">
        <f t="shared" si="12"/>
        <v>648285113.13498008</v>
      </c>
      <c r="W50" s="17">
        <f t="shared" si="9"/>
        <v>11526.443657714699</v>
      </c>
      <c r="X50">
        <f>IF($P50=0,0,(ABS(($P50-Tabla6[[#This Row],[pred]])/$P50))*100/COUNT($N50:$N138))</f>
        <v>7.2758320149308678E-2</v>
      </c>
      <c r="Z50" s="70">
        <f t="shared" si="2"/>
        <v>47</v>
      </c>
      <c r="AA50" s="81">
        <v>247326</v>
      </c>
      <c r="AB50" s="114">
        <f>IF($T50=0,0,(ABS(($R50-Tabla610[[#This Row],[pred]])/$T50))*100/COUNT($R$15:$R$105))</f>
        <v>1.1433764369353687</v>
      </c>
      <c r="AC50" s="105">
        <f>Tabla6[[#This Row],[pred]]</f>
        <v>234009.68202595654</v>
      </c>
      <c r="AD50" s="74"/>
      <c r="AE50" s="40">
        <f t="shared" si="13"/>
        <v>47</v>
      </c>
      <c r="AF50" s="81">
        <v>247326</v>
      </c>
      <c r="AG50" s="74">
        <f>Tabla610[[#This Row],[pred]]</f>
        <v>235799.5563422853</v>
      </c>
    </row>
    <row r="51" spans="1:33" x14ac:dyDescent="0.3">
      <c r="A51" s="33">
        <v>43800</v>
      </c>
      <c r="B51">
        <v>306382</v>
      </c>
      <c r="N51" s="80">
        <v>43800</v>
      </c>
      <c r="O51" s="40">
        <f t="shared" si="10"/>
        <v>48</v>
      </c>
      <c r="P51" s="82">
        <v>306382</v>
      </c>
      <c r="Q51" s="74">
        <f>AI$4*Tabla610[[#This Row],[Receptive tourism]]/S39+(1-AI$4)*(Q50+R50)</f>
        <v>223299.42571435176</v>
      </c>
      <c r="R51" s="74">
        <f t="shared" si="14"/>
        <v>4947.8186594016879</v>
      </c>
      <c r="S51" s="74">
        <f t="shared" si="15"/>
        <v>1.2932555681833211</v>
      </c>
      <c r="T51" s="2">
        <f t="shared" si="8"/>
        <v>218242.36847593926</v>
      </c>
      <c r="U51">
        <f t="shared" si="11"/>
        <v>75142.631524060736</v>
      </c>
      <c r="V51">
        <f t="shared" si="12"/>
        <v>5646415072.3607664</v>
      </c>
      <c r="W51" s="17">
        <f t="shared" si="9"/>
        <v>88139.631524060736</v>
      </c>
      <c r="X51">
        <f>IF($P51=0,0,(ABS(($P51-Tabla6[[#This Row],[pred]])/$P51))*100/COUNT($N51:$N139))</f>
        <v>0.24692661942798022</v>
      </c>
      <c r="Z51" s="70">
        <f t="shared" si="2"/>
        <v>48</v>
      </c>
      <c r="AA51" s="82">
        <v>306382</v>
      </c>
      <c r="AB51" s="115">
        <f>IF($T51=0,0,(ABS(($R51-Tabla610[[#This Row],[pred]])/$T51))*100/COUNT($R$15:$R$105))</f>
        <v>1.0739876808514808</v>
      </c>
      <c r="AC51" s="105">
        <f>Tabla6[[#This Row],[pred]]</f>
        <v>251154.67379508409</v>
      </c>
      <c r="AD51" s="74"/>
      <c r="AE51" s="40">
        <f t="shared" si="13"/>
        <v>48</v>
      </c>
      <c r="AF51" s="82">
        <v>306382</v>
      </c>
      <c r="AG51" s="74">
        <f>Tabla610[[#This Row],[pred]]</f>
        <v>218242.36847593926</v>
      </c>
    </row>
    <row r="52" spans="1:33" x14ac:dyDescent="0.3">
      <c r="A52" s="33">
        <v>43831</v>
      </c>
      <c r="B52">
        <v>308471</v>
      </c>
      <c r="N52" s="79">
        <v>43831</v>
      </c>
      <c r="O52" s="40">
        <f t="shared" si="10"/>
        <v>49</v>
      </c>
      <c r="P52" s="81">
        <v>308471</v>
      </c>
      <c r="Q52" s="74">
        <f>AI$4*Tabla610[[#This Row],[Receptive tourism]]/S40+(1-AI$4)*(Q51+R51)</f>
        <v>251450.64370006</v>
      </c>
      <c r="R52" s="74">
        <f t="shared" si="14"/>
        <v>16549.518322554963</v>
      </c>
      <c r="S52" s="74">
        <f t="shared" si="15"/>
        <v>1.174945624328712</v>
      </c>
      <c r="T52" s="2">
        <f t="shared" si="8"/>
        <v>188172.8586992526</v>
      </c>
      <c r="U52">
        <f t="shared" ref="U52:U83" si="16">ABS(P40-T52)</f>
        <v>133131.1413007474</v>
      </c>
      <c r="V52">
        <f t="shared" ref="V52:V83" si="17">(P40-T52)^2</f>
        <v>17723900784.03957</v>
      </c>
      <c r="W52" s="17">
        <f t="shared" si="9"/>
        <v>120298.1413007474</v>
      </c>
      <c r="X52">
        <f>IF($P52=0,0,(ABS(($P52-Tabla6[[#This Row],[pred]])/$P52))*100/COUNT($N52:$N140))</f>
        <v>0.23407386997620203</v>
      </c>
      <c r="Z52" s="70">
        <f t="shared" si="2"/>
        <v>49</v>
      </c>
      <c r="AA52" s="81">
        <v>308471</v>
      </c>
      <c r="AB52" s="114">
        <f>IF($T52=0,0,(ABS(($R52-Tabla610[[#This Row],[pred]])/$T52))*100/COUNT($R$15:$R$105))</f>
        <v>1.0022544092740588</v>
      </c>
      <c r="AC52" s="105">
        <f>Tabla6[[#This Row],[pred]]</f>
        <v>360458.60053670889</v>
      </c>
      <c r="AD52" s="74"/>
      <c r="AE52" s="40">
        <f t="shared" si="13"/>
        <v>49</v>
      </c>
      <c r="AF52" s="81">
        <v>308471</v>
      </c>
      <c r="AG52" s="74">
        <f>Tabla610[[#This Row],[pred]]</f>
        <v>188172.8586992526</v>
      </c>
    </row>
    <row r="53" spans="1:33" x14ac:dyDescent="0.3">
      <c r="A53" s="33">
        <v>43862</v>
      </c>
      <c r="B53">
        <v>255005</v>
      </c>
      <c r="N53" s="80">
        <v>43862</v>
      </c>
      <c r="O53" s="40">
        <f t="shared" si="10"/>
        <v>50</v>
      </c>
      <c r="P53" s="82">
        <v>255005</v>
      </c>
      <c r="Q53" s="74">
        <f>AI$4*Tabla610[[#This Row],[Receptive tourism]]/S41+(1-AI$4)*(Q52+R52)</f>
        <v>288656.25447294861</v>
      </c>
      <c r="R53" s="74">
        <f t="shared" si="14"/>
        <v>26877.564547721788</v>
      </c>
      <c r="S53" s="74">
        <f t="shared" si="15"/>
        <v>0.85392327742335716</v>
      </c>
      <c r="T53" s="2">
        <f t="shared" si="8"/>
        <v>226559.43955814568</v>
      </c>
      <c r="U53">
        <f t="shared" si="16"/>
        <v>11073.560441854323</v>
      </c>
      <c r="V53">
        <f t="shared" si="17"/>
        <v>122623740.8594009</v>
      </c>
      <c r="W53" s="17">
        <f t="shared" si="9"/>
        <v>28445.560441854323</v>
      </c>
      <c r="X53">
        <f>IF($P53=0,0,(ABS(($P53-Tabla6[[#This Row],[pred]])/$P53))*100/COUNT($N53:$N141))</f>
        <v>2.4699494465854385E-2</v>
      </c>
      <c r="Z53" s="70">
        <f t="shared" si="2"/>
        <v>50</v>
      </c>
      <c r="AA53" s="82">
        <v>255005</v>
      </c>
      <c r="AB53" s="115">
        <f>IF($T53=0,0,(ABS(($R53-Tabla610[[#This Row],[pred]])/$T53))*100/COUNT($R$15:$R$105))</f>
        <v>0.96853449279155102</v>
      </c>
      <c r="AC53" s="105">
        <f>Tabla6[[#This Row],[pred]]</f>
        <v>259476.93115624829</v>
      </c>
      <c r="AD53" s="74"/>
      <c r="AE53" s="40">
        <f t="shared" si="13"/>
        <v>50</v>
      </c>
      <c r="AF53" s="82">
        <v>255005</v>
      </c>
      <c r="AG53" s="74">
        <f>Tabla610[[#This Row],[pred]]</f>
        <v>226559.43955814568</v>
      </c>
    </row>
    <row r="54" spans="1:33" x14ac:dyDescent="0.3">
      <c r="A54" s="33">
        <v>43891</v>
      </c>
      <c r="B54">
        <v>118614</v>
      </c>
      <c r="N54" s="79">
        <v>43891</v>
      </c>
      <c r="O54" s="40">
        <f t="shared" si="10"/>
        <v>51</v>
      </c>
      <c r="P54" s="84">
        <f t="shared" ref="P54" si="18">P42</f>
        <v>261862</v>
      </c>
      <c r="Q54" s="74">
        <f>AI$4*Tabla610[[#This Row],[Receptive tourism]]/S42+(1-AI$4)*(Q53+R53)</f>
        <v>312646.92370094848</v>
      </c>
      <c r="R54" s="74">
        <f t="shared" si="14"/>
        <v>25434.11688786083</v>
      </c>
      <c r="S54" s="74">
        <f t="shared" si="15"/>
        <v>0.84146757307563647</v>
      </c>
      <c r="T54" s="2">
        <f t="shared" si="8"/>
        <v>241721.80862057587</v>
      </c>
      <c r="U54">
        <f t="shared" si="16"/>
        <v>20140.191379424126</v>
      </c>
      <c r="V54">
        <f t="shared" si="17"/>
        <v>405627308.7998299</v>
      </c>
      <c r="W54" s="17">
        <f t="shared" si="9"/>
        <v>20140.191379424126</v>
      </c>
      <c r="X54">
        <f>IF($P54=0,0,(ABS(($P54-Tabla6[[#This Row],[pred]])/$P54))*100/COUNT($N54:$N142))</f>
        <v>8.6244673688851012E-2</v>
      </c>
      <c r="Z54" s="70">
        <f t="shared" si="2"/>
        <v>51</v>
      </c>
      <c r="AA54" s="81">
        <v>118614</v>
      </c>
      <c r="AB54" s="114">
        <f>IF($T54=0,0,(ABS(($R54-Tabla610[[#This Row],[pred]])/$T54))*100/COUNT($R$15:$R$105))</f>
        <v>0.98327405160591286</v>
      </c>
      <c r="AC54" s="105">
        <f>Tabla6[[#This Row],[pred]]</f>
        <v>246053.05808094307</v>
      </c>
      <c r="AD54" s="74"/>
      <c r="AE54" s="40">
        <f t="shared" si="13"/>
        <v>51</v>
      </c>
      <c r="AF54" s="81">
        <v>118614</v>
      </c>
      <c r="AG54" s="74">
        <f>Tabla610[[#This Row],[pred]]</f>
        <v>241721.80862057587</v>
      </c>
    </row>
    <row r="55" spans="1:33" x14ac:dyDescent="0.3">
      <c r="A55" s="33">
        <v>43922</v>
      </c>
      <c r="B55">
        <v>0</v>
      </c>
      <c r="N55" s="80">
        <v>43922</v>
      </c>
      <c r="O55" s="40">
        <f t="shared" si="10"/>
        <v>52</v>
      </c>
      <c r="P55" s="84">
        <f t="shared" ref="P55" si="19">P43</f>
        <v>239694</v>
      </c>
      <c r="Q55" s="74">
        <f>AI$4*Tabla610[[#This Row],[Receptive tourism]]/S43+(1-AI$4)*(Q54+R54)</f>
        <v>325483.92034991505</v>
      </c>
      <c r="R55" s="74">
        <f t="shared" si="14"/>
        <v>19135.556768413699</v>
      </c>
      <c r="S55" s="74">
        <f t="shared" si="15"/>
        <v>0.75124803085255565</v>
      </c>
      <c r="T55" s="2">
        <f t="shared" si="8"/>
        <v>245380.55560544177</v>
      </c>
      <c r="U55">
        <f t="shared" si="16"/>
        <v>5686.5556054417684</v>
      </c>
      <c r="V55">
        <f t="shared" si="17"/>
        <v>32336914.653781198</v>
      </c>
      <c r="W55" s="17">
        <f t="shared" si="9"/>
        <v>5686.5556054417684</v>
      </c>
      <c r="X55">
        <f>IF($P55=0,0,(ABS(($P55-Tabla6[[#This Row],[pred]])/$P55))*100/COUNT($N55:$N143))</f>
        <v>1.5170896598744477</v>
      </c>
      <c r="Z55" s="70">
        <f t="shared" si="2"/>
        <v>52</v>
      </c>
      <c r="AA55" s="82">
        <v>0</v>
      </c>
      <c r="AB55" s="115">
        <f>IF($T55=0,0,(ABS(($R55-Tabla610[[#This Row],[pred]])/$T55))*100/COUNT($R$15:$R$105))</f>
        <v>1.0132052934245388</v>
      </c>
      <c r="AC55" s="105">
        <f>Tabla6[[#This Row],[pred]]</f>
        <v>-11215.729364422632</v>
      </c>
      <c r="AD55" s="74"/>
      <c r="AE55" s="40">
        <f t="shared" si="13"/>
        <v>52</v>
      </c>
      <c r="AF55" s="82">
        <v>0</v>
      </c>
      <c r="AG55" s="74">
        <f>Tabla610[[#This Row],[pred]]</f>
        <v>245380.55560544177</v>
      </c>
    </row>
    <row r="56" spans="1:33" x14ac:dyDescent="0.3">
      <c r="A56" s="33">
        <v>43952</v>
      </c>
      <c r="B56">
        <v>0</v>
      </c>
      <c r="G56" s="107" t="s">
        <v>186</v>
      </c>
      <c r="N56" s="79">
        <v>43952</v>
      </c>
      <c r="O56" s="40">
        <f t="shared" si="10"/>
        <v>53</v>
      </c>
      <c r="P56" s="84">
        <f t="shared" ref="P56" si="20">P42</f>
        <v>261862</v>
      </c>
      <c r="Q56" s="74">
        <f>AI$4*Tabla610[[#This Row],[Receptive tourism]]/S44+(1-AI$4)*(Q55+R55)</f>
        <v>352704.18186016293</v>
      </c>
      <c r="R56" s="74">
        <f t="shared" si="14"/>
        <v>23177.909139330794</v>
      </c>
      <c r="S56" s="74">
        <f t="shared" si="15"/>
        <v>0.73412241188986638</v>
      </c>
      <c r="T56" s="2">
        <f t="shared" si="8"/>
        <v>247717.73251262837</v>
      </c>
      <c r="U56">
        <f t="shared" si="16"/>
        <v>37984.732512628369</v>
      </c>
      <c r="V56">
        <f t="shared" si="17"/>
        <v>1442839904.0559266</v>
      </c>
      <c r="W56" s="17">
        <f t="shared" si="9"/>
        <v>14144.267487371631</v>
      </c>
      <c r="X56">
        <f>IF($P56=0,0,(ABS(($P56-Tabla6[[#This Row],[pred]])/$P56))*100/COUNT($N56:$N144))</f>
        <v>2.0356622463265568</v>
      </c>
      <c r="Z56" s="70">
        <f t="shared" si="2"/>
        <v>53</v>
      </c>
      <c r="AA56" s="81">
        <v>0</v>
      </c>
      <c r="AB56" s="114">
        <f>IF($T56=0,0,(ABS(($R56-Tabla610[[#This Row],[pred]])/$T56))*100/COUNT($R$15:$R$105))</f>
        <v>0.99608153259434695</v>
      </c>
      <c r="AC56" s="105">
        <f>Tabla6[[#This Row],[pred]]</f>
        <v>-100620.55926034413</v>
      </c>
      <c r="AD56" s="74"/>
      <c r="AE56" s="40">
        <f t="shared" si="13"/>
        <v>53</v>
      </c>
      <c r="AF56" s="81">
        <v>0</v>
      </c>
      <c r="AG56" s="74">
        <f>Tabla610[[#This Row],[pred]]</f>
        <v>247717.73251262837</v>
      </c>
    </row>
    <row r="57" spans="1:33" x14ac:dyDescent="0.3">
      <c r="A57" s="33">
        <v>43983</v>
      </c>
      <c r="B57">
        <v>0</v>
      </c>
      <c r="G57" s="35" t="s">
        <v>150</v>
      </c>
      <c r="N57" s="80">
        <v>43983</v>
      </c>
      <c r="O57" s="40">
        <f t="shared" si="10"/>
        <v>54</v>
      </c>
      <c r="P57" s="84">
        <f t="shared" ref="P57" si="21">P43</f>
        <v>239694</v>
      </c>
      <c r="Q57" s="74">
        <f>AI$4*Tabla610[[#This Row],[Receptive tourism]]/S45+(1-AI$4)*(Q56+R56)</f>
        <v>354669.56370178889</v>
      </c>
      <c r="R57" s="74">
        <f t="shared" si="14"/>
        <v>12571.645490478377</v>
      </c>
      <c r="S57" s="74">
        <f t="shared" si="15"/>
        <v>0.69731933403018109</v>
      </c>
      <c r="T57" s="2">
        <f t="shared" si="8"/>
        <v>366026.4260539579</v>
      </c>
      <c r="U57">
        <f t="shared" si="16"/>
        <v>168439.4260539579</v>
      </c>
      <c r="V57">
        <f t="shared" si="17"/>
        <v>28371840249.386749</v>
      </c>
      <c r="W57" s="17">
        <f t="shared" si="9"/>
        <v>126332.4260539579</v>
      </c>
      <c r="X57">
        <f>IF($P57=0,0,(ABS(($P57-Tabla6[[#This Row],[pred]])/$P57))*100/COUNT($N57:$N145))</f>
        <v>1.5089765695741164</v>
      </c>
      <c r="Z57" s="70">
        <f t="shared" si="2"/>
        <v>54</v>
      </c>
      <c r="AA57" s="82">
        <v>0</v>
      </c>
      <c r="AB57" s="115">
        <f>IF($T57=0,0,(ABS(($R57-Tabla610[[#This Row],[pred]])/$T57))*100/COUNT($R$15:$R$105))</f>
        <v>1.0611579359458505</v>
      </c>
      <c r="AC57" s="105">
        <f>Tabla6[[#This Row],[pred]]</f>
        <v>-2640.0620112238462</v>
      </c>
      <c r="AD57" s="74"/>
      <c r="AE57" s="40">
        <f t="shared" si="13"/>
        <v>54</v>
      </c>
      <c r="AF57" s="82">
        <v>0</v>
      </c>
      <c r="AG57" s="74">
        <f>Tabla610[[#This Row],[pred]]</f>
        <v>366026.4260539579</v>
      </c>
    </row>
    <row r="58" spans="1:33" x14ac:dyDescent="0.3">
      <c r="A58" s="33">
        <v>44013</v>
      </c>
      <c r="B58">
        <v>495</v>
      </c>
      <c r="N58" s="79">
        <v>44013</v>
      </c>
      <c r="O58" s="40">
        <f t="shared" si="10"/>
        <v>55</v>
      </c>
      <c r="P58" s="84">
        <f t="shared" ref="P58" si="22">P44</f>
        <v>209733</v>
      </c>
      <c r="Q58" s="74">
        <f>AI$4*Tabla610[[#This Row],[Receptive tourism]]/S46+(1-AI$4)*(Q57+R57)</f>
        <v>291310.75068954076</v>
      </c>
      <c r="R58" s="74">
        <f t="shared" si="14"/>
        <v>-25393.583760884881</v>
      </c>
      <c r="S58" s="74">
        <f t="shared" si="15"/>
        <v>0.84687151664625171</v>
      </c>
      <c r="T58" s="2">
        <f t="shared" si="8"/>
        <v>347362.71628125873</v>
      </c>
      <c r="U58">
        <f t="shared" si="16"/>
        <v>103335.71628125873</v>
      </c>
      <c r="V58">
        <f t="shared" si="17"/>
        <v>10678270259.360802</v>
      </c>
      <c r="W58" s="17">
        <f t="shared" si="9"/>
        <v>137629.71628125873</v>
      </c>
      <c r="X58">
        <f>IF($P58=0,0,(ABS(($P58-Tabla6[[#This Row],[pred]])/$P58))*100/COUNT($N58:$N146))</f>
        <v>1.5074175832540706</v>
      </c>
      <c r="Z58" s="70">
        <f t="shared" si="2"/>
        <v>55</v>
      </c>
      <c r="AA58" s="81">
        <v>495</v>
      </c>
      <c r="AB58" s="114">
        <f>IF($T58=0,0,(ABS(($R58-Tabla610[[#This Row],[pred]])/$T58))*100/COUNT($R$15:$R$105))</f>
        <v>1.17923510077273</v>
      </c>
      <c r="AC58" s="105">
        <f>Tabla6[[#This Row],[pred]]</f>
        <v>1070.5600875068606</v>
      </c>
      <c r="AD58" s="74"/>
      <c r="AE58" s="40">
        <f t="shared" si="13"/>
        <v>55</v>
      </c>
      <c r="AF58" s="81">
        <v>495</v>
      </c>
      <c r="AG58" s="74">
        <f>Tabla610[[#This Row],[pred]]</f>
        <v>347362.71628125873</v>
      </c>
    </row>
    <row r="59" spans="1:33" x14ac:dyDescent="0.3">
      <c r="A59" s="33">
        <v>44044</v>
      </c>
      <c r="B59">
        <v>890</v>
      </c>
      <c r="N59" s="80">
        <v>44044</v>
      </c>
      <c r="O59" s="40">
        <f t="shared" si="10"/>
        <v>56</v>
      </c>
      <c r="P59" s="84">
        <f t="shared" ref="P59" si="23">P45</f>
        <v>197587</v>
      </c>
      <c r="Q59" s="74">
        <f>AI$4*Tabla610[[#This Row],[Receptive tourism]]/S47+(1-AI$4)*(Q58+R58)</f>
        <v>237405.72963115945</v>
      </c>
      <c r="R59" s="74">
        <f t="shared" si="14"/>
        <v>-39649.302409633092</v>
      </c>
      <c r="S59" s="74">
        <f t="shared" si="15"/>
        <v>0.88907318097363575</v>
      </c>
      <c r="T59" s="2">
        <f t="shared" si="8"/>
        <v>268021.85789791367</v>
      </c>
      <c r="U59">
        <f t="shared" si="16"/>
        <v>51372.857897913666</v>
      </c>
      <c r="V59">
        <f t="shared" si="17"/>
        <v>2639170528.5992303</v>
      </c>
      <c r="W59" s="17">
        <f t="shared" si="9"/>
        <v>70434.857897913666</v>
      </c>
      <c r="X59">
        <f>IF($P59=0,0,(ABS(($P59-Tabla6[[#This Row],[pred]])/$P59))*100/COUNT($N59:$N147))</f>
        <v>1.5310283582921331</v>
      </c>
      <c r="Z59" s="70">
        <f t="shared" si="2"/>
        <v>56</v>
      </c>
      <c r="AA59" s="82">
        <v>890</v>
      </c>
      <c r="AB59" s="115">
        <f>IF($T59=0,0,(ABS(($R59-Tabla610[[#This Row],[pred]])/$T59))*100/COUNT($R$15:$R$105))</f>
        <v>1.2614649372773081</v>
      </c>
      <c r="AC59" s="105">
        <f>Tabla6[[#This Row],[pred]]</f>
        <v>954.65485058601041</v>
      </c>
      <c r="AD59" s="74"/>
      <c r="AE59" s="40">
        <f t="shared" si="13"/>
        <v>56</v>
      </c>
      <c r="AF59" s="82">
        <v>890</v>
      </c>
      <c r="AG59" s="74">
        <f>Tabla610[[#This Row],[pred]]</f>
        <v>268021.85789791367</v>
      </c>
    </row>
    <row r="60" spans="1:33" x14ac:dyDescent="0.3">
      <c r="A60" s="33">
        <v>44075</v>
      </c>
      <c r="B60">
        <v>1392</v>
      </c>
      <c r="N60" s="79">
        <v>44075</v>
      </c>
      <c r="O60" s="40">
        <f t="shared" si="10"/>
        <v>57</v>
      </c>
      <c r="P60" s="84">
        <f t="shared" ref="P60" si="24">P46</f>
        <v>244027</v>
      </c>
      <c r="Q60" s="74">
        <f>AI$4*Tabla610[[#This Row],[Receptive tourism]]/S48+(1-AI$4)*(Q59+R59)</f>
        <v>219933.58014511369</v>
      </c>
      <c r="R60" s="74">
        <f t="shared" si="14"/>
        <v>-28560.725947839426</v>
      </c>
      <c r="S60" s="74">
        <f t="shared" si="15"/>
        <v>1.0587317276057537</v>
      </c>
      <c r="T60" s="2">
        <f t="shared" si="8"/>
        <v>210801.69696871375</v>
      </c>
      <c r="U60">
        <f t="shared" si="16"/>
        <v>14885.303031286254</v>
      </c>
      <c r="V60">
        <f t="shared" si="17"/>
        <v>221572246.33321974</v>
      </c>
      <c r="W60" s="17">
        <f t="shared" si="9"/>
        <v>33225.303031286254</v>
      </c>
      <c r="X60">
        <f>IF($P60=0,0,(ABS(($P60-Tabla6[[#This Row],[pred]])/$P60))*100/COUNT($N60:$N148))</f>
        <v>1.554047136486149</v>
      </c>
      <c r="Z60" s="70">
        <f t="shared" si="2"/>
        <v>57</v>
      </c>
      <c r="AA60" s="81">
        <v>1392</v>
      </c>
      <c r="AB60" s="114">
        <f>IF($T60=0,0,(ABS(($R60-Tabla610[[#This Row],[pred]])/$T60))*100/COUNT($R$15:$R$105))</f>
        <v>1.2477870594071567</v>
      </c>
      <c r="AC60" s="105">
        <f>Tabla6[[#This Row],[pred]]</f>
        <v>1320.1452318044949</v>
      </c>
      <c r="AD60" s="74"/>
      <c r="AE60" s="40">
        <f t="shared" si="13"/>
        <v>57</v>
      </c>
      <c r="AF60" s="81">
        <v>1392</v>
      </c>
      <c r="AG60" s="74">
        <f>Tabla610[[#This Row],[pred]]</f>
        <v>210801.69696871375</v>
      </c>
    </row>
    <row r="61" spans="1:33" x14ac:dyDescent="0.3">
      <c r="A61" s="33">
        <v>44105</v>
      </c>
      <c r="B61">
        <v>1829</v>
      </c>
      <c r="N61" s="80">
        <v>44105</v>
      </c>
      <c r="O61" s="40">
        <f t="shared" si="10"/>
        <v>58</v>
      </c>
      <c r="P61" s="84">
        <f t="shared" ref="P61" si="25">P47</f>
        <v>216649</v>
      </c>
      <c r="Q61" s="74">
        <f>AI$4*Tabla610[[#This Row],[Receptive tourism]]/S49+(1-AI$4)*(Q60+R60)</f>
        <v>197307.36473149486</v>
      </c>
      <c r="R61" s="74">
        <f t="shared" si="14"/>
        <v>-25593.47068072913</v>
      </c>
      <c r="S61" s="74">
        <f t="shared" si="15"/>
        <v>1.0819971470558465</v>
      </c>
      <c r="T61" s="2">
        <f t="shared" si="8"/>
        <v>226904.41994999204</v>
      </c>
      <c r="U61">
        <f t="shared" si="16"/>
        <v>1249.419949992036</v>
      </c>
      <c r="V61">
        <f t="shared" si="17"/>
        <v>1561050.2114381017</v>
      </c>
      <c r="W61" s="17">
        <f t="shared" si="9"/>
        <v>10255.419949992036</v>
      </c>
      <c r="X61">
        <f>IF($P61=0,0,(ABS(($P61-Tabla6[[#This Row],[pred]])/$P61))*100/COUNT($N61:$N149))</f>
        <v>1.5722335996596875</v>
      </c>
      <c r="Z61" s="70">
        <f t="shared" si="2"/>
        <v>58</v>
      </c>
      <c r="AA61" s="82">
        <v>1829</v>
      </c>
      <c r="AB61" s="115">
        <f>IF($T61=0,0,(ABS(($R61-Tabla610[[#This Row],[pred]])/$T61))*100/COUNT($R$15:$R$105))</f>
        <v>1.222850615009885</v>
      </c>
      <c r="AC61" s="105">
        <f>Tabla6[[#This Row],[pred]]</f>
        <v>2056.6126064168761</v>
      </c>
      <c r="AD61" s="74"/>
      <c r="AE61" s="40">
        <f t="shared" si="13"/>
        <v>58</v>
      </c>
      <c r="AF61" s="82">
        <v>1829</v>
      </c>
      <c r="AG61" s="74">
        <f>Tabla610[[#This Row],[pred]]</f>
        <v>226904.41994999204</v>
      </c>
    </row>
    <row r="62" spans="1:33" x14ac:dyDescent="0.3">
      <c r="A62" s="33">
        <v>44136</v>
      </c>
      <c r="B62">
        <v>3897</v>
      </c>
      <c r="N62" s="79">
        <v>44136</v>
      </c>
      <c r="O62" s="40">
        <f t="shared" si="10"/>
        <v>59</v>
      </c>
      <c r="P62" s="84">
        <f t="shared" ref="P62" si="26">P48</f>
        <v>225687</v>
      </c>
      <c r="Q62" s="74">
        <f>AI$4*Tabla610[[#This Row],[Receptive tourism]]/S50+(1-AI$4)*(Q61+R61)</f>
        <v>181029.98366067419</v>
      </c>
      <c r="R62" s="74">
        <f t="shared" si="14"/>
        <v>-20935.425875774901</v>
      </c>
      <c r="S62" s="74">
        <f t="shared" si="15"/>
        <v>1.2161748399307291</v>
      </c>
      <c r="T62" s="2">
        <f t="shared" si="8"/>
        <v>222069.94961559362</v>
      </c>
      <c r="U62">
        <f t="shared" si="16"/>
        <v>25256.050384406379</v>
      </c>
      <c r="V62">
        <f t="shared" si="17"/>
        <v>637868081.01967359</v>
      </c>
      <c r="W62" s="17">
        <f t="shared" si="9"/>
        <v>3617.0503844063787</v>
      </c>
      <c r="X62">
        <f>IF($P62=0,0,(ABS(($P62-Tabla6[[#This Row],[pred]])/$P62))*100/COUNT($N62:$N150))</f>
        <v>1.5955208979687012</v>
      </c>
      <c r="Z62" s="70">
        <f t="shared" si="2"/>
        <v>59</v>
      </c>
      <c r="AA62" s="81">
        <v>3897</v>
      </c>
      <c r="AB62" s="114">
        <f>IF($T62=0,0,(ABS(($R62-Tabla610[[#This Row],[pred]])/$T62))*100/COUNT($R$15:$R$105))</f>
        <v>1.2024989181498318</v>
      </c>
      <c r="AC62" s="105">
        <f>Tabla6[[#This Row],[pred]]</f>
        <v>2432.2385620854061</v>
      </c>
      <c r="AD62" s="74"/>
      <c r="AE62" s="40">
        <f t="shared" si="13"/>
        <v>59</v>
      </c>
      <c r="AF62" s="81">
        <v>3897</v>
      </c>
      <c r="AG62" s="74">
        <f>Tabla610[[#This Row],[pred]]</f>
        <v>222069.94961559362</v>
      </c>
    </row>
    <row r="63" spans="1:33" x14ac:dyDescent="0.3">
      <c r="A63" s="33">
        <v>44166</v>
      </c>
      <c r="B63">
        <v>7865</v>
      </c>
      <c r="N63" s="80">
        <v>44166</v>
      </c>
      <c r="O63" s="40">
        <f t="shared" si="10"/>
        <v>60</v>
      </c>
      <c r="P63" s="84">
        <f t="shared" ref="P63" si="27">P49</f>
        <v>225655</v>
      </c>
      <c r="Q63" s="74">
        <f>AI$4*Tabla610[[#This Row],[Receptive tourism]]/S51+(1-AI$4)*(Q62+R62)</f>
        <v>167290.28234496329</v>
      </c>
      <c r="R63" s="74">
        <f t="shared" si="14"/>
        <v>-17337.563595742904</v>
      </c>
      <c r="S63" s="74">
        <f t="shared" si="15"/>
        <v>1.3210692305311045</v>
      </c>
      <c r="T63" s="2">
        <f t="shared" si="8"/>
        <v>188102.40014820755</v>
      </c>
      <c r="U63">
        <f t="shared" si="16"/>
        <v>118279.59985179245</v>
      </c>
      <c r="V63">
        <f t="shared" si="17"/>
        <v>13990063741.10014</v>
      </c>
      <c r="W63" s="17">
        <f t="shared" si="9"/>
        <v>37552.599851792445</v>
      </c>
      <c r="X63">
        <f>IF($P63=0,0,(ABS(($P63-Tabla6[[#This Row],[pred]])/$P63))*100/COUNT($N63:$N151))</f>
        <v>1.5959739801318364</v>
      </c>
      <c r="Z63" s="70">
        <f t="shared" si="2"/>
        <v>60</v>
      </c>
      <c r="AA63" s="82">
        <v>7865</v>
      </c>
      <c r="AB63" s="115">
        <f>IF($T63=0,0,(ABS(($R63-Tabla610[[#This Row],[pred]])/$T63))*100/COUNT($R$15:$R$105))</f>
        <v>1.20018777930825</v>
      </c>
      <c r="AC63" s="105">
        <f>Tabla6[[#This Row],[pred]]</f>
        <v>5969.8998231437808</v>
      </c>
      <c r="AD63" s="74"/>
      <c r="AE63" s="40">
        <f t="shared" si="13"/>
        <v>60</v>
      </c>
      <c r="AF63" s="82">
        <v>7865</v>
      </c>
      <c r="AG63" s="74">
        <f>Tabla610[[#This Row],[pred]]</f>
        <v>188102.40014820755</v>
      </c>
    </row>
    <row r="64" spans="1:33" x14ac:dyDescent="0.3">
      <c r="A64" s="33">
        <v>44197</v>
      </c>
      <c r="B64">
        <v>8229</v>
      </c>
      <c r="N64" s="79">
        <v>44197</v>
      </c>
      <c r="O64" s="40">
        <f t="shared" si="10"/>
        <v>61</v>
      </c>
      <c r="P64" s="84">
        <f t="shared" ref="P64" si="28">P50</f>
        <v>247326</v>
      </c>
      <c r="Q64" s="74">
        <f>AI$4*Tabla610[[#This Row],[Receptive tourism]]/S52+(1-AI$4)*(Q63+R63)</f>
        <v>180226.33642835941</v>
      </c>
      <c r="R64" s="74">
        <f t="shared" si="14"/>
        <v>-2200.7547561733882</v>
      </c>
      <c r="S64" s="74">
        <f t="shared" si="15"/>
        <v>1.2736266920616841</v>
      </c>
      <c r="T64" s="2">
        <f t="shared" si="8"/>
        <v>128048.11705287715</v>
      </c>
      <c r="U64">
        <f t="shared" si="16"/>
        <v>180422.88294712285</v>
      </c>
      <c r="V64">
        <f t="shared" si="17"/>
        <v>32552416690.951195</v>
      </c>
      <c r="W64" s="17">
        <f t="shared" si="9"/>
        <v>119277.88294712285</v>
      </c>
      <c r="X64">
        <f>IF($P64=0,0,(ABS(($P64-Tabla6[[#This Row],[pred]])/$P64))*100/COUNT($N64:$N152))</f>
        <v>1.5865185249290235</v>
      </c>
      <c r="Z64" s="70">
        <f t="shared" si="2"/>
        <v>61</v>
      </c>
      <c r="AA64" s="81">
        <v>8229</v>
      </c>
      <c r="AB64" s="114">
        <f>IF($T64=0,0,(ABS(($R64-Tabla610[[#This Row],[pred]])/$T64))*100/COUNT($R$15:$R$105))</f>
        <v>1.1177878414447011</v>
      </c>
      <c r="AC64" s="105">
        <f>Tabla6[[#This Row],[pred]]</f>
        <v>11893.63158204261</v>
      </c>
      <c r="AD64" s="74"/>
      <c r="AE64" s="40">
        <f t="shared" si="13"/>
        <v>61</v>
      </c>
      <c r="AF64" s="81">
        <v>8229</v>
      </c>
      <c r="AG64" s="74">
        <f>Tabla610[[#This Row],[pred]]</f>
        <v>128048.11705287715</v>
      </c>
    </row>
    <row r="65" spans="1:33" x14ac:dyDescent="0.3">
      <c r="A65" s="33">
        <v>44228</v>
      </c>
      <c r="B65">
        <v>3648</v>
      </c>
      <c r="N65" s="80">
        <v>44228</v>
      </c>
      <c r="O65" s="40">
        <f t="shared" si="10"/>
        <v>62</v>
      </c>
      <c r="P65" s="84">
        <f t="shared" ref="P65" si="29">P51</f>
        <v>306382</v>
      </c>
      <c r="Q65" s="74">
        <f>AI$4*Tabla610[[#This Row],[Receptive tourism]]/S53+(1-AI$4)*(Q64+R64)</f>
        <v>268409.46973005775</v>
      </c>
      <c r="R65" s="74">
        <f t="shared" si="14"/>
        <v>42991.18927276248</v>
      </c>
      <c r="S65" s="74">
        <f t="shared" si="15"/>
        <v>0.99769783573954729</v>
      </c>
      <c r="T65" s="2">
        <f t="shared" si="8"/>
        <v>149802.75415507288</v>
      </c>
      <c r="U65">
        <f t="shared" si="16"/>
        <v>105202.24584492712</v>
      </c>
      <c r="V65">
        <f t="shared" si="17"/>
        <v>11067512530.816486</v>
      </c>
      <c r="W65" s="17">
        <f t="shared" si="9"/>
        <v>156579.24584492712</v>
      </c>
      <c r="X65">
        <f>IF($P65=0,0,(ABS(($P65-Tabla6[[#This Row],[pred]])/$P65))*100/COUNT($N65:$N153))</f>
        <v>1.6547918885886734</v>
      </c>
      <c r="Z65" s="70">
        <f t="shared" si="2"/>
        <v>62</v>
      </c>
      <c r="AA65" s="82">
        <v>3648</v>
      </c>
      <c r="AB65" s="115">
        <f>IF($T65=0,0,(ABS(($R65-Tabla610[[#This Row],[pred]])/$T65))*100/COUNT($R$15:$R$105))</f>
        <v>0.78353263053503186</v>
      </c>
      <c r="AC65" s="105">
        <f>Tabla6[[#This Row],[pred]]</f>
        <v>7252.9154383508194</v>
      </c>
      <c r="AD65" s="74"/>
      <c r="AE65" s="40">
        <f t="shared" si="13"/>
        <v>62</v>
      </c>
      <c r="AF65" s="82">
        <v>3648</v>
      </c>
      <c r="AG65" s="74">
        <f>Tabla610[[#This Row],[pred]]</f>
        <v>149802.75415507288</v>
      </c>
    </row>
    <row r="66" spans="1:33" x14ac:dyDescent="0.3">
      <c r="A66" s="33">
        <v>44256</v>
      </c>
      <c r="B66">
        <v>5784</v>
      </c>
      <c r="N66" s="79">
        <v>44256</v>
      </c>
      <c r="O66" s="40">
        <f t="shared" si="10"/>
        <v>63</v>
      </c>
      <c r="P66" s="84">
        <f t="shared" ref="P66" si="30">P52</f>
        <v>308471</v>
      </c>
      <c r="Q66" s="74">
        <f>AI$4*Tabla610[[#This Row],[Receptive tourism]]/S54+(1-AI$4)*(Q65+R65)</f>
        <v>338993.78599939018</v>
      </c>
      <c r="R66" s="74">
        <f t="shared" si="14"/>
        <v>56787.752771047453</v>
      </c>
      <c r="S66" s="74">
        <f t="shared" si="15"/>
        <v>0.87571410290349183</v>
      </c>
      <c r="T66" s="2">
        <f t="shared" si="8"/>
        <v>233939.13188205688</v>
      </c>
      <c r="U66">
        <f t="shared" si="16"/>
        <v>27922.868117943115</v>
      </c>
      <c r="V66">
        <f t="shared" si="17"/>
        <v>779686563.93204403</v>
      </c>
      <c r="W66" s="17">
        <f t="shared" si="9"/>
        <v>74531.868117943115</v>
      </c>
      <c r="X66">
        <f>IF($P66=0,0,(ABS(($P66-Tabla6[[#This Row],[pred]])/$P66))*100/COUNT($N66:$N154))</f>
        <v>1.7220985950484589</v>
      </c>
      <c r="Z66" s="70">
        <f t="shared" si="2"/>
        <v>63</v>
      </c>
      <c r="AA66" s="81">
        <v>5784</v>
      </c>
      <c r="AB66" s="114">
        <f>IF($T66=0,0,(ABS(($R66-Tabla610[[#This Row],[pred]])/$T66))*100/COUNT($R$15:$R$105))</f>
        <v>0.83214742061657077</v>
      </c>
      <c r="AC66" s="105">
        <f>Tabla6[[#This Row],[pred]]</f>
        <v>364.86408634795487</v>
      </c>
      <c r="AD66" s="74"/>
      <c r="AE66" s="40">
        <f t="shared" si="13"/>
        <v>63</v>
      </c>
      <c r="AF66" s="81">
        <v>5784</v>
      </c>
      <c r="AG66" s="74">
        <f>Tabla610[[#This Row],[pred]]</f>
        <v>233939.13188205688</v>
      </c>
    </row>
    <row r="67" spans="1:33" x14ac:dyDescent="0.3">
      <c r="A67" s="33">
        <v>44287</v>
      </c>
      <c r="B67">
        <v>4959</v>
      </c>
      <c r="N67" s="80">
        <v>44287</v>
      </c>
      <c r="O67" s="40">
        <f t="shared" si="10"/>
        <v>64</v>
      </c>
      <c r="P67" s="84">
        <f t="shared" ref="P67" si="31">P53</f>
        <v>255005</v>
      </c>
      <c r="Q67" s="74">
        <f>AI$4*Tabla610[[#This Row],[Receptive tourism]]/S55+(1-AI$4)*(Q66+R66)</f>
        <v>367611.6801412889</v>
      </c>
      <c r="R67" s="74">
        <f t="shared" si="14"/>
        <v>42702.823456473088</v>
      </c>
      <c r="S67" s="74">
        <f t="shared" si="15"/>
        <v>0.72246419186189959</v>
      </c>
      <c r="T67" s="2">
        <f t="shared" si="8"/>
        <v>290552.09782363637</v>
      </c>
      <c r="U67">
        <f t="shared" si="16"/>
        <v>50858.097823636374</v>
      </c>
      <c r="V67">
        <f t="shared" si="17"/>
        <v>2586546114.2385669</v>
      </c>
      <c r="W67" s="17">
        <f t="shared" si="9"/>
        <v>35547.097823636374</v>
      </c>
      <c r="X67">
        <f>IF($P67=0,0,(ABS(($P67-Tabla6[[#This Row],[pred]])/$P67))*100/COUNT($N67:$N155))</f>
        <v>1.7083366701689071</v>
      </c>
      <c r="Z67" s="70">
        <f t="shared" si="2"/>
        <v>64</v>
      </c>
      <c r="AA67" s="82">
        <v>4959</v>
      </c>
      <c r="AB67" s="115">
        <f>IF($T67=0,0,(ABS(($R67-Tabla610[[#This Row],[pred]])/$T67))*100/COUNT($R$15:$R$105))</f>
        <v>0.9373941609922154</v>
      </c>
      <c r="AC67" s="105">
        <f>Tabla6[[#This Row],[pred]]</f>
        <v>6693.3962314393539</v>
      </c>
      <c r="AD67" s="74"/>
      <c r="AE67" s="40">
        <f t="shared" si="13"/>
        <v>64</v>
      </c>
      <c r="AF67" s="82">
        <v>4959</v>
      </c>
      <c r="AG67" s="74">
        <f>Tabla610[[#This Row],[pred]]</f>
        <v>290552.09782363637</v>
      </c>
    </row>
    <row r="68" spans="1:33" x14ac:dyDescent="0.3">
      <c r="A68" s="33">
        <v>44317</v>
      </c>
      <c r="B68">
        <v>3361</v>
      </c>
      <c r="N68" s="79">
        <v>44317</v>
      </c>
      <c r="O68" s="40">
        <f t="shared" si="10"/>
        <v>65</v>
      </c>
      <c r="P68" s="84">
        <f t="shared" ref="P68" si="32">P54</f>
        <v>261862</v>
      </c>
      <c r="Q68" s="74">
        <f>AI$4*Tabla610[[#This Row],[Receptive tourism]]/S56+(1-AI$4)*(Q67+R67)</f>
        <v>383507.61664190714</v>
      </c>
      <c r="R68" s="74">
        <f t="shared" si="14"/>
        <v>29299.379978545661</v>
      </c>
      <c r="S68" s="74">
        <f t="shared" si="15"/>
        <v>0.70846511637170917</v>
      </c>
      <c r="T68" s="2">
        <f t="shared" si="8"/>
        <v>286120.23639171571</v>
      </c>
      <c r="U68">
        <f t="shared" si="16"/>
        <v>24258.236391715705</v>
      </c>
      <c r="V68">
        <f t="shared" si="17"/>
        <v>588462032.83636022</v>
      </c>
      <c r="W68" s="17">
        <f t="shared" si="9"/>
        <v>24258.236391715705</v>
      </c>
      <c r="X68">
        <f>IF($P68=0,0,(ABS(($P68-Tabla6[[#This Row],[pred]])/$P68))*100/COUNT($N68:$N156))</f>
        <v>1.7526569534695322</v>
      </c>
      <c r="Z68" s="70">
        <f t="shared" si="2"/>
        <v>65</v>
      </c>
      <c r="AA68" s="81">
        <v>3361</v>
      </c>
      <c r="AB68" s="114">
        <f>IF($T68=0,0,(ABS(($R68-Tabla610[[#This Row],[pred]])/$T68))*100/COUNT($R$15:$R$105))</f>
        <v>0.98637106166365973</v>
      </c>
      <c r="AC68" s="105">
        <f>Tabla6[[#This Row],[pred]]</f>
        <v>4847.6171163143699</v>
      </c>
      <c r="AD68" s="74"/>
      <c r="AE68" s="40">
        <f t="shared" si="13"/>
        <v>65</v>
      </c>
      <c r="AF68" s="81">
        <v>3361</v>
      </c>
      <c r="AG68" s="74">
        <f>Tabla610[[#This Row],[pred]]</f>
        <v>286120.23639171571</v>
      </c>
    </row>
    <row r="69" spans="1:33" x14ac:dyDescent="0.3">
      <c r="A69" s="33">
        <v>44348</v>
      </c>
      <c r="B69">
        <v>2643</v>
      </c>
      <c r="N69" s="80">
        <v>44348</v>
      </c>
      <c r="O69" s="40">
        <f t="shared" si="10"/>
        <v>66</v>
      </c>
      <c r="P69" s="84">
        <f t="shared" ref="P69" si="33">P55</f>
        <v>239694</v>
      </c>
      <c r="Q69" s="74">
        <f>AI$4*Tabla610[[#This Row],[Receptive tourism]]/S57+(1-AI$4)*(Q68+R68)</f>
        <v>378271.67140007915</v>
      </c>
      <c r="R69" s="74">
        <f t="shared" si="14"/>
        <v>12031.717368358839</v>
      </c>
      <c r="S69" s="74">
        <f t="shared" si="15"/>
        <v>0.66548751604860645</v>
      </c>
      <c r="T69" s="2">
        <f t="shared" si="8"/>
        <v>349594.48731014697</v>
      </c>
      <c r="U69">
        <f t="shared" si="16"/>
        <v>109900.48731014697</v>
      </c>
      <c r="V69">
        <f t="shared" si="17"/>
        <v>12078117111.007776</v>
      </c>
      <c r="W69" s="17">
        <f t="shared" si="9"/>
        <v>109900.48731014697</v>
      </c>
      <c r="X69">
        <f>IF($P69=0,0,(ABS(($P69-Tabla6[[#This Row],[pred]])/$P69))*100/COUNT($N69:$N157))</f>
        <v>1.8046873584458074</v>
      </c>
      <c r="Z69" s="70">
        <f t="shared" ref="Z69:Z123" si="34">Z68+1</f>
        <v>66</v>
      </c>
      <c r="AA69" s="82">
        <v>2643</v>
      </c>
      <c r="AB69" s="115">
        <f>IF($T69=0,0,(ABS(($R69-Tabla610[[#This Row],[pred]])/$T69))*100/COUNT($R$15:$R$105))</f>
        <v>1.0610810876661185</v>
      </c>
      <c r="AC69" s="105">
        <f>Tabla6[[#This Row],[pred]]</f>
        <v>1778.99756757982</v>
      </c>
      <c r="AD69" s="74"/>
      <c r="AE69" s="40">
        <f t="shared" ref="AE69:AE100" si="35">AE68+1</f>
        <v>66</v>
      </c>
      <c r="AF69" s="82">
        <v>2643</v>
      </c>
      <c r="AG69" s="74">
        <f>Tabla610[[#This Row],[pred]]</f>
        <v>349594.48731014697</v>
      </c>
    </row>
    <row r="70" spans="1:33" x14ac:dyDescent="0.3">
      <c r="A70" s="33">
        <v>44378</v>
      </c>
      <c r="B70">
        <v>2004</v>
      </c>
      <c r="N70" s="79">
        <v>44378</v>
      </c>
      <c r="O70" s="40">
        <f t="shared" si="10"/>
        <v>67</v>
      </c>
      <c r="P70" s="84">
        <f t="shared" ref="P70" si="36">P56</f>
        <v>261862</v>
      </c>
      <c r="Q70" s="74">
        <f>AI$4*Tabla610[[#This Row],[Receptive tourism]]/S58+(1-AI$4)*(Q69+R69)</f>
        <v>349757.20115401561</v>
      </c>
      <c r="R70" s="74">
        <f t="shared" si="14"/>
        <v>-8241.3764388523523</v>
      </c>
      <c r="S70" s="74">
        <f t="shared" si="15"/>
        <v>0.79778401925384079</v>
      </c>
      <c r="T70" s="2">
        <f t="shared" si="8"/>
        <v>347008.27539714478</v>
      </c>
      <c r="U70">
        <f t="shared" si="16"/>
        <v>137275.27539714478</v>
      </c>
      <c r="V70">
        <f t="shared" si="17"/>
        <v>18844501235.361942</v>
      </c>
      <c r="W70" s="17">
        <f t="shared" si="9"/>
        <v>85146.275397144782</v>
      </c>
      <c r="X70">
        <f>IF($P70=0,0,(ABS(($P70-Tabla6[[#This Row],[pred]])/$P70))*100/COUNT($N70:$N158))</f>
        <v>1.8320711196778117</v>
      </c>
      <c r="Z70" s="70">
        <f t="shared" si="34"/>
        <v>67</v>
      </c>
      <c r="AA70" s="81">
        <v>2004</v>
      </c>
      <c r="AB70" s="114">
        <f>IF($T70=0,0,(ABS(($R70-Tabla610[[#This Row],[pred]])/$T70))*100/COUNT($R$15:$R$105))</f>
        <v>1.1249997780024763</v>
      </c>
      <c r="AC70" s="105">
        <f>Tabla6[[#This Row],[pred]]</f>
        <v>2797.1039278215826</v>
      </c>
      <c r="AD70" s="74"/>
      <c r="AE70" s="40">
        <f t="shared" si="35"/>
        <v>67</v>
      </c>
      <c r="AF70" s="81">
        <v>2004</v>
      </c>
      <c r="AG70" s="74">
        <f>Tabla610[[#This Row],[pred]]</f>
        <v>347008.27539714478</v>
      </c>
    </row>
    <row r="71" spans="1:33" x14ac:dyDescent="0.3">
      <c r="A71" s="33">
        <v>44409</v>
      </c>
      <c r="B71">
        <v>1883</v>
      </c>
      <c r="N71" s="80">
        <v>44409</v>
      </c>
      <c r="O71" s="40">
        <f t="shared" si="10"/>
        <v>68</v>
      </c>
      <c r="P71" s="84">
        <f t="shared" ref="P71" si="37">P57</f>
        <v>239694</v>
      </c>
      <c r="Q71" s="74">
        <f>AI$4*Tabla610[[#This Row],[Receptive tourism]]/S59+(1-AI$4)*(Q70+R70)</f>
        <v>305557.83947803976</v>
      </c>
      <c r="R71" s="74">
        <f t="shared" si="14"/>
        <v>-26220.3690574141</v>
      </c>
      <c r="S71" s="74">
        <f t="shared" si="15"/>
        <v>0.83676020420500996</v>
      </c>
      <c r="T71" s="2">
        <f t="shared" si="8"/>
        <v>361573.6391053886</v>
      </c>
      <c r="U71">
        <f t="shared" si="16"/>
        <v>163986.6391053886</v>
      </c>
      <c r="V71">
        <f t="shared" si="17"/>
        <v>26891617805.080967</v>
      </c>
      <c r="W71" s="17">
        <f t="shared" si="9"/>
        <v>121879.6391053886</v>
      </c>
      <c r="X71">
        <f>IF($P71=0,0,(ABS(($P71-Tabla6[[#This Row],[pred]])/$P71))*100/COUNT($N71:$N159))</f>
        <v>1.8820103338616974</v>
      </c>
      <c r="Z71" s="70">
        <f t="shared" si="34"/>
        <v>68</v>
      </c>
      <c r="AA71" s="82">
        <v>1883</v>
      </c>
      <c r="AB71" s="115">
        <f>IF($T71=0,0,(ABS(($R71-Tabla610[[#This Row],[pred]])/$T71))*100/COUNT($R$15:$R$105))</f>
        <v>1.1785905155357734</v>
      </c>
      <c r="AC71" s="105">
        <f>Tabla6[[#This Row],[pred]]</f>
        <v>607.50996873776933</v>
      </c>
      <c r="AD71" s="74"/>
      <c r="AE71" s="40">
        <f t="shared" si="35"/>
        <v>68</v>
      </c>
      <c r="AF71" s="82">
        <v>1883</v>
      </c>
      <c r="AG71" s="74">
        <f>Tabla610[[#This Row],[pred]]</f>
        <v>361573.6391053886</v>
      </c>
    </row>
    <row r="72" spans="1:33" x14ac:dyDescent="0.3">
      <c r="A72" s="33">
        <v>44440</v>
      </c>
      <c r="B72">
        <v>1959</v>
      </c>
      <c r="N72" s="79">
        <v>44440</v>
      </c>
      <c r="O72" s="40">
        <f t="shared" si="10"/>
        <v>69</v>
      </c>
      <c r="P72" s="84">
        <f t="shared" ref="P72" si="38">P58</f>
        <v>209733</v>
      </c>
      <c r="Q72" s="74">
        <f>AI$4*Tabla610[[#This Row],[Receptive tourism]]/S60+(1-AI$4)*(Q71+R71)</f>
        <v>238717.90627572342</v>
      </c>
      <c r="R72" s="74">
        <f t="shared" si="14"/>
        <v>-46530.151129865219</v>
      </c>
      <c r="S72" s="74">
        <f t="shared" si="15"/>
        <v>0.96865632858634942</v>
      </c>
      <c r="T72" s="2">
        <f t="shared" si="8"/>
        <v>302242.34606091387</v>
      </c>
      <c r="U72">
        <f t="shared" si="16"/>
        <v>58215.346060913871</v>
      </c>
      <c r="V72">
        <f t="shared" si="17"/>
        <v>3389026516.99196</v>
      </c>
      <c r="W72" s="17">
        <f t="shared" si="9"/>
        <v>92509.346060913871</v>
      </c>
      <c r="X72">
        <f>IF($P72=0,0,(ABS(($P72-Tabla6[[#This Row],[pred]])/$P72))*100/COUNT($N72:$N160))</f>
        <v>1.9058468909771753</v>
      </c>
      <c r="Z72" s="70">
        <f t="shared" si="34"/>
        <v>69</v>
      </c>
      <c r="AA72" s="81">
        <v>1959</v>
      </c>
      <c r="AB72" s="114">
        <f>IF($T72=0,0,(ABS(($R72-Tabla610[[#This Row],[pred]])/$T72))*100/COUNT($R$15:$R$105))</f>
        <v>1.2680767120308949</v>
      </c>
      <c r="AC72" s="105">
        <f>Tabla6[[#This Row],[pred]]</f>
        <v>1879.1272876357323</v>
      </c>
      <c r="AD72" s="74"/>
      <c r="AE72" s="40">
        <f t="shared" si="35"/>
        <v>69</v>
      </c>
      <c r="AF72" s="81">
        <v>1959</v>
      </c>
      <c r="AG72" s="74">
        <f>Tabla610[[#This Row],[pred]]</f>
        <v>302242.34606091387</v>
      </c>
    </row>
    <row r="73" spans="1:33" x14ac:dyDescent="0.3">
      <c r="A73" s="33">
        <v>44470</v>
      </c>
      <c r="B73">
        <v>9770</v>
      </c>
      <c r="N73" s="80">
        <v>44470</v>
      </c>
      <c r="O73" s="40">
        <f t="shared" si="10"/>
        <v>70</v>
      </c>
      <c r="P73" s="84">
        <f t="shared" ref="P73" si="39">P59</f>
        <v>197587</v>
      </c>
      <c r="Q73" s="74">
        <f>AI$4*Tabla610[[#This Row],[Receptive tourism]]/S61+(1-AI$4)*(Q72+R72)</f>
        <v>187400.49540350353</v>
      </c>
      <c r="R73" s="74">
        <f t="shared" si="14"/>
        <v>-48923.781001042553</v>
      </c>
      <c r="S73" s="74">
        <f t="shared" si="15"/>
        <v>1.0681770091413492</v>
      </c>
      <c r="T73" s="2">
        <f t="shared" si="8"/>
        <v>233733.91235116025</v>
      </c>
      <c r="U73">
        <f t="shared" si="16"/>
        <v>17084.912351160252</v>
      </c>
      <c r="V73">
        <f t="shared" si="17"/>
        <v>291894230.04682815</v>
      </c>
      <c r="W73" s="17">
        <f t="shared" si="9"/>
        <v>36146.912351160252</v>
      </c>
      <c r="X73">
        <f>IF($P73=0,0,(ABS(($P73-Tabla6[[#This Row],[pred]])/$P73))*100/COUNT($N73:$N161))</f>
        <v>1.9386926612465119</v>
      </c>
      <c r="Z73" s="70">
        <f t="shared" si="34"/>
        <v>70</v>
      </c>
      <c r="AA73" s="82">
        <v>9770</v>
      </c>
      <c r="AB73" s="115">
        <f>IF($T73=0,0,(ABS(($R73-Tabla610[[#This Row],[pred]])/$T73))*100/COUNT($R$15:$R$105))</f>
        <v>1.3289164876123021</v>
      </c>
      <c r="AC73" s="105">
        <f>Tabla6[[#This Row],[pred]]</f>
        <v>2226.1619025655673</v>
      </c>
      <c r="AD73" s="74"/>
      <c r="AE73" s="40">
        <f t="shared" si="35"/>
        <v>70</v>
      </c>
      <c r="AF73" s="82">
        <v>9770</v>
      </c>
      <c r="AG73" s="74">
        <f>Tabla610[[#This Row],[pred]]</f>
        <v>233733.91235116025</v>
      </c>
    </row>
    <row r="74" spans="1:33" x14ac:dyDescent="0.3">
      <c r="A74" s="33">
        <v>44501</v>
      </c>
      <c r="B74">
        <v>35285</v>
      </c>
      <c r="N74" s="79">
        <v>44501</v>
      </c>
      <c r="O74" s="40">
        <f t="shared" si="10"/>
        <v>71</v>
      </c>
      <c r="P74" s="84">
        <f t="shared" ref="P74" si="40">P60</f>
        <v>244027</v>
      </c>
      <c r="Q74" s="74">
        <f>AI$4*Tabla610[[#This Row],[Receptive tourism]]/S62+(1-AI$4)*(Q73+R73)</f>
        <v>169563.98144038155</v>
      </c>
      <c r="R74" s="74">
        <f t="shared" si="14"/>
        <v>-33380.147482082262</v>
      </c>
      <c r="S74" s="74">
        <f t="shared" si="15"/>
        <v>1.3276594597555471</v>
      </c>
      <c r="T74" s="2">
        <f t="shared" si="8"/>
        <v>182937.32654213466</v>
      </c>
      <c r="U74">
        <f t="shared" si="16"/>
        <v>42749.673457865341</v>
      </c>
      <c r="V74">
        <f t="shared" si="17"/>
        <v>1827534580.7541165</v>
      </c>
      <c r="W74" s="17">
        <f t="shared" si="9"/>
        <v>61089.673457865341</v>
      </c>
      <c r="X74">
        <f>IF($P74=0,0,(ABS(($P74-Tabla6[[#This Row],[pred]])/$P74))*100/COUNT($N74:$N162))</f>
        <v>1.8408860162222056</v>
      </c>
      <c r="Z74" s="70">
        <f t="shared" si="34"/>
        <v>71</v>
      </c>
      <c r="AA74" s="81">
        <v>35285</v>
      </c>
      <c r="AB74" s="114">
        <f>IF($T74=0,0,(ABS(($R74-Tabla610[[#This Row],[pred]])/$T74))*100/COUNT($R$15:$R$105))</f>
        <v>1.2994150204877488</v>
      </c>
      <c r="AC74" s="105">
        <f>Tabla6[[#This Row],[pred]]</f>
        <v>19414.0540596719</v>
      </c>
      <c r="AD74" s="74"/>
      <c r="AE74" s="40">
        <f t="shared" si="35"/>
        <v>71</v>
      </c>
      <c r="AF74" s="81">
        <v>35285</v>
      </c>
      <c r="AG74" s="74">
        <f>Tabla610[[#This Row],[pred]]</f>
        <v>182937.32654213466</v>
      </c>
    </row>
    <row r="75" spans="1:33" x14ac:dyDescent="0.3">
      <c r="A75" s="33">
        <v>44531</v>
      </c>
      <c r="B75">
        <v>53384</v>
      </c>
      <c r="N75" s="80">
        <v>44531</v>
      </c>
      <c r="O75" s="40">
        <f t="shared" si="10"/>
        <v>72</v>
      </c>
      <c r="P75" s="84">
        <f t="shared" ref="P75" si="41">P61</f>
        <v>216649</v>
      </c>
      <c r="Q75" s="74">
        <f>AI$4*Tabla610[[#This Row],[Receptive tourism]]/S63+(1-AI$4)*(Q74+R74)</f>
        <v>150089.51218197693</v>
      </c>
      <c r="R75" s="74">
        <f t="shared" si="14"/>
        <v>-26427.308370243445</v>
      </c>
      <c r="S75" s="74">
        <f t="shared" si="15"/>
        <v>1.3822672561756066</v>
      </c>
      <c r="T75" s="2">
        <f t="shared" si="8"/>
        <v>173447.36595658638</v>
      </c>
      <c r="U75">
        <f t="shared" si="16"/>
        <v>52207.634043413622</v>
      </c>
      <c r="V75">
        <f t="shared" si="17"/>
        <v>2725637052.4110007</v>
      </c>
      <c r="W75" s="17">
        <f t="shared" si="9"/>
        <v>43201.634043413622</v>
      </c>
      <c r="X75">
        <f>IF($P75=0,0,(ABS(($P75-Tabla6[[#This Row],[pred]])/$P75))*100/COUNT($N75:$N163))</f>
        <v>1.4554102909097375</v>
      </c>
      <c r="Z75" s="70">
        <f t="shared" si="34"/>
        <v>72</v>
      </c>
      <c r="AA75" s="82">
        <v>53384</v>
      </c>
      <c r="AB75" s="115">
        <f>IF($T75=0,0,(ABS(($R75-Tabla610[[#This Row],[pred]])/$T75))*100/COUNT($R$15:$R$105))</f>
        <v>1.2663351677259183</v>
      </c>
      <c r="AC75" s="105">
        <f>Tabla6[[#This Row],[pred]]</f>
        <v>62145.539783501175</v>
      </c>
      <c r="AD75" s="74"/>
      <c r="AE75" s="40">
        <f t="shared" si="35"/>
        <v>72</v>
      </c>
      <c r="AF75" s="82">
        <v>53384</v>
      </c>
      <c r="AG75" s="74">
        <f>Tabla610[[#This Row],[pred]]</f>
        <v>173447.36595658638</v>
      </c>
    </row>
    <row r="76" spans="1:33" x14ac:dyDescent="0.3">
      <c r="A76" s="33">
        <v>44562</v>
      </c>
      <c r="B76">
        <v>65077</v>
      </c>
      <c r="N76" s="79">
        <v>44562</v>
      </c>
      <c r="O76" s="40">
        <f t="shared" si="10"/>
        <v>73</v>
      </c>
      <c r="P76" s="84">
        <f t="shared" ref="P76" si="42">P62</f>
        <v>225687</v>
      </c>
      <c r="Q76" s="74">
        <f>AI$4*Tabla610[[#This Row],[Receptive tourism]]/S64+(1-AI$4)*(Q75+R75)</f>
        <v>150431.23937419703</v>
      </c>
      <c r="R76" s="74">
        <f t="shared" si="14"/>
        <v>-13042.790589011671</v>
      </c>
      <c r="S76" s="74">
        <f t="shared" si="15"/>
        <v>1.3869467655880809</v>
      </c>
      <c r="T76" s="2">
        <f t="shared" si="8"/>
        <v>123377.5131057493</v>
      </c>
      <c r="U76">
        <f t="shared" si="16"/>
        <v>123948.4868942507</v>
      </c>
      <c r="V76">
        <f t="shared" si="17"/>
        <v>15363227403.374237</v>
      </c>
      <c r="W76" s="17">
        <f t="shared" si="9"/>
        <v>102309.4868942507</v>
      </c>
      <c r="X76">
        <f>IF($P76=0,0,(ABS(($P76-Tabla6[[#This Row],[pred]])/$P76))*100/COUNT($N76:$N164))</f>
        <v>1.4193087379335692</v>
      </c>
      <c r="Z76" s="70">
        <f t="shared" si="34"/>
        <v>73</v>
      </c>
      <c r="AA76" s="81">
        <v>65077</v>
      </c>
      <c r="AB76" s="114">
        <f>IF($T76=0,0,(ABS(($R76-Tabla610[[#This Row],[pred]])/$T76))*100/COUNT($R$15:$R$105))</f>
        <v>1.2150708655806801</v>
      </c>
      <c r="AC76" s="105">
        <f>Tabla6[[#This Row],[pred]]</f>
        <v>71933.625053753582</v>
      </c>
      <c r="AD76" s="74"/>
      <c r="AE76" s="40">
        <f t="shared" si="35"/>
        <v>73</v>
      </c>
      <c r="AF76" s="81">
        <v>65077</v>
      </c>
      <c r="AG76" s="74">
        <f>Tabla610[[#This Row],[pred]]</f>
        <v>123377.5131057493</v>
      </c>
    </row>
    <row r="77" spans="1:33" x14ac:dyDescent="0.3">
      <c r="A77" s="33">
        <v>44593</v>
      </c>
      <c r="B77">
        <v>54803</v>
      </c>
      <c r="N77" s="80">
        <v>44593</v>
      </c>
      <c r="O77" s="40">
        <f t="shared" si="10"/>
        <v>74</v>
      </c>
      <c r="P77" s="84">
        <f t="shared" ref="P77" si="43">P63</f>
        <v>225655</v>
      </c>
      <c r="Q77" s="74">
        <f>AI$4*Tabla610[[#This Row],[Receptive tourism]]/S65+(1-AI$4)*(Q76+R76)</f>
        <v>181782.07119178533</v>
      </c>
      <c r="R77" s="74">
        <f t="shared" si="14"/>
        <v>9154.0206142883162</v>
      </c>
      <c r="S77" s="74">
        <f t="shared" si="15"/>
        <v>1.1195234390713928</v>
      </c>
      <c r="T77" s="2">
        <f t="shared" si="8"/>
        <v>120313.00217722091</v>
      </c>
      <c r="U77">
        <f t="shared" si="16"/>
        <v>186068.99782277909</v>
      </c>
      <c r="V77">
        <f t="shared" si="17"/>
        <v>34621671950.773369</v>
      </c>
      <c r="W77" s="17">
        <f t="shared" si="9"/>
        <v>105341.99782277909</v>
      </c>
      <c r="X77">
        <f>IF($P77=0,0,(ABS(($P77-Tabla6[[#This Row],[pred]])/$P77))*100/COUNT($N77:$N165))</f>
        <v>1.5215204185682683</v>
      </c>
      <c r="Z77" s="70">
        <f t="shared" si="34"/>
        <v>74</v>
      </c>
      <c r="AA77" s="82">
        <v>54803</v>
      </c>
      <c r="AB77" s="115">
        <f>IF($T77=0,0,(ABS(($R77-Tabla610[[#This Row],[pred]])/$T77))*100/COUNT($R$15:$R$105))</f>
        <v>1.0152911554172908</v>
      </c>
      <c r="AC77" s="105">
        <f>Tabla6[[#This Row],[pred]]</f>
        <v>64285.815675549398</v>
      </c>
      <c r="AD77" s="74"/>
      <c r="AE77" s="40">
        <f t="shared" si="35"/>
        <v>74</v>
      </c>
      <c r="AF77" s="82">
        <v>54803</v>
      </c>
      <c r="AG77" s="74">
        <f>Tabla610[[#This Row],[pred]]</f>
        <v>120313.00217722091</v>
      </c>
    </row>
    <row r="78" spans="1:33" x14ac:dyDescent="0.3">
      <c r="A78" s="33">
        <v>44621</v>
      </c>
      <c r="B78">
        <v>86454</v>
      </c>
      <c r="N78" s="79">
        <v>44621</v>
      </c>
      <c r="O78" s="40">
        <f t="shared" si="10"/>
        <v>75</v>
      </c>
      <c r="P78" s="84">
        <f t="shared" ref="P78" si="44">P64</f>
        <v>247326</v>
      </c>
      <c r="Q78" s="74">
        <f>AI$4*Tabla610[[#This Row],[Receptive tourism]]/S66+(1-AI$4)*(Q77+R77)</f>
        <v>236681.94161396188</v>
      </c>
      <c r="R78" s="74">
        <f t="shared" si="14"/>
        <v>32026.945518232435</v>
      </c>
      <c r="S78" s="74">
        <f t="shared" si="15"/>
        <v>0.96034304745434551</v>
      </c>
      <c r="T78" s="2">
        <f t="shared" si="8"/>
        <v>137944.48926394447</v>
      </c>
      <c r="U78">
        <f t="shared" si="16"/>
        <v>170526.51073605553</v>
      </c>
      <c r="V78">
        <f t="shared" si="17"/>
        <v>29079290863.81406</v>
      </c>
      <c r="W78" s="17">
        <f t="shared" si="9"/>
        <v>109381.51073605553</v>
      </c>
      <c r="X78">
        <f>IF($P78=0,0,(ABS(($P78-Tabla6[[#This Row],[pred]])/$P78))*100/COUNT($N78:$N166))</f>
        <v>1.6975056347943449</v>
      </c>
      <c r="Z78" s="70">
        <f t="shared" si="34"/>
        <v>75</v>
      </c>
      <c r="AA78" s="81">
        <v>86454</v>
      </c>
      <c r="AB78" s="114">
        <f>IF($T78=0,0,(ABS(($R78-Tabla610[[#This Row],[pred]])/$T78))*100/COUNT($R$15:$R$105))</f>
        <v>0.84376625580425135</v>
      </c>
      <c r="AC78" s="105">
        <f>Tabla6[[#This Row],[pred]]</f>
        <v>54200.851829672749</v>
      </c>
      <c r="AD78" s="74"/>
      <c r="AE78" s="40">
        <f t="shared" si="35"/>
        <v>75</v>
      </c>
      <c r="AF78" s="81">
        <v>86454</v>
      </c>
      <c r="AG78" s="74">
        <f>Tabla610[[#This Row],[pred]]</f>
        <v>137944.48926394447</v>
      </c>
    </row>
    <row r="79" spans="1:33" x14ac:dyDescent="0.3">
      <c r="A79" s="33">
        <v>44652</v>
      </c>
      <c r="B79">
        <v>117027</v>
      </c>
      <c r="N79" s="80">
        <v>44652</v>
      </c>
      <c r="O79" s="40">
        <f t="shared" si="10"/>
        <v>76</v>
      </c>
      <c r="P79" s="82">
        <v>117027</v>
      </c>
      <c r="Q79" s="74">
        <f>AI$4*Tabla610[[#This Row],[Receptive tourism]]/S67+(1-AI$4)*(Q78+R78)</f>
        <v>215346.00087664268</v>
      </c>
      <c r="R79" s="74">
        <f t="shared" si="14"/>
        <v>5345.5023904566133</v>
      </c>
      <c r="S79" s="74">
        <f t="shared" si="15"/>
        <v>0.63295063150532749</v>
      </c>
      <c r="T79" s="2">
        <f t="shared" si="8"/>
        <v>190370.87299222249</v>
      </c>
      <c r="U79">
        <f t="shared" si="16"/>
        <v>64634.127007777512</v>
      </c>
      <c r="V79">
        <f t="shared" si="17"/>
        <v>4177570374.0575142</v>
      </c>
      <c r="W79" s="17">
        <f t="shared" si="9"/>
        <v>73343.872992222488</v>
      </c>
      <c r="X79">
        <f>IF($P79=0,0,(ABS(($P79-Tabla6[[#This Row],[pred]])/$P79))*100/COUNT($N79:$N167))</f>
        <v>0.29574344677451248</v>
      </c>
      <c r="Z79" s="70">
        <f t="shared" si="34"/>
        <v>76</v>
      </c>
      <c r="AA79" s="82">
        <v>117027</v>
      </c>
      <c r="AB79" s="115">
        <f>IF($T79=0,0,(ABS(($R79-Tabla610[[#This Row],[pred]])/$T79))*100/COUNT($R$15:$R$105))</f>
        <v>1.0680446009572604</v>
      </c>
      <c r="AC79" s="105">
        <f>Tabla6[[#This Row],[pred]]</f>
        <v>101452.51424444361</v>
      </c>
      <c r="AD79" s="74"/>
      <c r="AE79" s="40">
        <f t="shared" si="35"/>
        <v>76</v>
      </c>
      <c r="AF79" s="82">
        <v>117027</v>
      </c>
      <c r="AG79" s="74">
        <f>Tabla610[[#This Row],[pred]]</f>
        <v>190370.87299222249</v>
      </c>
    </row>
    <row r="80" spans="1:33" x14ac:dyDescent="0.3">
      <c r="A80" s="33">
        <v>44682</v>
      </c>
      <c r="B80">
        <v>112595</v>
      </c>
      <c r="N80" s="79">
        <v>44682</v>
      </c>
      <c r="O80" s="40">
        <f t="shared" si="10"/>
        <v>77</v>
      </c>
      <c r="P80" s="81">
        <v>112595</v>
      </c>
      <c r="Q80" s="74">
        <f>AI$4*Tabla610[[#This Row],[Receptive tourism]]/S68+(1-AI$4)*(Q79+R79)</f>
        <v>189809.79114521769</v>
      </c>
      <c r="R80" s="74">
        <f t="shared" ref="R80:R111" si="45">AJ$4*(Q80-Q79)+(1-AJ$4)*R79</f>
        <v>-10095.353670484186</v>
      </c>
      <c r="S80" s="74">
        <f t="shared" ref="S80:S111" si="46">AK$4*(P80/Q80)+(1-AK$4)*S68</f>
        <v>0.65083211535479157</v>
      </c>
      <c r="T80" s="2">
        <f t="shared" si="8"/>
        <v>146867.44032225481</v>
      </c>
      <c r="U80">
        <f t="shared" si="16"/>
        <v>114994.55967774519</v>
      </c>
      <c r="V80">
        <f t="shared" si="17"/>
        <v>13223748755.478498</v>
      </c>
      <c r="W80" s="17">
        <f t="shared" si="9"/>
        <v>34272.440322254814</v>
      </c>
      <c r="X80">
        <f>IF($P80=0,0,(ABS(($P80-Tabla6[[#This Row],[pred]])/$P80))*100/COUNT($N80:$N168))</f>
        <v>0.83230558812149336</v>
      </c>
      <c r="Z80" s="70">
        <f t="shared" si="34"/>
        <v>77</v>
      </c>
      <c r="AA80" s="81">
        <v>112595</v>
      </c>
      <c r="AB80" s="114">
        <f>IF($T80=0,0,(ABS(($R80-Tabla610[[#This Row],[pred]])/$T80))*100/COUNT($R$15:$R$105))</f>
        <v>1.1744372096820075</v>
      </c>
      <c r="AC80" s="105">
        <f>Tabla6[[#This Row],[pred]]</f>
        <v>153828.9169855974</v>
      </c>
      <c r="AD80" s="74"/>
      <c r="AE80" s="40">
        <f t="shared" si="35"/>
        <v>77</v>
      </c>
      <c r="AF80" s="81">
        <v>112595</v>
      </c>
      <c r="AG80" s="74">
        <f>Tabla610[[#This Row],[pred]]</f>
        <v>146867.44032225481</v>
      </c>
    </row>
    <row r="81" spans="1:33" x14ac:dyDescent="0.3">
      <c r="A81" s="33">
        <v>44713</v>
      </c>
      <c r="B81">
        <v>104309</v>
      </c>
      <c r="N81" s="80">
        <v>44713</v>
      </c>
      <c r="O81" s="40">
        <f t="shared" si="10"/>
        <v>78</v>
      </c>
      <c r="P81" s="82">
        <v>104309</v>
      </c>
      <c r="Q81" s="74">
        <f>AI$4*Tabla610[[#This Row],[Receptive tourism]]/S69+(1-AI$4)*(Q80+R80)</f>
        <v>168227.58443509188</v>
      </c>
      <c r="R81" s="74">
        <f t="shared" si="45"/>
        <v>-15838.780190305</v>
      </c>
      <c r="S81" s="74">
        <f t="shared" si="46"/>
        <v>0.64276723113743617</v>
      </c>
      <c r="T81" s="2">
        <f t="shared" ref="T81:T116" si="47">(Q80+R80)*S70</f>
        <v>143373.30624653597</v>
      </c>
      <c r="U81">
        <f t="shared" si="16"/>
        <v>96320.693753464031</v>
      </c>
      <c r="V81">
        <f t="shared" si="17"/>
        <v>9277676045.1486053</v>
      </c>
      <c r="W81" s="17">
        <f t="shared" ref="W81:W105" si="48">ABS(P81-T81)</f>
        <v>39064.306246535969</v>
      </c>
      <c r="X81">
        <f>IF($P81=0,0,(ABS(($P81-Tabla6[[#This Row],[pred]])/$P81))*100/COUNT($N81:$N169))</f>
        <v>2.388904979946491E-2</v>
      </c>
      <c r="Z81" s="70">
        <f t="shared" si="34"/>
        <v>78</v>
      </c>
      <c r="AA81" s="82">
        <v>104309</v>
      </c>
      <c r="AB81" s="115">
        <f>IF($T81=0,0,(ABS(($R81-Tabla610[[#This Row],[pred]])/$T81))*100/COUNT($R$15:$R$105))</f>
        <v>1.2202992406615332</v>
      </c>
      <c r="AC81" s="105">
        <f>Tabla6[[#This Row],[pred]]</f>
        <v>103237.50755492107</v>
      </c>
      <c r="AD81" s="74"/>
      <c r="AE81" s="40">
        <f t="shared" si="35"/>
        <v>78</v>
      </c>
      <c r="AF81" s="82">
        <v>104309</v>
      </c>
      <c r="AG81" s="74">
        <f>Tabla610[[#This Row],[pred]]</f>
        <v>143373.30624653597</v>
      </c>
    </row>
    <row r="82" spans="1:33" x14ac:dyDescent="0.3">
      <c r="A82" s="33">
        <v>44743</v>
      </c>
      <c r="B82">
        <v>147686</v>
      </c>
      <c r="N82" s="79">
        <v>44743</v>
      </c>
      <c r="O82" s="40">
        <f t="shared" si="10"/>
        <v>79</v>
      </c>
      <c r="P82" s="81">
        <v>147686</v>
      </c>
      <c r="Q82" s="74">
        <f>AI$4*Tabla610[[#This Row],[Receptive tourism]]/S70+(1-AI$4)*(Q81+R81)</f>
        <v>168754.54148074333</v>
      </c>
      <c r="R82" s="74">
        <f t="shared" si="45"/>
        <v>-7655.911572326776</v>
      </c>
      <c r="S82" s="74">
        <f t="shared" si="46"/>
        <v>0.83646838151037728</v>
      </c>
      <c r="T82" s="2">
        <f t="shared" si="47"/>
        <v>127512.88695842515</v>
      </c>
      <c r="U82">
        <f t="shared" si="16"/>
        <v>134349.11304157483</v>
      </c>
      <c r="V82">
        <f t="shared" si="17"/>
        <v>18049684175.057854</v>
      </c>
      <c r="W82" s="17">
        <f t="shared" si="48"/>
        <v>20173.113041574848</v>
      </c>
      <c r="X82">
        <f>IF($P82=0,0,(ABS(($P82-Tabla6[[#This Row],[pred]])/$P82))*100/COUNT($N82:$N170))</f>
        <v>0.20126657895804939</v>
      </c>
      <c r="Z82" s="70">
        <f t="shared" si="34"/>
        <v>79</v>
      </c>
      <c r="AA82" s="81">
        <v>147686</v>
      </c>
      <c r="AB82" s="114">
        <f>IF($T82=0,0,(ABS(($R82-Tabla610[[#This Row],[pred]])/$T82))*100/COUNT($R$15:$R$105))</f>
        <v>1.164879446977106</v>
      </c>
      <c r="AC82" s="105">
        <f>Tabla6[[#This Row],[pred]]</f>
        <v>135201.81248840064</v>
      </c>
      <c r="AD82" s="74"/>
      <c r="AE82" s="40">
        <f t="shared" si="35"/>
        <v>79</v>
      </c>
      <c r="AF82" s="81">
        <v>147686</v>
      </c>
      <c r="AG82" s="74">
        <f>Tabla610[[#This Row],[pred]]</f>
        <v>127512.88695842515</v>
      </c>
    </row>
    <row r="83" spans="1:33" x14ac:dyDescent="0.3">
      <c r="A83" s="33">
        <v>44774</v>
      </c>
      <c r="B83">
        <v>143140</v>
      </c>
      <c r="N83" s="80">
        <v>44774</v>
      </c>
      <c r="O83" s="40">
        <f t="shared" ref="O83:O123" si="49">O82+1</f>
        <v>80</v>
      </c>
      <c r="P83" s="82">
        <v>143140</v>
      </c>
      <c r="Q83" s="74">
        <f>AI$4*Tabla610[[#This Row],[Receptive tourism]]/S71+(1-AI$4)*(Q82+R82)</f>
        <v>166081.58529920789</v>
      </c>
      <c r="R83" s="74">
        <f t="shared" si="45"/>
        <v>-5164.4338769311071</v>
      </c>
      <c r="S83" s="74">
        <f t="shared" si="46"/>
        <v>0.84931288655938209</v>
      </c>
      <c r="T83" s="2">
        <f t="shared" si="47"/>
        <v>156049.20738737783</v>
      </c>
      <c r="U83">
        <f t="shared" si="16"/>
        <v>83644.792612622172</v>
      </c>
      <c r="V83">
        <f t="shared" si="17"/>
        <v>6996451331.2085724</v>
      </c>
      <c r="W83" s="17">
        <f t="shared" si="48"/>
        <v>12909.207387377828</v>
      </c>
      <c r="X83">
        <f>IF($P83=0,0,(ABS(($P83-Tabla6[[#This Row],[pred]])/$P83))*100/COUNT($N83:$N171))</f>
        <v>8.6279946324799447E-2</v>
      </c>
      <c r="Z83" s="70">
        <f t="shared" si="34"/>
        <v>80</v>
      </c>
      <c r="AA83" s="82">
        <v>143140</v>
      </c>
      <c r="AB83" s="115">
        <f>IF($T83=0,0,(ABS(($R83-Tabla610[[#This Row],[pred]])/$T83))*100/COUNT($R$15:$R$105))</f>
        <v>1.1352691276631643</v>
      </c>
      <c r="AC83" s="105">
        <f>Tabla6[[#This Row],[pred]]</f>
        <v>148203.54572194204</v>
      </c>
      <c r="AD83" s="74"/>
      <c r="AE83" s="40">
        <f t="shared" si="35"/>
        <v>80</v>
      </c>
      <c r="AF83" s="82">
        <v>143140</v>
      </c>
      <c r="AG83" s="74">
        <f>Tabla610[[#This Row],[pred]]</f>
        <v>156049.20738737783</v>
      </c>
    </row>
    <row r="84" spans="1:33" x14ac:dyDescent="0.3">
      <c r="A84" s="33">
        <v>44805</v>
      </c>
      <c r="B84">
        <v>147480</v>
      </c>
      <c r="N84" s="79">
        <v>44805</v>
      </c>
      <c r="O84" s="40">
        <f t="shared" si="49"/>
        <v>81</v>
      </c>
      <c r="P84" s="81">
        <v>147480</v>
      </c>
      <c r="Q84" s="74">
        <f>AI$4*Tabla610[[#This Row],[Receptive tourism]]/S72+(1-AI$4)*(Q83+R83)</f>
        <v>156584.64625218947</v>
      </c>
      <c r="R84" s="74">
        <f t="shared" si="45"/>
        <v>-7330.6864619747612</v>
      </c>
      <c r="S84" s="74">
        <f t="shared" si="46"/>
        <v>0.95525556212525253</v>
      </c>
      <c r="T84" s="2">
        <f t="shared" si="47"/>
        <v>171888.0015257932</v>
      </c>
      <c r="U84">
        <f t="shared" ref="U84:U115" si="50">ABS(P72-T84)</f>
        <v>37844.998474206805</v>
      </c>
      <c r="V84">
        <f t="shared" ref="V84:V115" si="51">(P72-T84)^2</f>
        <v>1432243909.5127153</v>
      </c>
      <c r="W84" s="17">
        <f t="shared" si="48"/>
        <v>24408.001525793195</v>
      </c>
      <c r="X84">
        <f>IF($P84=0,0,(ABS(($P84-Tabla6[[#This Row],[pred]])/$P84))*100/COUNT($N84:$N172))</f>
        <v>5.652185393863722E-2</v>
      </c>
      <c r="Z84" s="70">
        <f t="shared" si="34"/>
        <v>81</v>
      </c>
      <c r="AA84" s="81">
        <v>147480</v>
      </c>
      <c r="AB84" s="114">
        <f>IF($T84=0,0,(ABS(($R84-Tabla610[[#This Row],[pred]])/$T84))*100/COUNT($R$15:$R$105))</f>
        <v>1.1457670775456563</v>
      </c>
      <c r="AC84" s="105">
        <f>Tabla6[[#This Row],[pred]]</f>
        <v>150814.33720754809</v>
      </c>
      <c r="AD84" s="74"/>
      <c r="AE84" s="40">
        <f t="shared" si="35"/>
        <v>81</v>
      </c>
      <c r="AF84" s="81">
        <v>147480</v>
      </c>
      <c r="AG84" s="74">
        <f>Tabla610[[#This Row],[pred]]</f>
        <v>171888.0015257932</v>
      </c>
    </row>
    <row r="85" spans="1:33" x14ac:dyDescent="0.3">
      <c r="A85" s="33">
        <v>44835</v>
      </c>
      <c r="B85">
        <v>165092</v>
      </c>
      <c r="N85" s="80">
        <v>44835</v>
      </c>
      <c r="O85" s="40">
        <f t="shared" si="49"/>
        <v>82</v>
      </c>
      <c r="P85" s="82">
        <v>165092</v>
      </c>
      <c r="Q85" s="74">
        <f>AI$4*Tabla610[[#This Row],[Receptive tourism]]/S73+(1-AI$4)*(Q84+R84)</f>
        <v>151904.43418740144</v>
      </c>
      <c r="R85" s="74">
        <f t="shared" si="45"/>
        <v>-6005.4492633813989</v>
      </c>
      <c r="S85" s="74">
        <f t="shared" si="46"/>
        <v>1.0774959465033089</v>
      </c>
      <c r="T85" s="2">
        <f t="shared" si="47"/>
        <v>198158.43162145262</v>
      </c>
      <c r="U85">
        <f t="shared" si="50"/>
        <v>571.43162145261886</v>
      </c>
      <c r="V85">
        <f t="shared" si="51"/>
        <v>326534.09799596912</v>
      </c>
      <c r="W85" s="17">
        <f t="shared" si="48"/>
        <v>33066.431621452619</v>
      </c>
      <c r="X85">
        <f>IF($P85=0,0,(ABS(($P85-Tabla6[[#This Row],[pred]])/$P85))*100/COUNT($N85:$N173))</f>
        <v>3.2652471942168915E-3</v>
      </c>
      <c r="Z85" s="70">
        <f t="shared" si="34"/>
        <v>82</v>
      </c>
      <c r="AA85" s="82">
        <v>165092</v>
      </c>
      <c r="AB85" s="115">
        <f>IF($T85=0,0,(ABS(($R85-Tabla610[[#This Row],[pred]])/$T85))*100/COUNT($R$15:$R$105))</f>
        <v>1.1322047274215932</v>
      </c>
      <c r="AC85" s="105">
        <f>Tabla6[[#This Row],[pred]]</f>
        <v>165302.23581401719</v>
      </c>
      <c r="AD85" s="74"/>
      <c r="AE85" s="40">
        <f t="shared" si="35"/>
        <v>82</v>
      </c>
      <c r="AF85" s="82">
        <v>165092</v>
      </c>
      <c r="AG85" s="74">
        <f>Tabla610[[#This Row],[pred]]</f>
        <v>198158.43162145262</v>
      </c>
    </row>
    <row r="86" spans="1:33" x14ac:dyDescent="0.3">
      <c r="A86" s="33">
        <v>44866</v>
      </c>
      <c r="B86">
        <v>196077</v>
      </c>
      <c r="N86" s="79">
        <v>44866</v>
      </c>
      <c r="O86" s="40">
        <f t="shared" si="49"/>
        <v>83</v>
      </c>
      <c r="P86" s="81">
        <v>196077</v>
      </c>
      <c r="Q86" s="74">
        <f>AI$4*Tabla610[[#This Row],[Receptive tourism]]/S74+(1-AI$4)*(Q85+R85)</f>
        <v>146792.59980374595</v>
      </c>
      <c r="R86" s="74">
        <f t="shared" si="45"/>
        <v>-5558.6418235184419</v>
      </c>
      <c r="S86" s="74">
        <f t="shared" si="46"/>
        <v>1.3317005907459123</v>
      </c>
      <c r="T86" s="2">
        <f t="shared" si="47"/>
        <v>201671.38956973137</v>
      </c>
      <c r="U86">
        <f t="shared" si="50"/>
        <v>42355.610430268629</v>
      </c>
      <c r="V86">
        <f t="shared" si="51"/>
        <v>1793997734.9206808</v>
      </c>
      <c r="W86" s="17">
        <f t="shared" si="48"/>
        <v>5594.389569731371</v>
      </c>
      <c r="X86">
        <f>IF($P86=0,0,(ABS(($P86-Tabla6[[#This Row],[pred]])/$P86))*100/COUNT($N86:$N174))</f>
        <v>5.552184877674711E-2</v>
      </c>
      <c r="Z86" s="70">
        <f t="shared" si="34"/>
        <v>83</v>
      </c>
      <c r="AA86" s="81">
        <v>196077</v>
      </c>
      <c r="AB86" s="114">
        <f>IF($T86=0,0,(ABS(($R86-Tabla610[[#This Row],[pred]])/$T86))*100/COUNT($R$15:$R$105))</f>
        <v>1.1291899644724344</v>
      </c>
      <c r="AC86" s="105">
        <f>Tabla6[[#This Row],[pred]]</f>
        <v>191940.10813381267</v>
      </c>
      <c r="AD86" s="74"/>
      <c r="AE86" s="40">
        <f t="shared" si="35"/>
        <v>83</v>
      </c>
      <c r="AF86" s="81">
        <v>196077</v>
      </c>
      <c r="AG86" s="74">
        <f>Tabla610[[#This Row],[pred]]</f>
        <v>201671.38956973137</v>
      </c>
    </row>
    <row r="87" spans="1:33" x14ac:dyDescent="0.3">
      <c r="A87" s="33">
        <v>44896</v>
      </c>
      <c r="B87">
        <v>183609</v>
      </c>
      <c r="N87" s="80">
        <v>44896</v>
      </c>
      <c r="O87" s="40">
        <f t="shared" si="49"/>
        <v>84</v>
      </c>
      <c r="P87" s="82">
        <v>183609</v>
      </c>
      <c r="Q87" s="74">
        <f>AI$4*Tabla610[[#This Row],[Receptive tourism]]/S75+(1-AI$4)*(Q86+R86)</f>
        <v>137032.86172902811</v>
      </c>
      <c r="R87" s="74">
        <f t="shared" si="45"/>
        <v>-7659.1899491181412</v>
      </c>
      <c r="S87" s="74">
        <f t="shared" si="46"/>
        <v>1.3610787700168707</v>
      </c>
      <c r="T87" s="2">
        <f t="shared" si="47"/>
        <v>195883.98121187947</v>
      </c>
      <c r="U87">
        <f t="shared" si="50"/>
        <v>20765.018788120535</v>
      </c>
      <c r="V87">
        <f t="shared" si="51"/>
        <v>431186005.27099878</v>
      </c>
      <c r="W87" s="17">
        <f t="shared" si="48"/>
        <v>12274.981211879465</v>
      </c>
      <c r="X87">
        <f>IF($P87=0,0,(ABS(($P87-Tabla6[[#This Row],[pred]])/$P87))*100/COUNT($N87:$N175))</f>
        <v>0.47637304006487419</v>
      </c>
      <c r="Z87" s="70">
        <f t="shared" si="34"/>
        <v>84</v>
      </c>
      <c r="AA87" s="82">
        <v>183609</v>
      </c>
      <c r="AB87" s="115">
        <f>IF($T87=0,0,(ABS(($R87-Tabla610[[#This Row],[pred]])/$T87))*100/COUNT($R$15:$R$105))</f>
        <v>1.1418688403146973</v>
      </c>
      <c r="AC87" s="105">
        <f>Tabla6[[#This Row],[pred]]</f>
        <v>215971.55967991045</v>
      </c>
      <c r="AD87" s="74"/>
      <c r="AE87" s="40">
        <f t="shared" si="35"/>
        <v>84</v>
      </c>
      <c r="AF87" s="82">
        <v>183609</v>
      </c>
      <c r="AG87" s="74">
        <f>Tabla610[[#This Row],[pred]]</f>
        <v>195883.98121187947</v>
      </c>
    </row>
    <row r="88" spans="1:33" x14ac:dyDescent="0.3">
      <c r="A88" s="33">
        <v>44927</v>
      </c>
      <c r="B88">
        <v>239235</v>
      </c>
      <c r="N88" s="79">
        <v>44927</v>
      </c>
      <c r="O88" s="40">
        <f t="shared" si="49"/>
        <v>85</v>
      </c>
      <c r="P88" s="81">
        <v>239235</v>
      </c>
      <c r="Q88" s="74">
        <f>AI$4*Tabla610[[#This Row],[Receptive tourism]]/S76+(1-AI$4)*(Q87+R87)</f>
        <v>150932.03503375978</v>
      </c>
      <c r="R88" s="74">
        <f t="shared" si="45"/>
        <v>3119.9916778067627</v>
      </c>
      <c r="S88" s="74">
        <f t="shared" si="46"/>
        <v>1.4859989720319018</v>
      </c>
      <c r="T88" s="2">
        <f t="shared" si="47"/>
        <v>144836.85795633841</v>
      </c>
      <c r="U88">
        <f t="shared" si="50"/>
        <v>80850.142043661588</v>
      </c>
      <c r="V88">
        <f t="shared" si="51"/>
        <v>6536745468.4802551</v>
      </c>
      <c r="W88" s="17">
        <f t="shared" si="48"/>
        <v>94398.142043661588</v>
      </c>
      <c r="X88">
        <f>IF($P88=0,0,(ABS(($P88-Tabla6[[#This Row],[pred]])/$P88))*100/COUNT($N88:$N176))</f>
        <v>0.84574653565521629</v>
      </c>
      <c r="Z88" s="70">
        <f t="shared" si="34"/>
        <v>85</v>
      </c>
      <c r="AA88" s="81">
        <v>239235</v>
      </c>
      <c r="AB88" s="114">
        <f>IF($T88=0,0,(ABS(($R88-Tabla610[[#This Row],[pred]])/$T88))*100/COUNT($R$15:$R$105))</f>
        <v>1.0752292081152763</v>
      </c>
      <c r="AC88" s="105">
        <f>Tabla6[[#This Row],[pred]]</f>
        <v>166395.41791530876</v>
      </c>
      <c r="AD88" s="74"/>
      <c r="AE88" s="40">
        <f t="shared" si="35"/>
        <v>85</v>
      </c>
      <c r="AF88" s="81">
        <v>239235</v>
      </c>
      <c r="AG88" s="74">
        <f>Tabla610[[#This Row],[pred]]</f>
        <v>144836.85795633841</v>
      </c>
    </row>
    <row r="89" spans="1:33" x14ac:dyDescent="0.3">
      <c r="A89" s="33">
        <v>44958</v>
      </c>
      <c r="B89">
        <v>205935</v>
      </c>
      <c r="N89" s="80">
        <v>44958</v>
      </c>
      <c r="O89" s="40">
        <f t="shared" si="49"/>
        <v>86</v>
      </c>
      <c r="P89" s="82">
        <v>205935</v>
      </c>
      <c r="Q89" s="74">
        <f>AI$4*Tabla610[[#This Row],[Receptive tourism]]/S77+(1-AI$4)*(Q88+R88)</f>
        <v>169000.41639767768</v>
      </c>
      <c r="R89" s="74">
        <f t="shared" si="45"/>
        <v>10594.186520862331</v>
      </c>
      <c r="S89" s="74">
        <f t="shared" si="46"/>
        <v>1.16903536628048</v>
      </c>
      <c r="T89" s="2">
        <f t="shared" si="47"/>
        <v>147942.79279870406</v>
      </c>
      <c r="U89">
        <f t="shared" si="50"/>
        <v>77712.20720129594</v>
      </c>
      <c r="V89">
        <f t="shared" si="51"/>
        <v>6039187148.0971527</v>
      </c>
      <c r="W89" s="17">
        <f t="shared" si="48"/>
        <v>57992.20720129594</v>
      </c>
      <c r="X89">
        <f>IF($P89=0,0,(ABS(($P89-Tabla6[[#This Row],[pred]])/$P89))*100/COUNT($N89:$N177))</f>
        <v>0.54017591744614957</v>
      </c>
      <c r="Z89" s="70">
        <f t="shared" si="34"/>
        <v>86</v>
      </c>
      <c r="AA89" s="82">
        <v>205935</v>
      </c>
      <c r="AB89" s="115">
        <f>IF($T89=0,0,(ABS(($R89-Tabla610[[#This Row],[pred]])/$T89))*100/COUNT($R$15:$R$105))</f>
        <v>1.0202087679703229</v>
      </c>
      <c r="AC89" s="105">
        <f>Tabla6[[#This Row],[pred]]</f>
        <v>244869.39464574549</v>
      </c>
      <c r="AD89" s="74"/>
      <c r="AE89" s="40">
        <f t="shared" si="35"/>
        <v>86</v>
      </c>
      <c r="AF89" s="82">
        <v>205935</v>
      </c>
      <c r="AG89" s="74">
        <f>Tabla610[[#This Row],[pred]]</f>
        <v>147942.79279870406</v>
      </c>
    </row>
    <row r="90" spans="1:33" x14ac:dyDescent="0.3">
      <c r="A90" s="33">
        <v>44986</v>
      </c>
      <c r="B90">
        <v>221206</v>
      </c>
      <c r="N90" s="79">
        <v>44986</v>
      </c>
      <c r="O90" s="40">
        <f t="shared" si="49"/>
        <v>87</v>
      </c>
      <c r="P90" s="81">
        <v>221206</v>
      </c>
      <c r="Q90" s="74">
        <f>AI$4*Tabla610[[#This Row],[Receptive tourism]]/S78+(1-AI$4)*(Q89+R89)</f>
        <v>204967.60470995092</v>
      </c>
      <c r="R90" s="74">
        <f t="shared" si="45"/>
        <v>23280.687416567787</v>
      </c>
      <c r="S90" s="74">
        <f t="shared" si="46"/>
        <v>1.0197836256323201</v>
      </c>
      <c r="T90" s="2">
        <f t="shared" si="47"/>
        <v>113674.51733223844</v>
      </c>
      <c r="U90">
        <f t="shared" si="50"/>
        <v>133651.48266776156</v>
      </c>
      <c r="V90">
        <f t="shared" si="51"/>
        <v>17862718819.29097</v>
      </c>
      <c r="W90" s="17">
        <f t="shared" si="48"/>
        <v>107531.48266776156</v>
      </c>
      <c r="X90">
        <f>IF($P90=0,0,(ABS(($P90-Tabla6[[#This Row],[pred]])/$P90))*100/COUNT($N90:$N178))</f>
        <v>0.16087656519045518</v>
      </c>
      <c r="Z90" s="70">
        <f t="shared" si="34"/>
        <v>87</v>
      </c>
      <c r="AA90" s="81">
        <v>221206</v>
      </c>
      <c r="AB90" s="114">
        <f>IF($T90=0,0,(ABS(($R90-Tabla610[[#This Row],[pred]])/$T90))*100/COUNT($R$15:$R$105))</f>
        <v>0.87384473987151134</v>
      </c>
      <c r="AC90" s="105">
        <f>Tabla6[[#This Row],[pred]]</f>
        <v>209106.46709696326</v>
      </c>
      <c r="AD90" s="74"/>
      <c r="AE90" s="40">
        <f t="shared" si="35"/>
        <v>87</v>
      </c>
      <c r="AF90" s="81">
        <v>221206</v>
      </c>
      <c r="AG90" s="74">
        <f>Tabla610[[#This Row],[pred]]</f>
        <v>113674.51733223844</v>
      </c>
    </row>
    <row r="91" spans="1:33" x14ac:dyDescent="0.3">
      <c r="A91" s="33">
        <v>45017</v>
      </c>
      <c r="B91">
        <v>222626</v>
      </c>
      <c r="N91" s="80">
        <v>45017</v>
      </c>
      <c r="O91" s="40">
        <f t="shared" si="49"/>
        <v>88</v>
      </c>
      <c r="P91" s="82">
        <v>222626</v>
      </c>
      <c r="Q91" s="74">
        <f>AI$4*Tabla610[[#This Row],[Receptive tourism]]/S79+(1-AI$4)*(Q90+R90)</f>
        <v>289987.78290847054</v>
      </c>
      <c r="R91" s="74">
        <f t="shared" si="45"/>
        <v>54150.432807543708</v>
      </c>
      <c r="S91" s="74">
        <f t="shared" si="46"/>
        <v>0.70032941775507107</v>
      </c>
      <c r="T91" s="2">
        <f t="shared" si="47"/>
        <v>148551.31879082057</v>
      </c>
      <c r="U91">
        <f t="shared" si="50"/>
        <v>31524.318790820573</v>
      </c>
      <c r="V91">
        <f t="shared" si="51"/>
        <v>993782675.22528303</v>
      </c>
      <c r="W91" s="17">
        <f t="shared" si="48"/>
        <v>74074.681209179427</v>
      </c>
      <c r="X91">
        <f>IF($P91=0,0,(ABS(($P91-Tabla6[[#This Row],[pred]])/$P91))*100/COUNT($N91:$N179))</f>
        <v>0.24452484240122979</v>
      </c>
      <c r="Z91" s="70">
        <f t="shared" si="34"/>
        <v>88</v>
      </c>
      <c r="AA91" s="82">
        <v>222626</v>
      </c>
      <c r="AB91" s="115">
        <f>IF($T91=0,0,(ABS(($R91-Tabla610[[#This Row],[pred]])/$T91))*100/COUNT($R$15:$R$105))</f>
        <v>0.69832592661352078</v>
      </c>
      <c r="AC91" s="105">
        <f>Tabla6[[#This Row],[pred]]</f>
        <v>204661.59610374266</v>
      </c>
      <c r="AD91" s="74"/>
      <c r="AE91" s="40">
        <f t="shared" si="35"/>
        <v>88</v>
      </c>
      <c r="AF91" s="82">
        <v>222626</v>
      </c>
      <c r="AG91" s="74">
        <f>Tabla610[[#This Row],[pred]]</f>
        <v>148551.31879082057</v>
      </c>
    </row>
    <row r="92" spans="1:33" x14ac:dyDescent="0.3">
      <c r="A92" s="33">
        <v>45047</v>
      </c>
      <c r="B92">
        <v>196288</v>
      </c>
      <c r="N92" s="79">
        <v>45047</v>
      </c>
      <c r="O92" s="40">
        <f t="shared" si="49"/>
        <v>89</v>
      </c>
      <c r="P92" s="81">
        <v>196288</v>
      </c>
      <c r="Q92" s="74">
        <f>AI$4*Tabla610[[#This Row],[Receptive tourism]]/S80+(1-AI$4)*(Q91+R91)</f>
        <v>322866.82924349571</v>
      </c>
      <c r="R92" s="74">
        <f t="shared" si="45"/>
        <v>43514.739571284437</v>
      </c>
      <c r="S92" s="74">
        <f t="shared" si="46"/>
        <v>0.62939277845097197</v>
      </c>
      <c r="T92" s="2">
        <f t="shared" si="47"/>
        <v>221200.76804436021</v>
      </c>
      <c r="U92">
        <f t="shared" si="50"/>
        <v>108605.76804436021</v>
      </c>
      <c r="V92">
        <f t="shared" si="51"/>
        <v>11795212852.505375</v>
      </c>
      <c r="W92" s="17">
        <f t="shared" si="48"/>
        <v>24912.768044360215</v>
      </c>
      <c r="X92">
        <f>IF($P92=0,0,(ABS(($P92-Tabla6[[#This Row],[pred]])/$P92))*100/COUNT($N92:$N180))</f>
        <v>0.7770030357996629</v>
      </c>
      <c r="Z92" s="70">
        <f t="shared" si="34"/>
        <v>89</v>
      </c>
      <c r="AA92" s="81">
        <v>196288</v>
      </c>
      <c r="AB92" s="114">
        <f>IF($T92=0,0,(ABS(($R92-Tabla610[[#This Row],[pred]])/$T92))*100/COUNT($R$15:$R$105))</f>
        <v>0.88272465631438068</v>
      </c>
      <c r="AC92" s="105">
        <f>Tabla6[[#This Row],[pred]]</f>
        <v>245093.23900513415</v>
      </c>
      <c r="AD92" s="74"/>
      <c r="AE92" s="40">
        <f t="shared" si="35"/>
        <v>89</v>
      </c>
      <c r="AF92" s="81">
        <v>196288</v>
      </c>
      <c r="AG92" s="74">
        <f>Tabla610[[#This Row],[pred]]</f>
        <v>221200.76804436021</v>
      </c>
    </row>
    <row r="93" spans="1:33" x14ac:dyDescent="0.3">
      <c r="A93" s="33">
        <v>45078</v>
      </c>
      <c r="B93">
        <v>199427</v>
      </c>
      <c r="N93" s="80">
        <v>45078</v>
      </c>
      <c r="O93" s="40">
        <f t="shared" si="49"/>
        <v>90</v>
      </c>
      <c r="P93" s="82">
        <v>199427</v>
      </c>
      <c r="Q93" s="74">
        <f>AI$4*Tabla610[[#This Row],[Receptive tourism]]/S81+(1-AI$4)*(Q92+R92)</f>
        <v>338322.37041489035</v>
      </c>
      <c r="R93" s="74">
        <f t="shared" si="45"/>
        <v>29485.140371339538</v>
      </c>
      <c r="S93" s="74">
        <f t="shared" si="46"/>
        <v>0.61611287003013504</v>
      </c>
      <c r="T93" s="2">
        <f t="shared" si="47"/>
        <v>306466.5978817321</v>
      </c>
      <c r="U93">
        <f t="shared" si="50"/>
        <v>202157.5978817321</v>
      </c>
      <c r="V93">
        <f t="shared" si="51"/>
        <v>40867694381.312096</v>
      </c>
      <c r="W93" s="17">
        <f t="shared" si="48"/>
        <v>107039.5978817321</v>
      </c>
      <c r="X93">
        <f>IF($P93=0,0,(ABS(($P93-Tabla6[[#This Row],[pred]])/$P93))*100/COUNT($N93:$N181))</f>
        <v>0.59113145411203305</v>
      </c>
      <c r="Z93" s="70">
        <f t="shared" si="34"/>
        <v>90</v>
      </c>
      <c r="AA93" s="82">
        <v>199427</v>
      </c>
      <c r="AB93" s="115">
        <f>IF($T93=0,0,(ABS(($R93-Tabla610[[#This Row],[pred]])/$T93))*100/COUNT($R$15:$R$105))</f>
        <v>0.99317586365760901</v>
      </c>
      <c r="AC93" s="105">
        <f>Tabla6[[#This Row],[pred]]</f>
        <v>162881.85252524787</v>
      </c>
      <c r="AD93" s="74"/>
      <c r="AE93" s="40">
        <f t="shared" si="35"/>
        <v>90</v>
      </c>
      <c r="AF93" s="82">
        <v>199427</v>
      </c>
      <c r="AG93" s="74">
        <f>Tabla610[[#This Row],[pred]]</f>
        <v>306466.5978817321</v>
      </c>
    </row>
    <row r="94" spans="1:33" x14ac:dyDescent="0.3">
      <c r="A94" s="33">
        <v>45108</v>
      </c>
      <c r="B94">
        <v>263563</v>
      </c>
      <c r="N94" s="79">
        <v>45108</v>
      </c>
      <c r="O94" s="40">
        <f t="shared" si="49"/>
        <v>91</v>
      </c>
      <c r="P94" s="81">
        <v>263563</v>
      </c>
      <c r="Q94" s="74">
        <f>AI$4*Tabla610[[#This Row],[Receptive tourism]]/S82+(1-AI$4)*(Q93+R93)</f>
        <v>341448.86159551248</v>
      </c>
      <c r="R94" s="74">
        <f t="shared" si="45"/>
        <v>16305.815775980836</v>
      </c>
      <c r="S94" s="74">
        <f t="shared" si="46"/>
        <v>0.80418217542327386</v>
      </c>
      <c r="T94" s="2">
        <f t="shared" si="47"/>
        <v>312383.65868407395</v>
      </c>
      <c r="U94">
        <f t="shared" si="50"/>
        <v>164697.65868407395</v>
      </c>
      <c r="V94">
        <f t="shared" si="51"/>
        <v>27125318776.01572</v>
      </c>
      <c r="W94" s="17">
        <f t="shared" si="48"/>
        <v>48820.658684073947</v>
      </c>
      <c r="X94">
        <f>IF($P94=0,0,(ABS(($P94-Tabla6[[#This Row],[pred]])/$P94))*100/COUNT($N94:$N182))</f>
        <v>0.20308039630562746</v>
      </c>
      <c r="Z94" s="70">
        <f t="shared" si="34"/>
        <v>91</v>
      </c>
      <c r="AA94" s="81">
        <v>263563</v>
      </c>
      <c r="AB94" s="114">
        <f>IF($T94=0,0,(ABS(($R94-Tabla610[[#This Row],[pred]])/$T94))*100/COUNT($R$15:$R$105))</f>
        <v>1.0415406116394208</v>
      </c>
      <c r="AC94" s="105">
        <f>Tabla6[[#This Row],[pred]]</f>
        <v>279620.34354745003</v>
      </c>
      <c r="AD94" s="74"/>
      <c r="AE94" s="40">
        <f t="shared" si="35"/>
        <v>91</v>
      </c>
      <c r="AF94" s="81">
        <v>263563</v>
      </c>
      <c r="AG94" s="74">
        <f>Tabla610[[#This Row],[pred]]</f>
        <v>312383.65868407395</v>
      </c>
    </row>
    <row r="95" spans="1:33" x14ac:dyDescent="0.3">
      <c r="A95" s="33">
        <v>45139</v>
      </c>
      <c r="B95">
        <v>236928</v>
      </c>
      <c r="N95" s="80">
        <v>45139</v>
      </c>
      <c r="O95" s="40">
        <f t="shared" si="49"/>
        <v>92</v>
      </c>
      <c r="P95" s="82">
        <v>236928</v>
      </c>
      <c r="Q95" s="74">
        <f>AI$4*Tabla610[[#This Row],[Receptive tourism]]/S83+(1-AI$4)*(Q94+R94)</f>
        <v>318359.50347416149</v>
      </c>
      <c r="R95" s="74">
        <f t="shared" si="45"/>
        <v>-3391.7711726850766</v>
      </c>
      <c r="S95" s="74">
        <f t="shared" si="46"/>
        <v>0.79676407225648616</v>
      </c>
      <c r="T95" s="2">
        <f t="shared" si="47"/>
        <v>341747.1454354442</v>
      </c>
      <c r="U95">
        <f t="shared" si="50"/>
        <v>198607.1454354442</v>
      </c>
      <c r="V95">
        <f t="shared" si="51"/>
        <v>39444798218.015686</v>
      </c>
      <c r="W95" s="17">
        <f t="shared" si="48"/>
        <v>104819.1454354442</v>
      </c>
      <c r="X95">
        <f>IF($P95=0,0,(ABS(($P95-Tabla6[[#This Row],[pred]])/$P95))*100/COUNT($N95:$N183))</f>
        <v>0.19568261336459505</v>
      </c>
      <c r="Z95" s="70">
        <f t="shared" si="34"/>
        <v>92</v>
      </c>
      <c r="AA95" s="82">
        <v>236928</v>
      </c>
      <c r="AB95" s="115">
        <f>IF($T95=0,0,(ABS(($R95-Tabla610[[#This Row],[pred]])/$T95))*100/COUNT($R$15:$R$105))</f>
        <v>1.1098074696452804</v>
      </c>
      <c r="AC95" s="105">
        <f>Tabla6[[#This Row],[pred]]</f>
        <v>250373.18016358156</v>
      </c>
      <c r="AD95" s="74"/>
      <c r="AE95" s="40">
        <f t="shared" si="35"/>
        <v>92</v>
      </c>
      <c r="AF95" s="82">
        <v>236928</v>
      </c>
      <c r="AG95" s="74">
        <f>Tabla610[[#This Row],[pred]]</f>
        <v>341747.1454354442</v>
      </c>
    </row>
    <row r="96" spans="1:33" x14ac:dyDescent="0.3">
      <c r="A96" s="33">
        <v>45170</v>
      </c>
      <c r="B96">
        <v>239336</v>
      </c>
      <c r="N96" s="79">
        <v>45170</v>
      </c>
      <c r="O96" s="40">
        <f t="shared" si="49"/>
        <v>93</v>
      </c>
      <c r="P96" s="81">
        <v>239336</v>
      </c>
      <c r="Q96" s="74">
        <f>AI$4*Tabla610[[#This Row],[Receptive tourism]]/S84+(1-AI$4)*(Q95+R95)</f>
        <v>282757.14876189898</v>
      </c>
      <c r="R96" s="74">
        <f t="shared" si="45"/>
        <v>-19497.062942473796</v>
      </c>
      <c r="S96" s="74">
        <f t="shared" si="46"/>
        <v>0.90084608172800995</v>
      </c>
      <c r="T96" s="2">
        <f t="shared" si="47"/>
        <v>339376.45483418013</v>
      </c>
      <c r="U96">
        <f t="shared" si="50"/>
        <v>191896.45483418013</v>
      </c>
      <c r="V96">
        <f t="shared" si="51"/>
        <v>36824249377.926537</v>
      </c>
      <c r="W96" s="17">
        <f t="shared" si="48"/>
        <v>100040.45483418013</v>
      </c>
      <c r="X96">
        <f>IF($P96=0,0,(ABS(($P96-Tabla6[[#This Row],[pred]])/$P96))*100/COUNT($N96:$N184))</f>
        <v>0.11015773066770081</v>
      </c>
      <c r="Z96" s="70">
        <f t="shared" si="34"/>
        <v>93</v>
      </c>
      <c r="AA96" s="81">
        <v>239336</v>
      </c>
      <c r="AB96" s="114">
        <f>IF($T96=0,0,(ABS(($R96-Tabla610[[#This Row],[pred]])/$T96))*100/COUNT($R$15:$R$105))</f>
        <v>1.1620325966453864</v>
      </c>
      <c r="AC96" s="105">
        <f>Tabla6[[#This Row],[pred]]</f>
        <v>231953.88102441625</v>
      </c>
      <c r="AD96" s="74"/>
      <c r="AE96" s="40">
        <f t="shared" si="35"/>
        <v>93</v>
      </c>
      <c r="AF96" s="81">
        <v>239336</v>
      </c>
      <c r="AG96" s="74">
        <f>Tabla610[[#This Row],[pred]]</f>
        <v>339376.45483418013</v>
      </c>
    </row>
    <row r="97" spans="1:39" x14ac:dyDescent="0.3">
      <c r="A97" s="33">
        <v>45200</v>
      </c>
      <c r="B97">
        <v>262043</v>
      </c>
      <c r="N97" s="80">
        <v>45200</v>
      </c>
      <c r="O97" s="40">
        <f t="shared" si="49"/>
        <v>94</v>
      </c>
      <c r="P97" s="82">
        <v>262043</v>
      </c>
      <c r="Q97" s="74">
        <f>AI$4*Tabla610[[#This Row],[Receptive tourism]]/S85+(1-AI$4)*(Q96+R96)</f>
        <v>253228.18016970984</v>
      </c>
      <c r="R97" s="74">
        <f t="shared" si="45"/>
        <v>-24513.015767331468</v>
      </c>
      <c r="S97" s="74">
        <f t="shared" si="46"/>
        <v>1.0561528683632146</v>
      </c>
      <c r="T97" s="2">
        <f t="shared" si="47"/>
        <v>350583.61180554808</v>
      </c>
      <c r="U97">
        <f t="shared" si="50"/>
        <v>185491.61180554808</v>
      </c>
      <c r="V97">
        <f t="shared" si="51"/>
        <v>34407138050.220146</v>
      </c>
      <c r="W97" s="17">
        <f t="shared" si="48"/>
        <v>88540.611805548077</v>
      </c>
      <c r="X97">
        <f>IF($P97=0,0,(ABS(($P97-Tabla6[[#This Row],[pred]])/$P97))*100/COUNT($N97:$N185))</f>
        <v>1.0135582836075451E-2</v>
      </c>
      <c r="Z97" s="70">
        <f t="shared" si="34"/>
        <v>94</v>
      </c>
      <c r="AA97" s="82">
        <v>262043</v>
      </c>
      <c r="AB97" s="115">
        <f>IF($T97=0,0,(ABS(($R97-Tabla610[[#This Row],[pred]])/$T97))*100/COUNT($R$15:$R$105))</f>
        <v>1.1757369208192134</v>
      </c>
      <c r="AC97" s="105">
        <f>Tabla6[[#This Row],[pred]]</f>
        <v>262760.1088039407</v>
      </c>
      <c r="AD97" s="74"/>
      <c r="AE97" s="40">
        <f t="shared" si="35"/>
        <v>94</v>
      </c>
      <c r="AF97" s="82">
        <v>262043</v>
      </c>
      <c r="AG97" s="74">
        <f>Tabla610[[#This Row],[pred]]</f>
        <v>350583.61180554808</v>
      </c>
    </row>
    <row r="98" spans="1:39" x14ac:dyDescent="0.3">
      <c r="A98" s="33">
        <v>45231</v>
      </c>
      <c r="B98">
        <v>311342</v>
      </c>
      <c r="N98" s="79">
        <v>45231</v>
      </c>
      <c r="O98" s="40">
        <f t="shared" si="49"/>
        <v>95</v>
      </c>
      <c r="P98" s="81">
        <v>311342</v>
      </c>
      <c r="Q98" s="74">
        <f>AI$4*Tabla610[[#This Row],[Receptive tourism]]/S86+(1-AI$4)*(Q97+R97)</f>
        <v>231253.97849459742</v>
      </c>
      <c r="R98" s="74">
        <f t="shared" si="45"/>
        <v>-23243.608721221943</v>
      </c>
      <c r="S98" s="74">
        <f t="shared" si="46"/>
        <v>1.3390106060122684</v>
      </c>
      <c r="T98" s="2">
        <f t="shared" si="47"/>
        <v>311299.3546489955</v>
      </c>
      <c r="U98">
        <f t="shared" si="50"/>
        <v>115222.3546489955</v>
      </c>
      <c r="V98">
        <f t="shared" si="51"/>
        <v>13276191010.858896</v>
      </c>
      <c r="W98" s="17">
        <f t="shared" si="48"/>
        <v>42.645351004495751</v>
      </c>
      <c r="X98">
        <f>IF($P98=0,0,(ABS(($P98-Tabla6[[#This Row],[pred]])/$P98))*100/COUNT($N98:$N186))</f>
        <v>0.16005224093299381</v>
      </c>
      <c r="Z98" s="70">
        <f t="shared" si="34"/>
        <v>95</v>
      </c>
      <c r="AA98" s="81">
        <v>311342</v>
      </c>
      <c r="AB98" s="114">
        <f>IF($T98=0,0,(ABS(($R98-Tabla610[[#This Row],[pred]])/$T98))*100/COUNT($R$15:$R$105))</f>
        <v>1.1809521111654135</v>
      </c>
      <c r="AC98" s="105">
        <f>Tabla6[[#This Row],[pred]]</f>
        <v>298385.94395289436</v>
      </c>
      <c r="AD98" s="74"/>
      <c r="AE98" s="40">
        <f t="shared" si="35"/>
        <v>95</v>
      </c>
      <c r="AF98" s="81">
        <v>311342</v>
      </c>
      <c r="AG98" s="74">
        <f>Tabla610[[#This Row],[pred]]</f>
        <v>311299.3546489955</v>
      </c>
    </row>
    <row r="99" spans="1:39" x14ac:dyDescent="0.3">
      <c r="A99" s="33">
        <v>45261</v>
      </c>
      <c r="B99">
        <v>274711</v>
      </c>
      <c r="N99" s="80">
        <v>45261</v>
      </c>
      <c r="O99" s="40">
        <f t="shared" si="49"/>
        <v>96</v>
      </c>
      <c r="P99" s="82">
        <v>274711</v>
      </c>
      <c r="Q99" s="74">
        <f>AI$4*Tabla610[[#This Row],[Receptive tourism]]/S87+(1-AI$4)*(Q98+R98)</f>
        <v>204921.82764520898</v>
      </c>
      <c r="R99" s="74">
        <f t="shared" si="45"/>
        <v>-24787.879785305195</v>
      </c>
      <c r="S99" s="74">
        <f t="shared" si="46"/>
        <v>1.3508218121094184</v>
      </c>
      <c r="T99" s="2">
        <f t="shared" si="47"/>
        <v>309103.19565521175</v>
      </c>
      <c r="U99">
        <f t="shared" si="50"/>
        <v>125494.19565521175</v>
      </c>
      <c r="V99">
        <f t="shared" si="51"/>
        <v>15748793143.148567</v>
      </c>
      <c r="W99" s="17">
        <f t="shared" si="48"/>
        <v>34392.195655211748</v>
      </c>
      <c r="X99">
        <f>IF($P99=0,0,(ABS(($P99-Tabla6[[#This Row],[pred]])/$P99))*100/COUNT($N99:$N187))</f>
        <v>0.99207266278240658</v>
      </c>
      <c r="Z99" s="70">
        <f t="shared" si="34"/>
        <v>96</v>
      </c>
      <c r="AA99" s="82">
        <v>274711</v>
      </c>
      <c r="AB99" s="115">
        <f>IF($T99=0,0,(ABS(($R99-Tabla610[[#This Row],[pred]])/$T99))*100/COUNT($R$15:$R$105))</f>
        <v>1.1870251581744438</v>
      </c>
      <c r="AC99" s="105">
        <f>Tabla6[[#This Row],[pred]]</f>
        <v>342844.31831640442</v>
      </c>
      <c r="AD99" s="74"/>
      <c r="AE99" s="40">
        <f t="shared" si="35"/>
        <v>96</v>
      </c>
      <c r="AF99" s="82">
        <v>274711</v>
      </c>
      <c r="AG99" s="74">
        <f>Tabla610[[#This Row],[pred]]</f>
        <v>309103.19565521175</v>
      </c>
    </row>
    <row r="100" spans="1:39" x14ac:dyDescent="0.3">
      <c r="A100" s="33">
        <v>45292</v>
      </c>
      <c r="B100">
        <v>327427</v>
      </c>
      <c r="N100" s="79">
        <v>45292</v>
      </c>
      <c r="O100" s="40">
        <f t="shared" si="49"/>
        <v>97</v>
      </c>
      <c r="P100" s="81">
        <v>327427</v>
      </c>
      <c r="Q100" s="74">
        <f>AI$4*Tabla610[[#This Row],[Receptive tourism]]/S88+(1-AI$4)*(Q99+R99)</f>
        <v>200237.64233636676</v>
      </c>
      <c r="R100" s="74">
        <f t="shared" si="45"/>
        <v>-14736.032547073708</v>
      </c>
      <c r="S100" s="74">
        <f t="shared" si="46"/>
        <v>1.5605955088705743</v>
      </c>
      <c r="T100" s="2">
        <f t="shared" si="47"/>
        <v>210582.95571595151</v>
      </c>
      <c r="U100">
        <f t="shared" si="50"/>
        <v>28652.04428404849</v>
      </c>
      <c r="V100">
        <f t="shared" si="51"/>
        <v>820939641.65507579</v>
      </c>
      <c r="W100" s="17">
        <f t="shared" si="48"/>
        <v>116844.04428404849</v>
      </c>
      <c r="X100">
        <f>IF($P100=0,0,(ABS(($P100-Tabla6[[#This Row],[pred]])/$P100))*100/COUNT($N100:$N188))</f>
        <v>1.2365336956275941</v>
      </c>
      <c r="Z100" s="70">
        <f t="shared" si="34"/>
        <v>97</v>
      </c>
      <c r="AA100" s="81">
        <v>327427</v>
      </c>
      <c r="AB100" s="114">
        <f>IF($T100=0,0,(ABS(($R100-Tabla610[[#This Row],[pred]])/$T100))*100/COUNT($R$15:$R$105))</f>
        <v>1.175799261453554</v>
      </c>
      <c r="AC100" s="105">
        <f>Tabla6[[#This Row],[pred]]</f>
        <v>230257.11559401851</v>
      </c>
      <c r="AD100" s="74"/>
      <c r="AE100" s="40">
        <f t="shared" si="35"/>
        <v>97</v>
      </c>
      <c r="AF100" s="81">
        <v>327427</v>
      </c>
      <c r="AG100" s="74">
        <f>Tabla610[[#This Row],[pred]]</f>
        <v>210582.95571595151</v>
      </c>
      <c r="AL100" s="1">
        <v>116629.14152639033</v>
      </c>
      <c r="AM100" s="1">
        <v>-25983.435337605981</v>
      </c>
    </row>
    <row r="101" spans="1:39" x14ac:dyDescent="0.3">
      <c r="A101" s="33">
        <v>45323</v>
      </c>
      <c r="B101">
        <v>256687</v>
      </c>
      <c r="N101" s="80">
        <v>45323</v>
      </c>
      <c r="O101" s="40">
        <f t="shared" si="49"/>
        <v>98</v>
      </c>
      <c r="P101" s="82">
        <v>256687</v>
      </c>
      <c r="Q101" s="74">
        <f>AI$4*Tabla610[[#This Row],[Receptive tourism]]/S89+(1-AI$4)*(Q100+R100)</f>
        <v>202536.61950892166</v>
      </c>
      <c r="R101" s="74">
        <f t="shared" si="45"/>
        <v>-6218.5276872594004</v>
      </c>
      <c r="S101" s="74">
        <f t="shared" si="46"/>
        <v>1.2181981519423102</v>
      </c>
      <c r="T101" s="2">
        <f t="shared" si="47"/>
        <v>189171.50419155715</v>
      </c>
      <c r="U101">
        <f t="shared" si="50"/>
        <v>16763.495808442851</v>
      </c>
      <c r="V101">
        <f t="shared" si="51"/>
        <v>281014791.71968102</v>
      </c>
      <c r="W101" s="17">
        <f t="shared" si="48"/>
        <v>67515.495808442851</v>
      </c>
      <c r="X101">
        <f>IF($P101=0,0,(ABS(($P101-Tabla6[[#This Row],[pred]])/$P101))*100/COUNT($N101:$N189))</f>
        <v>0.97997243178738724</v>
      </c>
      <c r="Z101" s="70">
        <f t="shared" si="34"/>
        <v>98</v>
      </c>
      <c r="AA101" s="82">
        <v>256687</v>
      </c>
      <c r="AB101" s="115">
        <f>IF($T101=0,0,(ABS(($R101-Tabla610[[#This Row],[pred]])/$T101))*100/COUNT($R$15:$R$105))</f>
        <v>1.1350246521724021</v>
      </c>
      <c r="AC101" s="105">
        <f>Tabla6[[#This Row],[pred]]</f>
        <v>314542.62222758809</v>
      </c>
      <c r="AD101" s="74"/>
      <c r="AE101" s="40">
        <f t="shared" ref="AE101:AE123" si="52">AE100+1</f>
        <v>98</v>
      </c>
      <c r="AF101" s="82">
        <v>256687</v>
      </c>
      <c r="AG101" s="74">
        <f>Tabla610[[#This Row],[pred]]</f>
        <v>189171.50419155715</v>
      </c>
      <c r="AL101" s="1">
        <v>155781.59648476611</v>
      </c>
      <c r="AM101" s="1">
        <v>-6229.9059064512812</v>
      </c>
    </row>
    <row r="102" spans="1:39" x14ac:dyDescent="0.3">
      <c r="A102" s="33">
        <v>45352</v>
      </c>
      <c r="B102">
        <v>278366</v>
      </c>
      <c r="N102" s="79">
        <v>45352</v>
      </c>
      <c r="O102" s="40">
        <f t="shared" si="49"/>
        <v>99</v>
      </c>
      <c r="P102" s="81">
        <v>278366</v>
      </c>
      <c r="Q102" s="74">
        <f>AI$4*Tabla610[[#This Row],[Receptive tourism]]/S90+(1-AI$4)*(Q101+R101)</f>
        <v>234641.91982803014</v>
      </c>
      <c r="R102" s="74">
        <f t="shared" si="45"/>
        <v>12943.386315924536</v>
      </c>
      <c r="S102" s="74">
        <f t="shared" si="46"/>
        <v>1.1030637409269071</v>
      </c>
      <c r="T102" s="2">
        <f t="shared" si="47"/>
        <v>137487.33494025131</v>
      </c>
      <c r="U102">
        <f t="shared" si="50"/>
        <v>83718.665059748688</v>
      </c>
      <c r="V102">
        <f t="shared" si="51"/>
        <v>7008814879.3863859</v>
      </c>
      <c r="W102" s="17">
        <f t="shared" si="48"/>
        <v>140878.66505974869</v>
      </c>
      <c r="X102">
        <f>IF($P102=0,0,(ABS(($P102-Tabla6[[#This Row],[pred]])/$P102))*100/COUNT($N102:$N190))</f>
        <v>0.68878273229624631</v>
      </c>
      <c r="Z102" s="70">
        <f t="shared" si="34"/>
        <v>99</v>
      </c>
      <c r="AA102" s="81">
        <v>278366</v>
      </c>
      <c r="AB102" s="114">
        <f>IF($T102=0,0,(ABS(($R102-Tabla610[[#This Row],[pred]])/$T102))*100/COUNT($R$15:$R$105))</f>
        <v>0.99544792299764484</v>
      </c>
      <c r="AC102" s="105">
        <f>Tabla6[[#This Row],[pred]]</f>
        <v>236184.58730715708</v>
      </c>
      <c r="AD102" s="74"/>
      <c r="AE102" s="40">
        <f t="shared" si="52"/>
        <v>99</v>
      </c>
      <c r="AF102" s="81">
        <v>278366</v>
      </c>
      <c r="AG102" s="74">
        <f>Tabla610[[#This Row],[pred]]</f>
        <v>137487.33494025131</v>
      </c>
    </row>
    <row r="103" spans="1:39" x14ac:dyDescent="0.3">
      <c r="A103" s="33">
        <v>45383</v>
      </c>
      <c r="B103">
        <v>224410</v>
      </c>
      <c r="N103" s="80">
        <v>45383</v>
      </c>
      <c r="O103" s="40">
        <f t="shared" si="49"/>
        <v>100</v>
      </c>
      <c r="P103" s="82">
        <v>224410</v>
      </c>
      <c r="Q103" s="74">
        <f>AI$4*Tabla610[[#This Row],[Receptive tourism]]/S91+(1-AI$4)*(Q102+R102)</f>
        <v>284010.11239230231</v>
      </c>
      <c r="R103" s="74">
        <f t="shared" si="45"/>
        <v>31155.789440098357</v>
      </c>
      <c r="S103" s="74">
        <f t="shared" si="46"/>
        <v>0.74523866964204366</v>
      </c>
      <c r="T103" s="2">
        <f t="shared" si="47"/>
        <v>155828.40373757813</v>
      </c>
      <c r="U103">
        <f t="shared" si="50"/>
        <v>66797.596262421866</v>
      </c>
      <c r="V103">
        <f t="shared" si="51"/>
        <v>4461918866.4375153</v>
      </c>
      <c r="W103" s="17">
        <f t="shared" si="48"/>
        <v>68581.596262421866</v>
      </c>
      <c r="X103">
        <f>IF($P103=0,0,(ABS(($P103-Tabla6[[#This Row],[pred]])/$P103))*100/COUNT($N103:$N191))</f>
        <v>0.73173938663623384</v>
      </c>
      <c r="Z103" s="70">
        <f t="shared" si="34"/>
        <v>100</v>
      </c>
      <c r="AA103" s="82">
        <v>224410</v>
      </c>
      <c r="AB103" s="115">
        <f>IF($T103=0,0,(ABS(($R103-Tabla610[[#This Row],[pred]])/$T103))*100/COUNT($R$15:$R$105))</f>
        <v>0.87919063256973495</v>
      </c>
      <c r="AC103" s="105">
        <f>Tabla6[[#This Row],[pred]]</f>
        <v>258894.02350855782</v>
      </c>
      <c r="AD103" s="74"/>
      <c r="AE103" s="40">
        <f t="shared" si="52"/>
        <v>100</v>
      </c>
      <c r="AF103" s="82">
        <v>224410</v>
      </c>
      <c r="AG103" s="74">
        <f>Tabla610[[#This Row],[pred]]</f>
        <v>155828.40373757813</v>
      </c>
      <c r="AL103">
        <f>AL100+AM100</f>
        <v>90645.706188784359</v>
      </c>
    </row>
    <row r="104" spans="1:39" x14ac:dyDescent="0.3">
      <c r="A104" s="33">
        <v>45413</v>
      </c>
      <c r="B104">
        <v>182803</v>
      </c>
      <c r="N104" s="79">
        <v>45413</v>
      </c>
      <c r="O104" s="40">
        <f t="shared" si="49"/>
        <v>101</v>
      </c>
      <c r="P104" s="81">
        <v>182803</v>
      </c>
      <c r="Q104" s="74">
        <f>AI$4*Tabla610[[#This Row],[Receptive tourism]]/S92+(1-AI$4)*(Q103+R103)</f>
        <v>302804.66798920603</v>
      </c>
      <c r="R104" s="74">
        <f t="shared" si="45"/>
        <v>24975.17251850104</v>
      </c>
      <c r="S104" s="74">
        <f t="shared" si="46"/>
        <v>0.61654609519916725</v>
      </c>
      <c r="T104" s="2">
        <f t="shared" si="47"/>
        <v>194177.76831359617</v>
      </c>
      <c r="U104">
        <f t="shared" si="50"/>
        <v>2110.2316864038294</v>
      </c>
      <c r="V104">
        <f t="shared" si="51"/>
        <v>4453077.7703027492</v>
      </c>
      <c r="W104" s="17">
        <f t="shared" si="48"/>
        <v>11374.768313596171</v>
      </c>
      <c r="X104">
        <f>IF($P104=0,0,(ABS(($P104-Tabla6[[#This Row],[pred]])/$P104))*100/COUNT($N104:$N192))</f>
        <v>0.53855209480975386</v>
      </c>
      <c r="Z104" s="70">
        <f t="shared" si="34"/>
        <v>101</v>
      </c>
      <c r="AA104" s="81">
        <v>182803</v>
      </c>
      <c r="AB104" s="114">
        <f>IF($T104=0,0,(ABS(($R104-Tabla610[[#This Row],[pred]])/$T104))*100/COUNT($R$15:$R$105))</f>
        <v>0.95756028133901139</v>
      </c>
      <c r="AC104" s="105">
        <f>Tabla6[[#This Row],[pred]]</f>
        <v>202492.78771750149</v>
      </c>
      <c r="AD104" s="74"/>
      <c r="AE104" s="40">
        <f t="shared" si="52"/>
        <v>101</v>
      </c>
      <c r="AF104" s="81">
        <v>182803</v>
      </c>
      <c r="AG104" s="74">
        <f>Tabla610[[#This Row],[pred]]</f>
        <v>194177.76831359617</v>
      </c>
      <c r="AL104">
        <f>AL101+AM101</f>
        <v>149551.69057831482</v>
      </c>
    </row>
    <row r="105" spans="1:39" x14ac:dyDescent="0.3">
      <c r="A105" s="33">
        <v>45444</v>
      </c>
      <c r="B105">
        <v>169847</v>
      </c>
      <c r="C105">
        <v>169847</v>
      </c>
      <c r="D105" s="34">
        <v>169847</v>
      </c>
      <c r="E105" s="34">
        <v>169847</v>
      </c>
      <c r="N105" s="80">
        <v>45444</v>
      </c>
      <c r="O105" s="40">
        <f t="shared" si="49"/>
        <v>102</v>
      </c>
      <c r="P105" s="82">
        <v>169847</v>
      </c>
      <c r="Q105" s="74">
        <f>AI$4*Tabla610[[#This Row],[Receptive tourism]]/S93+(1-AI$4)*(Q104+R104)</f>
        <v>301727.48887313309</v>
      </c>
      <c r="R105" s="74">
        <f t="shared" si="45"/>
        <v>11948.996701214046</v>
      </c>
      <c r="S105" s="74">
        <f t="shared" si="46"/>
        <v>0.58951405200967844</v>
      </c>
      <c r="T105" s="2">
        <f t="shared" si="47"/>
        <v>263594.70519938163</v>
      </c>
      <c r="U105">
        <f t="shared" si="50"/>
        <v>64167.705199381628</v>
      </c>
      <c r="V105">
        <f t="shared" si="51"/>
        <v>4117494390.5547481</v>
      </c>
      <c r="W105" s="17">
        <f t="shared" si="48"/>
        <v>93747.705199381628</v>
      </c>
      <c r="X105">
        <f>IF($P105=0,0,(ABS(($P105-Tabla6[[#This Row],[pred]])/$P105))*100/COUNT($N105:$N193))</f>
        <v>1.0641650247702243</v>
      </c>
      <c r="Z105" s="70">
        <f t="shared" si="34"/>
        <v>102</v>
      </c>
      <c r="AA105" s="82">
        <v>169847</v>
      </c>
      <c r="AB105" s="115">
        <f>IF($T105=0,0,(ABS(($R105-Tabla610[[#This Row],[pred]])/$T105))*100/COUNT($R$15:$R$105))</f>
        <v>1.0490868752208558</v>
      </c>
      <c r="AC105" s="105">
        <f>Tabla6[[#This Row],[pred]]</f>
        <v>135505.40497719182</v>
      </c>
      <c r="AD105" s="74"/>
      <c r="AE105" s="40">
        <f t="shared" si="52"/>
        <v>102</v>
      </c>
      <c r="AF105" s="82">
        <v>169847</v>
      </c>
      <c r="AG105" s="74">
        <f>Tabla610[[#This Row],[pred]]</f>
        <v>263594.70519938163</v>
      </c>
    </row>
    <row r="106" spans="1:39" x14ac:dyDescent="0.3">
      <c r="A106" s="33">
        <v>45474</v>
      </c>
      <c r="C106">
        <f t="shared" ref="C106:C123" si="53">AG106</f>
        <v>249926.15401731976</v>
      </c>
      <c r="D106" s="34">
        <f t="shared" ref="D106:D123" si="54">C106-_xlfn.FORECAST.ETS.CONFINT(A106,$B$4:$B$105,$A$4:$A$105,0.95,1,1)</f>
        <v>184430.78711816494</v>
      </c>
      <c r="E106" s="34">
        <f t="shared" ref="E106:E123" si="55">C106+_xlfn.FORECAST.ETS.CONFINT(A106,$B$4:$B$105,$A$4:$A$105,0.95,1,1)</f>
        <v>315421.52091647458</v>
      </c>
      <c r="N106" s="79">
        <v>45474</v>
      </c>
      <c r="O106" s="40">
        <f t="shared" si="49"/>
        <v>103</v>
      </c>
      <c r="P106" s="81">
        <f>Decomposition!C113</f>
        <v>233105</v>
      </c>
      <c r="Q106" s="74">
        <f>AI$4*Tabla610[[#This Row],[Receptive tourism]]/S94+(1-AI$4)*(Q105+R105)</f>
        <v>301771.19897791935</v>
      </c>
      <c r="R106" s="74">
        <f t="shared" si="45"/>
        <v>5996.3534030001565</v>
      </c>
      <c r="S106" s="74">
        <f t="shared" si="46"/>
        <v>0.7883191319874201</v>
      </c>
      <c r="T106" s="2">
        <f t="shared" si="47"/>
        <v>249926.15401731976</v>
      </c>
      <c r="U106">
        <f t="shared" si="50"/>
        <v>13636.845982680243</v>
      </c>
      <c r="V106">
        <f t="shared" si="51"/>
        <v>185963568.35534227</v>
      </c>
      <c r="W106" s="17"/>
      <c r="Z106" s="70">
        <f t="shared" si="34"/>
        <v>103</v>
      </c>
      <c r="AB106" s="39">
        <f>IF($T106=0,0,(ABS(($R106-Tabla610[[#This Row],[pred]])/$T106))*100/COUNT($R$15:$R$105))</f>
        <v>1.0725357136141329</v>
      </c>
      <c r="AC106" s="105">
        <f>Tabla6[[#This Row],[pred]]</f>
        <v>220080.12336687074</v>
      </c>
      <c r="AD106" s="74"/>
      <c r="AE106" s="40">
        <f t="shared" si="52"/>
        <v>103</v>
      </c>
      <c r="AG106" s="74">
        <f>Tabla610[[#This Row],[pred]]</f>
        <v>249926.15401731976</v>
      </c>
    </row>
    <row r="107" spans="1:39" x14ac:dyDescent="0.3">
      <c r="A107" s="33">
        <v>45505</v>
      </c>
      <c r="C107">
        <f t="shared" si="53"/>
        <v>277251.19364537142</v>
      </c>
      <c r="D107" s="34">
        <f t="shared" si="54"/>
        <v>184673.05813820974</v>
      </c>
      <c r="E107" s="34">
        <f t="shared" si="55"/>
        <v>369829.32915253309</v>
      </c>
      <c r="N107" s="80">
        <v>45505</v>
      </c>
      <c r="O107" s="40">
        <f t="shared" si="49"/>
        <v>104</v>
      </c>
      <c r="P107" s="109">
        <f>Tabla610[[#This Row],[pred]]</f>
        <v>277251.19364537142</v>
      </c>
      <c r="Q107" s="74">
        <f>AI$4*Tabla610[[#This Row],[Receptive tourism]]/S95+(1-AI$4)*(Q106+R106)</f>
        <v>327869.52887392259</v>
      </c>
      <c r="R107" s="74">
        <f t="shared" si="45"/>
        <v>16047.341649501699</v>
      </c>
      <c r="S107" s="74">
        <f t="shared" si="46"/>
        <v>0.82118923415850631</v>
      </c>
      <c r="T107" s="2">
        <f t="shared" si="47"/>
        <v>277251.19364537142</v>
      </c>
      <c r="U107">
        <f t="shared" si="50"/>
        <v>40323.193645371415</v>
      </c>
      <c r="V107">
        <f t="shared" si="51"/>
        <v>1625959945.7621217</v>
      </c>
      <c r="W107" s="17"/>
      <c r="Z107" s="70">
        <f t="shared" si="34"/>
        <v>104</v>
      </c>
      <c r="AB107" s="39">
        <f>IF($T107=0,0,(ABS(($R107-Tabla610[[#This Row],[pred]])/$T107))*100/COUNT($R$15:$R$105))</f>
        <v>1.0352965346025056</v>
      </c>
      <c r="AC107" s="105">
        <f>Tabla6[[#This Row],[pred]]</f>
        <v>228380.05334825744</v>
      </c>
      <c r="AD107" s="74"/>
      <c r="AE107" s="40">
        <f t="shared" si="52"/>
        <v>104</v>
      </c>
      <c r="AG107" s="74">
        <f>Tabla610[[#This Row],[pred]]</f>
        <v>277251.19364537142</v>
      </c>
    </row>
    <row r="108" spans="1:39" x14ac:dyDescent="0.3">
      <c r="A108" s="33">
        <v>45536</v>
      </c>
      <c r="C108">
        <f t="shared" si="53"/>
        <v>363228.78928181488</v>
      </c>
      <c r="D108" s="34">
        <f t="shared" si="54"/>
        <v>249825.2873110323</v>
      </c>
      <c r="E108" s="34">
        <f t="shared" si="55"/>
        <v>476632.29125259747</v>
      </c>
      <c r="N108" s="79">
        <v>45536</v>
      </c>
      <c r="O108" s="40">
        <f t="shared" si="49"/>
        <v>105</v>
      </c>
      <c r="P108" s="109">
        <f>Tabla610[[#This Row],[pred]]</f>
        <v>363228.78928181488</v>
      </c>
      <c r="Q108" s="74">
        <f>AI$4*Tabla610[[#This Row],[Receptive tourism]]/S96+(1-AI$4)*(Q107+R107)</f>
        <v>373562.68078668939</v>
      </c>
      <c r="R108" s="74">
        <f t="shared" si="45"/>
        <v>30870.24678113425</v>
      </c>
      <c r="S108" s="74">
        <f t="shared" si="46"/>
        <v>0.93659150463678831</v>
      </c>
      <c r="T108" s="2">
        <f t="shared" si="47"/>
        <v>363228.78928181488</v>
      </c>
      <c r="U108">
        <f t="shared" si="50"/>
        <v>123892.78928181488</v>
      </c>
      <c r="V108">
        <f t="shared" si="51"/>
        <v>15349423236.028185</v>
      </c>
      <c r="W108" s="17"/>
      <c r="Z108" s="70">
        <f t="shared" si="34"/>
        <v>105</v>
      </c>
      <c r="AB108" s="39">
        <f>IF($T108=0,0,(ABS(($R108-Tabla610[[#This Row],[pred]])/$T108))*100/COUNT($R$15:$R$105))</f>
        <v>1.0055072129753422</v>
      </c>
      <c r="AC108" s="105">
        <f>Tabla6[[#This Row],[pred]]</f>
        <v>242634.35514950968</v>
      </c>
      <c r="AD108" s="74"/>
      <c r="AE108" s="40">
        <f t="shared" si="52"/>
        <v>105</v>
      </c>
      <c r="AG108" s="74">
        <f>Tabla610[[#This Row],[pred]]</f>
        <v>363228.78928181488</v>
      </c>
    </row>
    <row r="109" spans="1:39" x14ac:dyDescent="0.3">
      <c r="A109" s="33">
        <v>45566</v>
      </c>
      <c r="C109">
        <f t="shared" si="53"/>
        <v>541539.97943390743</v>
      </c>
      <c r="D109" s="34">
        <f t="shared" si="54"/>
        <v>410549.2128879184</v>
      </c>
      <c r="E109" s="34">
        <f t="shared" si="55"/>
        <v>672530.74597989651</v>
      </c>
      <c r="N109" s="80">
        <v>45566</v>
      </c>
      <c r="O109" s="40">
        <f t="shared" si="49"/>
        <v>106</v>
      </c>
      <c r="P109" s="109">
        <f>Tabla610[[#This Row],[pred]]</f>
        <v>541539.97943390743</v>
      </c>
      <c r="Q109" s="74">
        <f>AI$4*Tabla610[[#This Row],[Receptive tourism]]/S97+(1-AI$4)*(Q108+R108)</f>
        <v>458590.32577662007</v>
      </c>
      <c r="R109" s="74">
        <f t="shared" si="45"/>
        <v>57948.945885532463</v>
      </c>
      <c r="S109" s="74">
        <f t="shared" si="46"/>
        <v>1.1185162548612222</v>
      </c>
      <c r="T109" s="2">
        <f t="shared" si="47"/>
        <v>541539.97943390743</v>
      </c>
      <c r="U109">
        <f t="shared" si="50"/>
        <v>279496.97943390743</v>
      </c>
      <c r="V109">
        <f t="shared" si="51"/>
        <v>78118561512.67807</v>
      </c>
      <c r="W109" s="17"/>
      <c r="Z109" s="70">
        <f t="shared" si="34"/>
        <v>106</v>
      </c>
      <c r="AB109" s="39">
        <f>IF($T109=0,0,(ABS(($R109-Tabla610[[#This Row],[pred]])/$T109))*100/COUNT($R$15:$R$105))</f>
        <v>0.98131022337545581</v>
      </c>
      <c r="AC109" s="105">
        <f>Tabla6[[#This Row],[pred]]</f>
        <v>279582.02524934371</v>
      </c>
      <c r="AD109" s="74"/>
      <c r="AE109" s="40">
        <f t="shared" si="52"/>
        <v>106</v>
      </c>
      <c r="AG109" s="74">
        <f>Tabla610[[#This Row],[pred]]</f>
        <v>541539.97943390743</v>
      </c>
    </row>
    <row r="110" spans="1:39" x14ac:dyDescent="0.3">
      <c r="A110" s="33">
        <v>45597</v>
      </c>
      <c r="C110">
        <f t="shared" si="53"/>
        <v>697752.51497234812</v>
      </c>
      <c r="D110" s="34">
        <f t="shared" si="54"/>
        <v>551241.76541289059</v>
      </c>
      <c r="E110" s="34">
        <f t="shared" si="55"/>
        <v>844263.26453180565</v>
      </c>
      <c r="N110" s="79">
        <v>45597</v>
      </c>
      <c r="O110" s="40">
        <f t="shared" si="49"/>
        <v>107</v>
      </c>
      <c r="P110" s="109">
        <f>Tabla610[[#This Row],[pred]]</f>
        <v>697752.51497234812</v>
      </c>
      <c r="Q110" s="74">
        <f>AI$4*Tabla610[[#This Row],[Receptive tourism]]/S98+(1-AI$4)*(Q109+R109)</f>
        <v>518817.42829791026</v>
      </c>
      <c r="R110" s="74">
        <f t="shared" si="45"/>
        <v>59088.024203411325</v>
      </c>
      <c r="S110" s="74">
        <f t="shared" si="46"/>
        <v>1.3419504416182584</v>
      </c>
      <c r="T110" s="2">
        <f t="shared" si="47"/>
        <v>697752.51497234812</v>
      </c>
      <c r="U110">
        <f t="shared" si="50"/>
        <v>386410.51497234812</v>
      </c>
      <c r="V110">
        <f t="shared" si="51"/>
        <v>149313086081.19528</v>
      </c>
      <c r="W110" s="17"/>
      <c r="Z110" s="70">
        <f t="shared" si="34"/>
        <v>107</v>
      </c>
      <c r="AB110" s="39">
        <f>IF($T110=0,0,(ABS(($R110-Tabla610[[#This Row],[pred]])/$T110))*100/COUNT($R$15:$R$105))</f>
        <v>1.0058424665985028</v>
      </c>
      <c r="AC110" s="105">
        <f>Tabla6[[#This Row],[pred]]</f>
        <v>333846.78199004359</v>
      </c>
      <c r="AD110" s="74"/>
      <c r="AE110" s="40">
        <f t="shared" si="52"/>
        <v>107</v>
      </c>
      <c r="AG110" s="74">
        <f>Tabla610[[#This Row],[pred]]</f>
        <v>697752.51497234812</v>
      </c>
    </row>
    <row r="111" spans="1:39" x14ac:dyDescent="0.3">
      <c r="A111" s="33">
        <v>45627</v>
      </c>
      <c r="C111">
        <f t="shared" si="53"/>
        <v>901876.65372537938</v>
      </c>
      <c r="D111" s="34">
        <f t="shared" si="54"/>
        <v>741312.5877360421</v>
      </c>
      <c r="E111" s="34">
        <f t="shared" si="55"/>
        <v>1062440.7197147168</v>
      </c>
      <c r="N111" s="80">
        <v>45627</v>
      </c>
      <c r="O111" s="40">
        <f t="shared" si="49"/>
        <v>108</v>
      </c>
      <c r="P111" s="109">
        <f>Tabla610[[#This Row],[pred]]</f>
        <v>901876.65372537938</v>
      </c>
      <c r="Q111" s="74">
        <f>AI$4*Tabla610[[#This Row],[Receptive tourism]]/S99+(1-AI$4)*(Q110+R110)</f>
        <v>622777.90054105269</v>
      </c>
      <c r="R111" s="74">
        <f t="shared" si="45"/>
        <v>81524.248223276882</v>
      </c>
      <c r="S111" s="74">
        <f t="shared" si="46"/>
        <v>1.3994865780895176</v>
      </c>
      <c r="T111" s="2">
        <f t="shared" si="47"/>
        <v>901876.65372537938</v>
      </c>
      <c r="U111">
        <f t="shared" si="50"/>
        <v>627165.65372537938</v>
      </c>
      <c r="V111">
        <f t="shared" si="51"/>
        <v>393336757212.78247</v>
      </c>
      <c r="W111" s="17"/>
      <c r="Z111" s="70">
        <f t="shared" si="34"/>
        <v>108</v>
      </c>
      <c r="AB111" s="39">
        <f>IF($T111=0,0,(ABS(($R111-Tabla610[[#This Row],[pred]])/$T111))*100/COUNT($R$15:$R$105))</f>
        <v>0.99956702079896842</v>
      </c>
      <c r="AC111" s="105">
        <f>Tabla6[[#This Row],[pred]]</f>
        <v>369736.12717278459</v>
      </c>
      <c r="AD111" s="74"/>
      <c r="AE111" s="40">
        <f t="shared" si="52"/>
        <v>108</v>
      </c>
      <c r="AG111" s="74">
        <f>Tabla610[[#This Row],[pred]]</f>
        <v>901876.65372537938</v>
      </c>
    </row>
    <row r="112" spans="1:39" x14ac:dyDescent="0.3">
      <c r="A112" s="33">
        <v>45658</v>
      </c>
      <c r="C112">
        <f t="shared" si="53"/>
        <v>857979.57603370433</v>
      </c>
      <c r="D112" s="34">
        <f t="shared" si="54"/>
        <v>684472.08872766735</v>
      </c>
      <c r="E112" s="34">
        <f t="shared" si="55"/>
        <v>1031487.0633397413</v>
      </c>
      <c r="N112" s="79">
        <v>45658</v>
      </c>
      <c r="O112" s="40">
        <f t="shared" si="49"/>
        <v>109</v>
      </c>
      <c r="P112" s="109">
        <f>Tabla610[[#This Row],[pred]]</f>
        <v>857979.57603370433</v>
      </c>
      <c r="Q112" s="74">
        <f>AI$4*Tabla610[[#This Row],[Receptive tourism]]/S100+(1-AI$4)*(Q111+R111)</f>
        <v>627039.59327026433</v>
      </c>
      <c r="R112" s="74">
        <f t="shared" ref="R112:R118" si="56">AJ$4*(Q112-Q111)+(1-AJ$4)*R111</f>
        <v>42892.970476244263</v>
      </c>
      <c r="S112" s="74">
        <f t="shared" ref="S112:S118" si="57">AK$4*(P112/Q112)+(1-AK$4)*S100</f>
        <v>1.4644487915005824</v>
      </c>
      <c r="T112" s="2">
        <f t="shared" si="47"/>
        <v>857979.57603370433</v>
      </c>
      <c r="U112">
        <f t="shared" si="50"/>
        <v>530552.57603370433</v>
      </c>
      <c r="V112">
        <f t="shared" si="51"/>
        <v>281486035935.99963</v>
      </c>
      <c r="W112" s="17"/>
      <c r="Z112" s="70">
        <f t="shared" si="34"/>
        <v>109</v>
      </c>
      <c r="AB112" s="39">
        <f>IF($T112=0,0,(ABS(($R112-Tabla610[[#This Row],[pred]])/$T112))*100/COUNT($R$15:$R$105))</f>
        <v>1.0439637394252768</v>
      </c>
      <c r="AC112" s="105">
        <f>Tabla6[[#This Row],[pred]]</f>
        <v>398731.72753100359</v>
      </c>
      <c r="AD112" s="74"/>
      <c r="AE112" s="40">
        <f t="shared" si="52"/>
        <v>109</v>
      </c>
      <c r="AG112" s="74">
        <f>Tabla610[[#This Row],[pred]]</f>
        <v>857979.57603370433</v>
      </c>
    </row>
    <row r="113" spans="1:33" x14ac:dyDescent="0.3">
      <c r="A113" s="33">
        <v>45689</v>
      </c>
      <c r="C113">
        <f t="shared" si="53"/>
        <v>738978.31993497733</v>
      </c>
      <c r="D113" s="34">
        <f t="shared" si="54"/>
        <v>553404.89805447427</v>
      </c>
      <c r="E113" s="34">
        <f t="shared" si="55"/>
        <v>924551.7418154804</v>
      </c>
      <c r="N113" s="80">
        <v>45689</v>
      </c>
      <c r="O113" s="40">
        <f t="shared" si="49"/>
        <v>110</v>
      </c>
      <c r="P113" s="109">
        <f>Tabla610[[#This Row],[pred]]</f>
        <v>738978.31993497733</v>
      </c>
      <c r="Q113" s="74">
        <f>AI$4*Tabla610[[#This Row],[Receptive tourism]]/S101+(1-AI$4)*(Q112+R112)</f>
        <v>638274.21201448014</v>
      </c>
      <c r="R113" s="74">
        <f t="shared" si="56"/>
        <v>27063.794610230038</v>
      </c>
      <c r="S113" s="74">
        <f t="shared" si="57"/>
        <v>1.1879868847098642</v>
      </c>
      <c r="T113" s="2">
        <f t="shared" si="47"/>
        <v>738978.31993497733</v>
      </c>
      <c r="U113">
        <f t="shared" si="50"/>
        <v>482291.31993497733</v>
      </c>
      <c r="V113">
        <f t="shared" si="51"/>
        <v>232604917284.62268</v>
      </c>
      <c r="W113" s="17"/>
      <c r="Z113" s="70">
        <f t="shared" si="34"/>
        <v>110</v>
      </c>
      <c r="AB113" s="39">
        <f>IF($T113=0,0,(ABS(($R113-Tabla610[[#This Row],[pred]])/$T113))*100/COUNT($R$15:$R$105))</f>
        <v>1.0586557590374988</v>
      </c>
      <c r="AC113" s="105">
        <f>Tabla6[[#This Row],[pred]]</f>
        <v>356034.05288855726</v>
      </c>
      <c r="AD113" s="74"/>
      <c r="AE113" s="40">
        <f t="shared" si="52"/>
        <v>110</v>
      </c>
      <c r="AG113" s="74">
        <f>Tabla610[[#This Row],[pred]]</f>
        <v>738978.31993497733</v>
      </c>
    </row>
    <row r="114" spans="1:33" x14ac:dyDescent="0.3">
      <c r="A114" s="33">
        <v>45717</v>
      </c>
      <c r="C114">
        <f t="shared" si="53"/>
        <v>495835.61091928824</v>
      </c>
      <c r="D114" s="34">
        <f t="shared" si="54"/>
        <v>298912.35648277379</v>
      </c>
      <c r="E114" s="34">
        <f t="shared" si="55"/>
        <v>692758.8653558027</v>
      </c>
      <c r="N114" s="79">
        <v>45717</v>
      </c>
      <c r="O114" s="40">
        <f t="shared" si="49"/>
        <v>111</v>
      </c>
      <c r="P114" s="109">
        <f>Tabla610[[#This Row],[pred]]</f>
        <v>495835.61091928824</v>
      </c>
      <c r="Q114" s="74">
        <f>AI$4*Tabla610[[#This Row],[Receptive tourism]]/S102+(1-AI$4)*(Q113+R113)</f>
        <v>557422.8378018454</v>
      </c>
      <c r="R114" s="74">
        <f t="shared" si="56"/>
        <v>-26893.789801202358</v>
      </c>
      <c r="S114" s="74">
        <f t="shared" si="57"/>
        <v>0.99628904337959945</v>
      </c>
      <c r="T114" s="2">
        <f t="shared" si="47"/>
        <v>495835.61091928824</v>
      </c>
      <c r="U114">
        <f t="shared" si="50"/>
        <v>217469.61091928824</v>
      </c>
      <c r="V114">
        <f t="shared" si="51"/>
        <v>47293031673.386612</v>
      </c>
      <c r="W114" s="17"/>
      <c r="Z114" s="70">
        <f t="shared" si="34"/>
        <v>111</v>
      </c>
      <c r="AB114" s="39">
        <f>IF($T114=0,0,(ABS(($R114-Tabla610[[#This Row],[pred]])/$T114))*100/COUNT($R$15:$R$105))</f>
        <v>1.1585047548615159</v>
      </c>
      <c r="AC114" s="105">
        <f>Tabla6[[#This Row],[pred]]</f>
        <v>371056.41045549448</v>
      </c>
      <c r="AD114" s="74"/>
      <c r="AE114" s="40">
        <f t="shared" si="52"/>
        <v>111</v>
      </c>
      <c r="AG114" s="74">
        <f>Tabla610[[#This Row],[pred]]</f>
        <v>495835.61091928824</v>
      </c>
    </row>
    <row r="115" spans="1:33" x14ac:dyDescent="0.3">
      <c r="A115" s="33">
        <v>45748</v>
      </c>
      <c r="C115">
        <f t="shared" si="53"/>
        <v>327095.61293452804</v>
      </c>
      <c r="D115" s="34">
        <f t="shared" si="54"/>
        <v>119421.16477388443</v>
      </c>
      <c r="E115" s="34">
        <f t="shared" si="55"/>
        <v>534770.06109517161</v>
      </c>
      <c r="N115" s="80">
        <v>45748</v>
      </c>
      <c r="O115" s="40">
        <f t="shared" si="49"/>
        <v>112</v>
      </c>
      <c r="P115" s="109">
        <f>Tabla610[[#This Row],[pred]]</f>
        <v>327095.61293452804</v>
      </c>
      <c r="Q115" s="74">
        <f>AI$4*Tabla610[[#This Row],[Receptive tourism]]/S103+(1-AI$4)*(Q114+R114)</f>
        <v>484721.47534963896</v>
      </c>
      <c r="R115" s="74">
        <f t="shared" si="56"/>
        <v>-49797.5761267044</v>
      </c>
      <c r="S115" s="74">
        <f t="shared" si="57"/>
        <v>0.71002507148514182</v>
      </c>
      <c r="T115" s="2">
        <f t="shared" si="47"/>
        <v>327095.61293452804</v>
      </c>
      <c r="U115">
        <f t="shared" si="50"/>
        <v>102685.61293452804</v>
      </c>
      <c r="V115">
        <f t="shared" si="51"/>
        <v>10544335103.739712</v>
      </c>
      <c r="W115" s="17"/>
      <c r="Z115" s="70">
        <f t="shared" si="34"/>
        <v>112</v>
      </c>
      <c r="AB115" s="39">
        <f>IF($T115=0,0,(ABS(($R115-Tabla610[[#This Row],[pred]])/$T115))*100/COUNT($R$15:$R$105))</f>
        <v>1.2661996164119405</v>
      </c>
      <c r="AC115" s="105">
        <f>Tabla6[[#This Row],[pred]]</f>
        <v>335265.07376813953</v>
      </c>
      <c r="AD115" s="74"/>
      <c r="AE115" s="40">
        <f t="shared" si="52"/>
        <v>112</v>
      </c>
      <c r="AG115" s="74">
        <f>Tabla610[[#This Row],[pred]]</f>
        <v>327095.61293452804</v>
      </c>
    </row>
    <row r="116" spans="1:33" x14ac:dyDescent="0.3">
      <c r="A116" s="33">
        <v>45778</v>
      </c>
      <c r="C116">
        <f t="shared" si="53"/>
        <v>256393.75014676119</v>
      </c>
      <c r="D116" s="34">
        <f t="shared" si="54"/>
        <v>38478.105158604594</v>
      </c>
      <c r="E116" s="34">
        <f t="shared" si="55"/>
        <v>474309.39513491781</v>
      </c>
      <c r="N116" s="79">
        <v>45778</v>
      </c>
      <c r="O116" s="40">
        <f t="shared" si="49"/>
        <v>113</v>
      </c>
      <c r="P116" s="109">
        <f>Tabla610[[#This Row],[pred]]</f>
        <v>256393.75014676119</v>
      </c>
      <c r="Q116" s="74">
        <f>AI$4*Tabla610[[#This Row],[Receptive tourism]]/S104+(1-AI$4)*(Q115+R115)</f>
        <v>425389.42830544594</v>
      </c>
      <c r="R116" s="74">
        <f t="shared" si="56"/>
        <v>-54564.811585448711</v>
      </c>
      <c r="S116" s="74">
        <f t="shared" si="57"/>
        <v>0.60963661364789246</v>
      </c>
      <c r="T116" s="2">
        <f t="shared" si="47"/>
        <v>256393.75014676119</v>
      </c>
      <c r="U116">
        <f t="shared" ref="U116:U117" si="58">ABS(P104-T116)</f>
        <v>73590.750146761187</v>
      </c>
      <c r="V116">
        <f t="shared" ref="V116:V117" si="59">(P104-T116)^2</f>
        <v>5415598507.1630316</v>
      </c>
      <c r="W116" s="17"/>
      <c r="Z116" s="70">
        <f t="shared" si="34"/>
        <v>113</v>
      </c>
      <c r="AB116" s="39">
        <f>IF($T116=0,0,(ABS(($R116-Tabla610[[#This Row],[pred]])/$T116))*100/COUNT($R$15:$R$105))</f>
        <v>1.3327653462872338</v>
      </c>
      <c r="AC116" s="105">
        <f>Tabla6[[#This Row],[pred]]</f>
        <v>337998.22824676469</v>
      </c>
      <c r="AD116" s="74"/>
      <c r="AE116" s="40">
        <f t="shared" si="52"/>
        <v>113</v>
      </c>
      <c r="AG116" s="74">
        <f>Tabla610[[#This Row],[pred]]</f>
        <v>256393.75014676119</v>
      </c>
    </row>
    <row r="117" spans="1:33" x14ac:dyDescent="0.3">
      <c r="A117" s="33">
        <v>45809</v>
      </c>
      <c r="C117">
        <f t="shared" si="53"/>
        <v>292328.139972276</v>
      </c>
      <c r="D117" s="34">
        <f t="shared" si="54"/>
        <v>64612.45660267651</v>
      </c>
      <c r="E117" s="34">
        <f t="shared" si="55"/>
        <v>520043.82334187545</v>
      </c>
      <c r="N117" s="80">
        <v>45809</v>
      </c>
      <c r="O117" s="40">
        <f t="shared" si="49"/>
        <v>114</v>
      </c>
      <c r="P117" s="109">
        <f>Tabla610[[#This Row],[pred]]</f>
        <v>292328.139972276</v>
      </c>
      <c r="Q117" s="74">
        <f>AI$4*Tabla610[[#This Row],[Receptive tourism]]/S105+(1-AI$4)*(Q116+R116)</f>
        <v>433352.2336049669</v>
      </c>
      <c r="R117" s="74">
        <f t="shared" si="56"/>
        <v>-23301.003142963877</v>
      </c>
      <c r="S117" s="74">
        <f t="shared" si="57"/>
        <v>0.63204401485967809</v>
      </c>
      <c r="T117" s="2">
        <f t="shared" ref="T117:T118" si="60">(Q116+R116)*S106</f>
        <v>292328.139972276</v>
      </c>
      <c r="U117">
        <f t="shared" si="58"/>
        <v>122481.139972276</v>
      </c>
      <c r="V117">
        <f t="shared" si="59"/>
        <v>15001629648.908264</v>
      </c>
      <c r="W117" s="17"/>
      <c r="Z117" s="70">
        <f t="shared" si="34"/>
        <v>114</v>
      </c>
      <c r="AB117" s="39">
        <f>IF($T117=0,0,(ABS(($R117-Tabla610[[#This Row],[pred]])/$T117))*100/COUNT($R$15:$R$105))</f>
        <v>1.1864927278210151</v>
      </c>
      <c r="AC117" s="105">
        <f>Tabla6[[#This Row],[pred]]</f>
        <v>320245.36587610876</v>
      </c>
      <c r="AD117" s="74"/>
      <c r="AE117" s="40">
        <f t="shared" si="52"/>
        <v>114</v>
      </c>
      <c r="AG117" s="74">
        <f>Tabla610[[#This Row],[pred]]</f>
        <v>292328.139972276</v>
      </c>
    </row>
    <row r="118" spans="1:33" x14ac:dyDescent="0.3">
      <c r="A118" s="33">
        <v>45839</v>
      </c>
      <c r="C118">
        <f t="shared" si="53"/>
        <v>249926.15401731976</v>
      </c>
      <c r="D118" s="34">
        <f t="shared" si="54"/>
        <v>12796.869946894934</v>
      </c>
      <c r="E118" s="34">
        <f t="shared" si="55"/>
        <v>487055.43808774458</v>
      </c>
      <c r="N118" s="79">
        <v>45839</v>
      </c>
      <c r="O118" s="40">
        <f t="shared" si="49"/>
        <v>115</v>
      </c>
      <c r="P118" s="109">
        <f>Tabla610[[#This Row],[pred]]</f>
        <v>336729.65590884542</v>
      </c>
      <c r="Q118" s="74">
        <f>AI$4*Tabla610[[#This Row],[Receptive tourism]]/S106+(1-AI$4)*(Q117+R117)</f>
        <v>418600.06892967119</v>
      </c>
      <c r="R118" s="74">
        <f t="shared" si="56"/>
        <v>-19026.583909129789</v>
      </c>
      <c r="S118" s="74">
        <f t="shared" si="57"/>
        <v>0.79636883553568327</v>
      </c>
      <c r="T118" s="2">
        <f t="shared" si="60"/>
        <v>336729.65590884542</v>
      </c>
      <c r="U118">
        <f t="shared" ref="U118" si="61">ABS(P106-T118)</f>
        <v>103624.65590884542</v>
      </c>
      <c r="V118">
        <f t="shared" ref="V118" si="62">(P106-T118)^2</f>
        <v>10738069312.226612</v>
      </c>
      <c r="W118" s="17"/>
      <c r="Z118" s="70">
        <f t="shared" si="34"/>
        <v>115</v>
      </c>
      <c r="AB118" s="113"/>
      <c r="AC118" s="108">
        <f>AC106</f>
        <v>220080.12336687074</v>
      </c>
      <c r="AD118" s="83"/>
      <c r="AE118" s="40">
        <f t="shared" si="52"/>
        <v>115</v>
      </c>
      <c r="AG118" s="83">
        <f>AG106</f>
        <v>249926.15401731976</v>
      </c>
    </row>
    <row r="119" spans="1:33" x14ac:dyDescent="0.3">
      <c r="A119" s="33">
        <v>45870</v>
      </c>
      <c r="C119">
        <f t="shared" si="53"/>
        <v>277251.19364537142</v>
      </c>
      <c r="D119" s="34">
        <f t="shared" si="54"/>
        <v>31050.398269531783</v>
      </c>
      <c r="E119" s="34">
        <f t="shared" si="55"/>
        <v>523451.98902121105</v>
      </c>
      <c r="N119" s="80">
        <v>45870</v>
      </c>
      <c r="O119" s="40">
        <f t="shared" si="49"/>
        <v>116</v>
      </c>
      <c r="Q119" s="74"/>
      <c r="R119" s="74"/>
      <c r="S119" s="74"/>
      <c r="W119" s="17"/>
      <c r="Z119" s="70">
        <f t="shared" si="34"/>
        <v>116</v>
      </c>
      <c r="AB119" s="113"/>
      <c r="AC119" s="108">
        <f t="shared" ref="AC119:AC123" si="63">AC107</f>
        <v>228380.05334825744</v>
      </c>
      <c r="AD119" s="83"/>
      <c r="AE119" s="40">
        <f t="shared" si="52"/>
        <v>116</v>
      </c>
      <c r="AG119" s="83">
        <f t="shared" ref="AG119:AG123" si="64">AG107</f>
        <v>277251.19364537142</v>
      </c>
    </row>
    <row r="120" spans="1:33" x14ac:dyDescent="0.3">
      <c r="A120" s="33">
        <v>45901</v>
      </c>
      <c r="C120">
        <f t="shared" si="53"/>
        <v>363228.78928181488</v>
      </c>
      <c r="D120" s="34">
        <f t="shared" si="54"/>
        <v>108262.03876010203</v>
      </c>
      <c r="E120" s="34">
        <f t="shared" si="55"/>
        <v>618195.53980352776</v>
      </c>
      <c r="N120" s="79">
        <v>45901</v>
      </c>
      <c r="O120" s="40">
        <f t="shared" si="49"/>
        <v>117</v>
      </c>
      <c r="Q120" s="74"/>
      <c r="R120" s="74"/>
      <c r="S120" s="74"/>
      <c r="W120" s="17"/>
      <c r="Z120" s="70">
        <f t="shared" si="34"/>
        <v>117</v>
      </c>
      <c r="AB120" s="113"/>
      <c r="AC120" s="108">
        <f t="shared" si="63"/>
        <v>242634.35514950968</v>
      </c>
      <c r="AD120" s="83"/>
      <c r="AE120" s="40">
        <f t="shared" si="52"/>
        <v>117</v>
      </c>
      <c r="AG120" s="83">
        <f t="shared" si="64"/>
        <v>363228.78928181488</v>
      </c>
    </row>
    <row r="121" spans="1:33" x14ac:dyDescent="0.3">
      <c r="A121" s="33">
        <v>45931</v>
      </c>
      <c r="C121">
        <f t="shared" si="53"/>
        <v>541539.97943390743</v>
      </c>
      <c r="D121" s="34">
        <f t="shared" si="54"/>
        <v>278082.31181583577</v>
      </c>
      <c r="E121" s="34">
        <f t="shared" si="55"/>
        <v>804997.64705197909</v>
      </c>
      <c r="N121" s="80">
        <v>45931</v>
      </c>
      <c r="O121" s="40">
        <f t="shared" si="49"/>
        <v>118</v>
      </c>
      <c r="Q121" s="74"/>
      <c r="R121" s="74"/>
      <c r="S121" s="74"/>
      <c r="W121" s="17"/>
      <c r="Z121" s="70">
        <f t="shared" si="34"/>
        <v>118</v>
      </c>
      <c r="AB121" s="113"/>
      <c r="AC121" s="108">
        <f t="shared" si="63"/>
        <v>279582.02524934371</v>
      </c>
      <c r="AD121" s="83"/>
      <c r="AE121" s="40">
        <f t="shared" si="52"/>
        <v>118</v>
      </c>
      <c r="AG121" s="83">
        <f t="shared" si="64"/>
        <v>541539.97943390743</v>
      </c>
    </row>
    <row r="122" spans="1:33" x14ac:dyDescent="0.3">
      <c r="A122" s="33">
        <v>45962</v>
      </c>
      <c r="C122">
        <f t="shared" si="53"/>
        <v>697752.51497234812</v>
      </c>
      <c r="D122" s="34">
        <f t="shared" si="54"/>
        <v>426053.1655280753</v>
      </c>
      <c r="E122" s="34">
        <f t="shared" si="55"/>
        <v>969451.86441662093</v>
      </c>
      <c r="N122" s="79">
        <v>45962</v>
      </c>
      <c r="O122" s="40">
        <f t="shared" si="49"/>
        <v>119</v>
      </c>
      <c r="Q122" s="74"/>
      <c r="R122" s="74"/>
      <c r="S122" s="74"/>
      <c r="W122" s="17"/>
      <c r="Z122" s="70">
        <f t="shared" si="34"/>
        <v>119</v>
      </c>
      <c r="AB122" s="113"/>
      <c r="AC122" s="108">
        <f t="shared" si="63"/>
        <v>333846.78199004359</v>
      </c>
      <c r="AD122" s="83"/>
      <c r="AE122" s="40">
        <f t="shared" si="52"/>
        <v>119</v>
      </c>
      <c r="AG122" s="83">
        <f t="shared" si="64"/>
        <v>697752.51497234812</v>
      </c>
    </row>
    <row r="123" spans="1:33" x14ac:dyDescent="0.3">
      <c r="A123" s="33">
        <v>45992</v>
      </c>
      <c r="C123">
        <f t="shared" si="53"/>
        <v>901876.65372537938</v>
      </c>
      <c r="D123" s="34">
        <f t="shared" si="54"/>
        <v>622162.8106000385</v>
      </c>
      <c r="E123" s="34">
        <f t="shared" si="55"/>
        <v>1181590.4968507201</v>
      </c>
      <c r="N123" s="80">
        <v>45992</v>
      </c>
      <c r="O123" s="40">
        <f t="shared" si="49"/>
        <v>120</v>
      </c>
      <c r="Q123" s="74"/>
      <c r="R123" s="74"/>
      <c r="S123" s="74"/>
      <c r="W123" s="17"/>
      <c r="Z123" s="70">
        <f t="shared" si="34"/>
        <v>120</v>
      </c>
      <c r="AB123" s="113"/>
      <c r="AC123" s="108">
        <f t="shared" si="63"/>
        <v>369736.12717278459</v>
      </c>
      <c r="AD123" s="83"/>
      <c r="AE123" s="40">
        <f t="shared" si="52"/>
        <v>120</v>
      </c>
      <c r="AG123" s="83">
        <f t="shared" si="64"/>
        <v>901876.65372537938</v>
      </c>
    </row>
    <row r="124" spans="1:33" x14ac:dyDescent="0.3">
      <c r="AG124" s="74"/>
    </row>
    <row r="125" spans="1:33" x14ac:dyDescent="0.3">
      <c r="AG125" s="74"/>
    </row>
    <row r="126" spans="1:33" x14ac:dyDescent="0.3">
      <c r="AG126" s="74"/>
    </row>
    <row r="127" spans="1:33" x14ac:dyDescent="0.3">
      <c r="AG127" s="74"/>
    </row>
    <row r="128" spans="1:33" x14ac:dyDescent="0.3">
      <c r="AG128" s="74"/>
    </row>
    <row r="129" spans="33:33" x14ac:dyDescent="0.3">
      <c r="AG129" s="74"/>
    </row>
    <row r="130" spans="33:33" x14ac:dyDescent="0.3">
      <c r="AG130" s="74"/>
    </row>
    <row r="131" spans="33:33" x14ac:dyDescent="0.3">
      <c r="AG131" s="74"/>
    </row>
  </sheetData>
  <mergeCells count="1">
    <mergeCell ref="AI6:AK6"/>
  </mergeCells>
  <hyperlinks>
    <hyperlink ref="G56" r:id="rId1" xr:uid="{4F10E8B3-AFA2-45D4-9085-C0CAEB1A741B}"/>
  </hyperlinks>
  <pageMargins left="0.7" right="0.7" top="0.75" bottom="0.75" header="0.3" footer="0.3"/>
  <pageSetup paperSize="9" orientation="portrait" horizontalDpi="1200" verticalDpi="1200" r:id="rId2"/>
  <drawing r:id="rId3"/>
  <tableParts count="3"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0ADF-C38C-410C-9D90-F34BE9DA86DA}">
  <dimension ref="A1:AO131"/>
  <sheetViews>
    <sheetView topLeftCell="N1" zoomScale="70" zoomScaleNormal="70" workbookViewId="0">
      <selection activeCell="AA12" sqref="AA12"/>
    </sheetView>
  </sheetViews>
  <sheetFormatPr baseColWidth="10" defaultRowHeight="13.2" x14ac:dyDescent="0.3"/>
  <cols>
    <col min="2" max="2" width="23.42578125" customWidth="1"/>
    <col min="3" max="3" width="32.85546875" customWidth="1"/>
    <col min="4" max="4" width="48.28515625" customWidth="1"/>
    <col min="5" max="5" width="49.28515625" customWidth="1"/>
    <col min="20" max="20" width="11.85546875" customWidth="1"/>
    <col min="21" max="21" width="11.42578125" customWidth="1"/>
    <col min="24" max="24" width="11.42578125" customWidth="1"/>
    <col min="32" max="32" width="15" bestFit="1" customWidth="1"/>
    <col min="34" max="34" width="29.140625" customWidth="1"/>
    <col min="35" max="35" width="15.85546875" customWidth="1"/>
    <col min="36" max="36" width="12" customWidth="1"/>
    <col min="37" max="37" width="13.28515625" customWidth="1"/>
    <col min="41" max="41" width="14.85546875" bestFit="1" customWidth="1"/>
  </cols>
  <sheetData>
    <row r="1" spans="1:41" ht="14.4" x14ac:dyDescent="0.3">
      <c r="R1" s="77" t="s">
        <v>149</v>
      </c>
      <c r="AA1" s="16"/>
      <c r="AB1" s="16"/>
      <c r="AC1" s="16"/>
      <c r="AD1" s="40"/>
      <c r="AE1" s="40"/>
    </row>
    <row r="2" spans="1:41" x14ac:dyDescent="0.3">
      <c r="U2" t="s">
        <v>148</v>
      </c>
      <c r="V2" t="s">
        <v>147</v>
      </c>
      <c r="W2" t="s">
        <v>146</v>
      </c>
      <c r="AA2" s="16"/>
      <c r="AB2" s="16"/>
      <c r="AC2" s="16"/>
      <c r="AD2" s="40"/>
      <c r="AE2" s="40"/>
    </row>
    <row r="3" spans="1:41" ht="13.8" thickBot="1" x14ac:dyDescent="0.35">
      <c r="A3" t="s">
        <v>71</v>
      </c>
      <c r="B3" t="s">
        <v>72</v>
      </c>
      <c r="C3" t="s">
        <v>76</v>
      </c>
      <c r="D3" t="s">
        <v>77</v>
      </c>
      <c r="E3" t="s">
        <v>78</v>
      </c>
      <c r="R3" s="76" t="s">
        <v>145</v>
      </c>
      <c r="S3" s="76" t="s">
        <v>90</v>
      </c>
      <c r="T3" s="78" t="s">
        <v>115</v>
      </c>
      <c r="U3" s="76" t="s">
        <v>144</v>
      </c>
      <c r="V3" s="76" t="s">
        <v>143</v>
      </c>
      <c r="W3" s="76" t="s">
        <v>142</v>
      </c>
      <c r="X3" s="76" t="s">
        <v>138</v>
      </c>
      <c r="Y3" s="76" t="s">
        <v>141</v>
      </c>
      <c r="Z3" s="76" t="s">
        <v>140</v>
      </c>
      <c r="AA3" s="101" t="s">
        <v>181</v>
      </c>
      <c r="AB3" s="101" t="s">
        <v>79</v>
      </c>
      <c r="AC3" s="101"/>
      <c r="AD3" s="76" t="s">
        <v>90</v>
      </c>
      <c r="AE3" s="76" t="s">
        <v>139</v>
      </c>
      <c r="AF3" s="76" t="s">
        <v>138</v>
      </c>
      <c r="AG3" s="69"/>
      <c r="AI3" s="45" t="s">
        <v>152</v>
      </c>
      <c r="AJ3" s="45" t="s">
        <v>151</v>
      </c>
      <c r="AK3" s="45" t="s">
        <v>153</v>
      </c>
      <c r="AN3" s="40" t="s">
        <v>134</v>
      </c>
      <c r="AO3" s="40" t="s">
        <v>133</v>
      </c>
    </row>
    <row r="4" spans="1:41" ht="13.8" thickTop="1" x14ac:dyDescent="0.3">
      <c r="A4" s="33">
        <v>42370</v>
      </c>
      <c r="B4" s="2">
        <f>Decomposition!C11</f>
        <v>248684</v>
      </c>
      <c r="R4" s="79">
        <v>42370</v>
      </c>
      <c r="S4" s="40">
        <v>1</v>
      </c>
      <c r="T4" s="81">
        <f>Decomposition!C11</f>
        <v>248684</v>
      </c>
      <c r="W4" s="74">
        <f>T4/AVERAGE(T$4:T$15)</f>
        <v>1.2181474998693766</v>
      </c>
      <c r="AA4" s="17"/>
      <c r="AB4" s="69"/>
      <c r="AC4" s="69"/>
      <c r="AD4" s="40">
        <v>1</v>
      </c>
      <c r="AE4" s="81">
        <f>Tabla6[[#This Row],[Receptive tourism]]</f>
        <v>248684</v>
      </c>
      <c r="AF4" s="74"/>
      <c r="AG4" s="74"/>
      <c r="AI4" s="116">
        <v>0.99</v>
      </c>
      <c r="AJ4" s="62">
        <v>0.99</v>
      </c>
      <c r="AK4" s="75">
        <v>0</v>
      </c>
      <c r="AN4" s="46">
        <f>AVERAGE(Y4:Y117)</f>
        <v>78018.51990631166</v>
      </c>
      <c r="AO4" s="75">
        <f>AVERAGE(Z4:Z117)</f>
        <v>13098001018.058908</v>
      </c>
    </row>
    <row r="5" spans="1:41" x14ac:dyDescent="0.3">
      <c r="A5" s="33">
        <v>42401</v>
      </c>
      <c r="B5" s="2">
        <f>Decomposition!C12</f>
        <v>211731</v>
      </c>
      <c r="R5" s="80">
        <v>42401</v>
      </c>
      <c r="S5" s="40">
        <f t="shared" ref="S5:S18" si="0">S4+1</f>
        <v>2</v>
      </c>
      <c r="T5" s="81">
        <f>Decomposition!C12</f>
        <v>211731</v>
      </c>
      <c r="W5" s="74">
        <f t="shared" ref="W5:W14" si="1">T5/AVERAGE(T$4:T$15)</f>
        <v>1.0371378468049532</v>
      </c>
      <c r="AA5" s="17"/>
      <c r="AB5" s="69"/>
      <c r="AC5" s="69"/>
      <c r="AD5" s="40">
        <f t="shared" ref="AD5:AD10" si="2">AD4+1</f>
        <v>2</v>
      </c>
      <c r="AE5" s="81">
        <f>Tabla6[[#This Row],[Receptive tourism]]</f>
        <v>211731</v>
      </c>
      <c r="AF5" s="74"/>
      <c r="AG5" s="74"/>
    </row>
    <row r="6" spans="1:41" ht="14.4" x14ac:dyDescent="0.3">
      <c r="A6" s="33">
        <v>42430</v>
      </c>
      <c r="B6" s="2">
        <f>Decomposition!C13</f>
        <v>210862</v>
      </c>
      <c r="R6" s="79">
        <v>42430</v>
      </c>
      <c r="S6" s="40">
        <f t="shared" si="0"/>
        <v>3</v>
      </c>
      <c r="T6" s="81">
        <f>Decomposition!C13</f>
        <v>210862</v>
      </c>
      <c r="W6" s="74">
        <f t="shared" si="1"/>
        <v>1.032881158890224</v>
      </c>
      <c r="AA6" s="17"/>
      <c r="AB6" s="69"/>
      <c r="AC6" s="69"/>
      <c r="AD6" s="40">
        <f t="shared" si="2"/>
        <v>3</v>
      </c>
      <c r="AE6" s="81">
        <f>Tabla6[[#This Row],[Receptive tourism]]</f>
        <v>210862</v>
      </c>
      <c r="AF6" s="74"/>
      <c r="AG6" s="74"/>
      <c r="AH6" s="88" t="s">
        <v>190</v>
      </c>
      <c r="AI6" s="88" t="s">
        <v>177</v>
      </c>
      <c r="AJ6" s="88" t="s">
        <v>79</v>
      </c>
      <c r="AK6" s="88" t="s">
        <v>133</v>
      </c>
      <c r="AM6" s="1">
        <v>455679.15280445461</v>
      </c>
      <c r="AN6" s="2">
        <f>AN4-AM6</f>
        <v>-377660.63289814297</v>
      </c>
    </row>
    <row r="7" spans="1:41" ht="14.4" x14ac:dyDescent="0.3">
      <c r="A7" s="33">
        <v>42461</v>
      </c>
      <c r="B7" s="2">
        <f>Decomposition!C14</f>
        <v>182419</v>
      </c>
      <c r="R7" s="80">
        <v>42461</v>
      </c>
      <c r="S7" s="40">
        <f t="shared" si="0"/>
        <v>4</v>
      </c>
      <c r="T7" s="81">
        <f>Decomposition!C14</f>
        <v>182419</v>
      </c>
      <c r="W7" s="74">
        <f t="shared" si="1"/>
        <v>0.89355667746486223</v>
      </c>
      <c r="AA7" s="17"/>
      <c r="AB7" s="69"/>
      <c r="AC7" s="69"/>
      <c r="AD7" s="40">
        <f t="shared" si="2"/>
        <v>4</v>
      </c>
      <c r="AE7" s="81">
        <f>Tabla6[[#This Row],[Receptive tourism]]</f>
        <v>182419</v>
      </c>
      <c r="AF7" s="74"/>
      <c r="AG7" s="74"/>
      <c r="AH7" s="102">
        <f>AA106</f>
        <v>13024.876633129257</v>
      </c>
      <c r="AI7" s="103">
        <f>AVERAGE(AA16:AA106)</f>
        <v>22119.019014600821</v>
      </c>
      <c r="AJ7" s="110">
        <f>AVERAGE(AB17:AB106)</f>
        <v>0.1989523402136105</v>
      </c>
      <c r="AK7" s="104">
        <f>SUMXMY2(T16:T105,X16:X105)/COUNT(X16:X105)</f>
        <v>1652145709.0616512</v>
      </c>
    </row>
    <row r="8" spans="1:41" x14ac:dyDescent="0.3">
      <c r="A8" s="33">
        <v>42491</v>
      </c>
      <c r="B8" s="2">
        <f>Decomposition!C15</f>
        <v>176403</v>
      </c>
      <c r="R8" s="79">
        <v>42491</v>
      </c>
      <c r="S8" s="40">
        <f t="shared" si="0"/>
        <v>5</v>
      </c>
      <c r="T8" s="81">
        <f>Decomposition!C15</f>
        <v>176403</v>
      </c>
      <c r="W8" s="74">
        <f t="shared" si="1"/>
        <v>0.86408805318982174</v>
      </c>
      <c r="AA8" s="17"/>
      <c r="AB8" s="69"/>
      <c r="AC8" s="69"/>
      <c r="AD8" s="40">
        <f t="shared" si="2"/>
        <v>5</v>
      </c>
      <c r="AE8" s="81">
        <f>Tabla6[[#This Row],[Receptive tourism]]</f>
        <v>176403</v>
      </c>
      <c r="AF8" s="74"/>
      <c r="AG8" s="74"/>
    </row>
    <row r="9" spans="1:41" x14ac:dyDescent="0.3">
      <c r="A9" s="33">
        <v>42522</v>
      </c>
      <c r="B9" s="2">
        <f>Decomposition!C16</f>
        <v>160586</v>
      </c>
      <c r="R9" s="80">
        <v>42522</v>
      </c>
      <c r="S9" s="40">
        <f t="shared" si="0"/>
        <v>6</v>
      </c>
      <c r="T9" s="81">
        <f>Decomposition!C16</f>
        <v>160586</v>
      </c>
      <c r="W9" s="74">
        <f t="shared" si="1"/>
        <v>0.78661045509169758</v>
      </c>
      <c r="AA9" s="17"/>
      <c r="AB9" s="69"/>
      <c r="AC9" s="69"/>
      <c r="AD9" s="40">
        <f t="shared" si="2"/>
        <v>6</v>
      </c>
      <c r="AE9" s="81">
        <f>Tabla6[[#This Row],[Receptive tourism]]</f>
        <v>160586</v>
      </c>
      <c r="AF9" s="74"/>
      <c r="AG9" s="74"/>
    </row>
    <row r="10" spans="1:41" x14ac:dyDescent="0.3">
      <c r="A10" s="33">
        <v>42552</v>
      </c>
      <c r="B10" s="2">
        <f>Decomposition!C17</f>
        <v>205385</v>
      </c>
      <c r="R10" s="79">
        <v>42552</v>
      </c>
      <c r="S10" s="40">
        <f t="shared" si="0"/>
        <v>7</v>
      </c>
      <c r="T10" s="81">
        <f>Decomposition!C17</f>
        <v>205385</v>
      </c>
      <c r="W10" s="74">
        <f t="shared" si="1"/>
        <v>1.0060527587648258</v>
      </c>
      <c r="AA10" s="17"/>
      <c r="AB10" s="69"/>
      <c r="AC10" s="69"/>
      <c r="AD10" s="40">
        <f t="shared" si="2"/>
        <v>7</v>
      </c>
      <c r="AE10" s="81">
        <f>Tabla6[[#This Row],[Receptive tourism]]</f>
        <v>205385</v>
      </c>
      <c r="AF10" s="74"/>
      <c r="AG10" s="74"/>
    </row>
    <row r="11" spans="1:41" x14ac:dyDescent="0.3">
      <c r="A11" s="33">
        <v>42583</v>
      </c>
      <c r="B11" s="2">
        <f>Decomposition!C18</f>
        <v>188354</v>
      </c>
      <c r="R11" s="80">
        <v>42583</v>
      </c>
      <c r="S11" s="40">
        <f t="shared" si="0"/>
        <v>8</v>
      </c>
      <c r="T11" s="81">
        <f>Decomposition!C18</f>
        <v>188354</v>
      </c>
      <c r="W11" s="74">
        <f t="shared" si="1"/>
        <v>0.92262853336119965</v>
      </c>
      <c r="AA11" s="17"/>
      <c r="AB11" s="69"/>
      <c r="AC11" s="69"/>
      <c r="AD11" s="40">
        <f t="shared" ref="AD11:AD74" si="3">AD10+1</f>
        <v>8</v>
      </c>
      <c r="AE11" s="81">
        <f>Tabla6[[#This Row],[Receptive tourism]]</f>
        <v>188354</v>
      </c>
      <c r="AF11" s="74"/>
      <c r="AG11" s="74"/>
    </row>
    <row r="12" spans="1:41" x14ac:dyDescent="0.3">
      <c r="A12" s="33">
        <v>42614</v>
      </c>
      <c r="B12" s="2">
        <f>Decomposition!C19</f>
        <v>187990</v>
      </c>
      <c r="R12" s="79">
        <v>42614</v>
      </c>
      <c r="S12" s="40">
        <f t="shared" si="0"/>
        <v>9</v>
      </c>
      <c r="T12" s="81">
        <f>Decomposition!C19</f>
        <v>187990</v>
      </c>
      <c r="W12" s="74">
        <f t="shared" si="1"/>
        <v>0.92084552484455817</v>
      </c>
      <c r="AA12" s="17"/>
      <c r="AB12" s="69"/>
      <c r="AC12" s="69"/>
      <c r="AD12" s="40">
        <f t="shared" si="3"/>
        <v>9</v>
      </c>
      <c r="AE12" s="81">
        <f>Tabla6[[#This Row],[Receptive tourism]]</f>
        <v>187990</v>
      </c>
      <c r="AF12" s="74"/>
      <c r="AG12" s="74"/>
    </row>
    <row r="13" spans="1:41" x14ac:dyDescent="0.3">
      <c r="A13" s="33">
        <v>42644</v>
      </c>
      <c r="B13" s="2">
        <f>Decomposition!C20</f>
        <v>204246</v>
      </c>
      <c r="R13" s="80">
        <v>42644</v>
      </c>
      <c r="S13" s="40">
        <f t="shared" si="0"/>
        <v>10</v>
      </c>
      <c r="T13" s="81">
        <f>Decomposition!C20</f>
        <v>204246</v>
      </c>
      <c r="W13" s="74">
        <f t="shared" si="1"/>
        <v>1.0004735095877526</v>
      </c>
      <c r="AA13" s="17"/>
      <c r="AB13" s="69"/>
      <c r="AC13" s="69"/>
      <c r="AD13" s="40">
        <f t="shared" si="3"/>
        <v>10</v>
      </c>
      <c r="AE13" s="81">
        <f>Tabla6[[#This Row],[Receptive tourism]]</f>
        <v>204246</v>
      </c>
      <c r="AF13" s="74"/>
      <c r="AG13" s="74"/>
    </row>
    <row r="14" spans="1:41" x14ac:dyDescent="0.3">
      <c r="A14" s="33">
        <v>42675</v>
      </c>
      <c r="B14" s="2">
        <f>Decomposition!C21</f>
        <v>230713</v>
      </c>
      <c r="R14" s="79">
        <v>42675</v>
      </c>
      <c r="S14" s="40">
        <f t="shared" si="0"/>
        <v>11</v>
      </c>
      <c r="T14" s="81">
        <f>Decomposition!C21</f>
        <v>230713</v>
      </c>
      <c r="W14" s="74">
        <f t="shared" si="1"/>
        <v>1.1301188019227755</v>
      </c>
      <c r="AA14" s="17"/>
      <c r="AB14" s="69"/>
      <c r="AC14" s="69"/>
      <c r="AD14" s="40">
        <f t="shared" si="3"/>
        <v>11</v>
      </c>
      <c r="AE14" s="81">
        <f>Tabla6[[#This Row],[Receptive tourism]]</f>
        <v>230713</v>
      </c>
      <c r="AF14" s="74"/>
      <c r="AG14" s="74"/>
    </row>
    <row r="15" spans="1:41" x14ac:dyDescent="0.3">
      <c r="A15" s="33">
        <v>42705</v>
      </c>
      <c r="B15" s="2">
        <f>Decomposition!C22</f>
        <v>242419</v>
      </c>
      <c r="R15" s="80">
        <v>42705</v>
      </c>
      <c r="S15" s="40">
        <f t="shared" si="0"/>
        <v>12</v>
      </c>
      <c r="T15" s="81">
        <f>Decomposition!C22</f>
        <v>242419</v>
      </c>
      <c r="U15" s="82">
        <f>T15/W15</f>
        <v>204149.33333333331</v>
      </c>
      <c r="V15" s="105">
        <f>AVERAGE(T4:T15)</f>
        <v>204149.33333333334</v>
      </c>
      <c r="W15" s="74">
        <f>T15/AVERAGE(T$4:T$15)</f>
        <v>1.1874591802079524</v>
      </c>
      <c r="AA15" s="17"/>
      <c r="AB15" s="69"/>
      <c r="AC15" s="69"/>
      <c r="AD15" s="40">
        <f t="shared" si="3"/>
        <v>12</v>
      </c>
      <c r="AE15" s="81">
        <f>Tabla6[[#This Row],[Receptive tourism]]</f>
        <v>242419</v>
      </c>
      <c r="AF15" s="74"/>
      <c r="AG15" s="74"/>
    </row>
    <row r="16" spans="1:41" x14ac:dyDescent="0.3">
      <c r="A16" s="33">
        <v>42736</v>
      </c>
      <c r="B16" s="2">
        <f>Decomposition!C23</f>
        <v>246675</v>
      </c>
      <c r="R16" s="79">
        <v>42736</v>
      </c>
      <c r="S16" s="40">
        <f t="shared" si="0"/>
        <v>13</v>
      </c>
      <c r="T16" s="81">
        <f>Decomposition!C23</f>
        <v>246675</v>
      </c>
      <c r="U16" s="74">
        <f>AI$4*(T16/W4)+(1-AI$4)*(U15+V15)</f>
        <v>204558.09335628079</v>
      </c>
      <c r="V16" s="74">
        <f>AJ$4*(U16-U15)+(1-AJ$4)*V15</f>
        <v>2446.1657560513377</v>
      </c>
      <c r="W16" s="74">
        <f>AK$4*(T16/Tabla6[[#This Row],[u]])+(1-AK$4)*W4</f>
        <v>1.2181474998693766</v>
      </c>
      <c r="X16" s="2">
        <f>(U15+V15)*W4</f>
        <v>497367.99999999994</v>
      </c>
      <c r="Y16" s="2">
        <f t="shared" ref="Y16:Y19" si="4">ABS(T4-X16)</f>
        <v>248683.99999999994</v>
      </c>
      <c r="Z16">
        <f t="shared" ref="Z16:Z19" si="5">(T4-X16)^2</f>
        <v>61843731855.999969</v>
      </c>
      <c r="AA16" s="17">
        <f>ABS(Tabla6[[#This Row],[Receptive tourism]]-Tabla6[[#This Row],[pred]])</f>
        <v>250692.99999999994</v>
      </c>
      <c r="AB16" s="69">
        <f>IF($T16=0,0,(ABS(($T16-Tabla6[[#This Row],[pred]])/$T16))*100/COUNT($R$17:$R$106))</f>
        <v>1.1292095987748159</v>
      </c>
      <c r="AC16" s="69"/>
      <c r="AD16" s="40">
        <f t="shared" si="3"/>
        <v>13</v>
      </c>
      <c r="AE16" s="81">
        <f>Tabla6[[#This Row],[Receptive tourism]]</f>
        <v>246675</v>
      </c>
      <c r="AF16" s="74"/>
      <c r="AG16" s="74"/>
    </row>
    <row r="17" spans="1:33" x14ac:dyDescent="0.3">
      <c r="A17" s="33">
        <v>42767</v>
      </c>
      <c r="B17" s="2">
        <f>Decomposition!C24</f>
        <v>208332</v>
      </c>
      <c r="R17" s="80">
        <v>42767</v>
      </c>
      <c r="S17" s="40">
        <f t="shared" si="0"/>
        <v>14</v>
      </c>
      <c r="T17" s="81">
        <f>Decomposition!C24</f>
        <v>208332</v>
      </c>
      <c r="U17" s="74">
        <f t="shared" ref="U17:U80" si="6">AI$4*(T17/W5)+(1-AI$4)*(U16+V16)</f>
        <v>200933.36691717856</v>
      </c>
      <c r="V17" s="74">
        <f>AJ$4*(U17-U16)+(1-AJ$4)*V16</f>
        <v>-3564.0175171506971</v>
      </c>
      <c r="W17" s="74">
        <f>AK$4*(T17/Tabla6[[#This Row],[u]])+(1-AK$4)*W5</f>
        <v>1.0371378468049532</v>
      </c>
      <c r="X17" s="2">
        <f t="shared" ref="X17:X19" si="7">(U16+V16)*W5</f>
        <v>214691.95157521876</v>
      </c>
      <c r="Y17" s="2">
        <f t="shared" si="4"/>
        <v>2960.9515752187581</v>
      </c>
      <c r="Z17">
        <f t="shared" si="5"/>
        <v>8767234.2307904456</v>
      </c>
      <c r="AA17" s="17">
        <f>ABS(Tabla6[[#This Row],[Receptive tourism]]-Tabla6[[#This Row],[pred]])</f>
        <v>6359.9515752187581</v>
      </c>
      <c r="AB17" s="69">
        <f>IF($T17=0,0,(ABS(($T17-Tabla6[[#This Row],[pred]])/$T17))*100/COUNT($R$17:$R$106))</f>
        <v>3.3919958822236501E-2</v>
      </c>
      <c r="AC17" s="69"/>
      <c r="AD17" s="40">
        <f t="shared" si="3"/>
        <v>14</v>
      </c>
      <c r="AE17" s="81">
        <f>Tabla6[[#This Row],[Receptive tourism]]</f>
        <v>208332</v>
      </c>
      <c r="AF17" s="105">
        <f>Tabla6[[#This Row],[pred]]</f>
        <v>214691.95157521876</v>
      </c>
      <c r="AG17" s="74"/>
    </row>
    <row r="18" spans="1:33" x14ac:dyDescent="0.3">
      <c r="A18" s="33">
        <v>42795</v>
      </c>
      <c r="B18" s="2">
        <f>Decomposition!C25</f>
        <v>215957</v>
      </c>
      <c r="R18" s="79">
        <v>42795</v>
      </c>
      <c r="S18" s="40">
        <f t="shared" si="0"/>
        <v>15</v>
      </c>
      <c r="T18" s="81">
        <f>Decomposition!C25</f>
        <v>215957</v>
      </c>
      <c r="U18" s="74">
        <f t="shared" si="6"/>
        <v>208965.00915485906</v>
      </c>
      <c r="V18" s="74">
        <f t="shared" ref="V18:V80" si="8">AJ$4*(U18-U17)+(1-AJ$4)*V17</f>
        <v>7915.6856401321866</v>
      </c>
      <c r="W18" s="74">
        <f>AK$4*(T18/Tabla6[[#This Row],[u]])+(1-AK$4)*W6</f>
        <v>1.032881158890224</v>
      </c>
      <c r="X18" s="2">
        <f t="shared" si="7"/>
        <v>203859.08233771031</v>
      </c>
      <c r="Y18" s="2">
        <f t="shared" si="4"/>
        <v>7002.9176622896921</v>
      </c>
      <c r="Z18">
        <f t="shared" si="5"/>
        <v>49040855.784808926</v>
      </c>
      <c r="AA18" s="17">
        <f>ABS(Tabla6[[#This Row],[Receptive tourism]]-Tabla6[[#This Row],[pred]])</f>
        <v>12097.917662289692</v>
      </c>
      <c r="AB18" s="69">
        <f>IF($T18=0,0,(ABS(($T18-Tabla6[[#This Row],[pred]])/$T18))*100/COUNT($R$17:$R$106))</f>
        <v>6.224447800199779E-2</v>
      </c>
      <c r="AC18" s="69"/>
      <c r="AD18" s="40">
        <f t="shared" si="3"/>
        <v>15</v>
      </c>
      <c r="AE18" s="81">
        <f>Tabla6[[#This Row],[Receptive tourism]]</f>
        <v>215957</v>
      </c>
      <c r="AF18" s="105">
        <f>Tabla6[[#This Row],[pred]]</f>
        <v>203859.08233771031</v>
      </c>
      <c r="AG18" s="74"/>
    </row>
    <row r="19" spans="1:33" x14ac:dyDescent="0.3">
      <c r="A19" s="33">
        <v>42826</v>
      </c>
      <c r="B19" s="2">
        <f>Decomposition!C26</f>
        <v>200426</v>
      </c>
      <c r="R19" s="80">
        <v>42826</v>
      </c>
      <c r="S19" s="40">
        <f t="shared" ref="S19:S82" si="9">S18+1</f>
        <v>16</v>
      </c>
      <c r="T19" s="81">
        <f>Decomposition!C26</f>
        <v>200426</v>
      </c>
      <c r="U19" s="74">
        <f t="shared" si="6"/>
        <v>224227.17773081796</v>
      </c>
      <c r="V19" s="74">
        <f t="shared" si="8"/>
        <v>15188.703746600633</v>
      </c>
      <c r="W19" s="74">
        <f>AK$4*(T19/Tabla6[[#This Row],[u]])+(1-AK$4)*W7</f>
        <v>0.89355667746486223</v>
      </c>
      <c r="X19" s="2">
        <f t="shared" si="7"/>
        <v>193795.19304728322</v>
      </c>
      <c r="Y19" s="2">
        <f t="shared" si="4"/>
        <v>11376.193047283217</v>
      </c>
      <c r="Z19">
        <f t="shared" si="5"/>
        <v>129417768.24905501</v>
      </c>
      <c r="AA19" s="17">
        <f>ABS(Tabla6[[#This Row],[Receptive tourism]]-Tabla6[[#This Row],[pred]])</f>
        <v>6630.8069527167827</v>
      </c>
      <c r="AB19" s="69">
        <f>IF($T19=0,0,(ABS(($T19-Tabla6[[#This Row],[pred]])/$T19))*100/COUNT($R$17:$R$106))</f>
        <v>3.675951862930172E-2</v>
      </c>
      <c r="AC19" s="69"/>
      <c r="AD19" s="40">
        <f t="shared" si="3"/>
        <v>16</v>
      </c>
      <c r="AE19" s="81">
        <f>Tabla6[[#This Row],[Receptive tourism]]</f>
        <v>200426</v>
      </c>
      <c r="AF19" s="105">
        <f>Tabla6[[#This Row],[pred]]</f>
        <v>193795.19304728322</v>
      </c>
      <c r="AG19" s="74"/>
    </row>
    <row r="20" spans="1:33" x14ac:dyDescent="0.3">
      <c r="A20" s="33">
        <v>42856</v>
      </c>
      <c r="B20" s="2">
        <f>Decomposition!C27</f>
        <v>179443</v>
      </c>
      <c r="R20" s="79">
        <v>42856</v>
      </c>
      <c r="S20" s="40">
        <f t="shared" si="9"/>
        <v>17</v>
      </c>
      <c r="T20" s="81">
        <f>Decomposition!C27</f>
        <v>179443</v>
      </c>
      <c r="U20" s="74">
        <f t="shared" si="6"/>
        <v>207984.97718589034</v>
      </c>
      <c r="V20" s="74">
        <f t="shared" si="8"/>
        <v>-15927.891502012335</v>
      </c>
      <c r="W20" s="74">
        <f>AK$4*(T20/Tabla6[[#This Row],[u]])+(1-AK$4)*W8</f>
        <v>0.86408805318982174</v>
      </c>
      <c r="X20" s="2">
        <f>(U19+V19)*W8</f>
        <v>206876.40292854773</v>
      </c>
      <c r="Y20" s="2">
        <f t="shared" ref="Y20:Y51" si="10">ABS(T8-X20)</f>
        <v>30473.40292854773</v>
      </c>
      <c r="Z20">
        <f t="shared" ref="Z20:Z51" si="11">(T8-X20)^2</f>
        <v>928628286.0456214</v>
      </c>
      <c r="AA20" s="17">
        <f>ABS(Tabla6[[#This Row],[Receptive tourism]]-Tabla6[[#This Row],[pred]])</f>
        <v>27433.40292854773</v>
      </c>
      <c r="AB20" s="69">
        <f>IF($T20=0,0,(ABS(($T20-Tabla6[[#This Row],[pred]])/$T20))*100/COUNT($R$17:$R$106))</f>
        <v>0.16986763935900248</v>
      </c>
      <c r="AC20" s="69"/>
      <c r="AD20" s="40">
        <f t="shared" si="3"/>
        <v>17</v>
      </c>
      <c r="AE20" s="81">
        <f>Tabla6[[#This Row],[Receptive tourism]]</f>
        <v>179443</v>
      </c>
      <c r="AF20" s="105">
        <f>Tabla6[[#This Row],[pred]]</f>
        <v>206876.40292854773</v>
      </c>
      <c r="AG20" s="74"/>
    </row>
    <row r="21" spans="1:33" x14ac:dyDescent="0.3">
      <c r="A21" s="33">
        <v>42887</v>
      </c>
      <c r="B21" s="2">
        <f>Decomposition!C28</f>
        <v>167766</v>
      </c>
      <c r="R21" s="80">
        <v>42887</v>
      </c>
      <c r="S21" s="40">
        <f t="shared" si="9"/>
        <v>18</v>
      </c>
      <c r="T21" s="81">
        <f>Decomposition!C28</f>
        <v>167766</v>
      </c>
      <c r="U21" s="74">
        <f t="shared" si="6"/>
        <v>213064.90402062639</v>
      </c>
      <c r="V21" s="74">
        <f t="shared" si="8"/>
        <v>4869.8486513685648</v>
      </c>
      <c r="W21" s="74">
        <f>AK$4*(T21/Tabla6[[#This Row],[u]])+(1-AK$4)*W9</f>
        <v>0.78661045509169758</v>
      </c>
      <c r="X21" s="2">
        <f>(U20+V20)*W9</f>
        <v>151074.11157338045</v>
      </c>
      <c r="Y21" s="2">
        <f t="shared" si="10"/>
        <v>9511.8884266195528</v>
      </c>
      <c r="Z21">
        <f t="shared" si="11"/>
        <v>90476021.440458998</v>
      </c>
      <c r="AA21" s="17">
        <f>ABS(Tabla6[[#This Row],[Receptive tourism]]-Tabla6[[#This Row],[pred]])</f>
        <v>16691.888426619553</v>
      </c>
      <c r="AB21" s="69">
        <f>IF($T21=0,0,(ABS(($T21-Tabla6[[#This Row],[pred]])/$T21))*100/COUNT($R$17:$R$106))</f>
        <v>0.11055006792940135</v>
      </c>
      <c r="AC21" s="69"/>
      <c r="AD21" s="40">
        <f t="shared" si="3"/>
        <v>18</v>
      </c>
      <c r="AE21" s="81">
        <f>Tabla6[[#This Row],[Receptive tourism]]</f>
        <v>167766</v>
      </c>
      <c r="AF21" s="105">
        <f>Tabla6[[#This Row],[pred]]</f>
        <v>151074.11157338045</v>
      </c>
      <c r="AG21" s="74"/>
    </row>
    <row r="22" spans="1:33" x14ac:dyDescent="0.3">
      <c r="A22" s="33">
        <v>42917</v>
      </c>
      <c r="B22" s="2">
        <f>Decomposition!C29</f>
        <v>211456</v>
      </c>
      <c r="R22" s="79">
        <v>42917</v>
      </c>
      <c r="S22" s="40">
        <f t="shared" si="9"/>
        <v>19</v>
      </c>
      <c r="T22" s="81">
        <f>Decomposition!C29</f>
        <v>211456</v>
      </c>
      <c r="U22" s="74">
        <f t="shared" si="6"/>
        <v>210261.31755880601</v>
      </c>
      <c r="V22" s="74">
        <f t="shared" si="8"/>
        <v>-2726.8521106884882</v>
      </c>
      <c r="W22" s="74">
        <f>AK$4*(T22/Tabla6[[#This Row],[u]])+(1-AK$4)*W10</f>
        <v>1.0060527587648258</v>
      </c>
      <c r="X22" s="2">
        <f t="shared" ref="X22:X84" si="12">(U21+V21)*W10</f>
        <v>219253.85915639054</v>
      </c>
      <c r="Y22" s="2">
        <f t="shared" si="10"/>
        <v>13868.859156390536</v>
      </c>
      <c r="Z22">
        <f t="shared" si="11"/>
        <v>192345254.29979759</v>
      </c>
      <c r="AA22" s="17">
        <f>ABS(Tabla6[[#This Row],[Receptive tourism]]-Tabla6[[#This Row],[pred]])</f>
        <v>7797.8591563905356</v>
      </c>
      <c r="AB22" s="69">
        <f>IF($T22=0,0,(ABS(($T22-Tabla6[[#This Row],[pred]])/$T22))*100/COUNT($R$17:$R$106))</f>
        <v>4.0974424710318175E-2</v>
      </c>
      <c r="AC22" s="69"/>
      <c r="AD22" s="40">
        <f t="shared" si="3"/>
        <v>19</v>
      </c>
      <c r="AE22" s="81">
        <f>Tabla6[[#This Row],[Receptive tourism]]</f>
        <v>211456</v>
      </c>
      <c r="AF22" s="105">
        <f>Tabla6[[#This Row],[pred]]</f>
        <v>219253.85915639054</v>
      </c>
      <c r="AG22" s="74"/>
    </row>
    <row r="23" spans="1:33" x14ac:dyDescent="0.3">
      <c r="A23" s="33">
        <v>42948</v>
      </c>
      <c r="B23" s="2">
        <f>Decomposition!C30</f>
        <v>193354</v>
      </c>
      <c r="R23" s="80">
        <v>42948</v>
      </c>
      <c r="S23" s="40">
        <f t="shared" si="9"/>
        <v>20</v>
      </c>
      <c r="T23" s="81">
        <f>Decomposition!C30</f>
        <v>193354</v>
      </c>
      <c r="U23" s="74">
        <f t="shared" si="6"/>
        <v>209548.29078442798</v>
      </c>
      <c r="V23" s="74">
        <f t="shared" si="8"/>
        <v>-733.16502774113235</v>
      </c>
      <c r="W23" s="74">
        <f>AK$4*(T23/Tabla6[[#This Row],[u]])+(1-AK$4)*W11</f>
        <v>0.92262853336119965</v>
      </c>
      <c r="X23" s="2">
        <f t="shared" si="12"/>
        <v>191477.21947829722</v>
      </c>
      <c r="Y23" s="2">
        <f t="shared" si="10"/>
        <v>3123.2194782972219</v>
      </c>
      <c r="Z23">
        <f t="shared" si="11"/>
        <v>9754499.9096151721</v>
      </c>
      <c r="AA23" s="17">
        <f>ABS(Tabla6[[#This Row],[Receptive tourism]]-Tabla6[[#This Row],[pred]])</f>
        <v>1876.7805217027781</v>
      </c>
      <c r="AB23" s="69">
        <f>IF($T23=0,0,(ABS(($T23-Tabla6[[#This Row],[pred]])/$T23))*100/COUNT($R$17:$R$106))</f>
        <v>1.0784942079196004E-2</v>
      </c>
      <c r="AC23" s="69"/>
      <c r="AD23" s="40">
        <f t="shared" si="3"/>
        <v>20</v>
      </c>
      <c r="AE23" s="81">
        <f>Tabla6[[#This Row],[Receptive tourism]]</f>
        <v>193354</v>
      </c>
      <c r="AF23" s="105">
        <f>Tabla6[[#This Row],[pred]]</f>
        <v>191477.21947829722</v>
      </c>
      <c r="AG23" s="74"/>
    </row>
    <row r="24" spans="1:33" x14ac:dyDescent="0.3">
      <c r="A24" s="33">
        <v>42979</v>
      </c>
      <c r="B24" s="2">
        <f>Decomposition!C31</f>
        <v>199160</v>
      </c>
      <c r="R24" s="79">
        <v>42979</v>
      </c>
      <c r="S24" s="40">
        <f t="shared" si="9"/>
        <v>21</v>
      </c>
      <c r="T24" s="81">
        <f>Decomposition!C31</f>
        <v>199160</v>
      </c>
      <c r="U24" s="74">
        <f t="shared" si="6"/>
        <v>216204.84583919356</v>
      </c>
      <c r="V24" s="74">
        <f t="shared" si="8"/>
        <v>6582.6578539405054</v>
      </c>
      <c r="W24" s="74">
        <f>AK$4*(T24/Tabla6[[#This Row],[u]])+(1-AK$4)*W12</f>
        <v>0.92084552484455817</v>
      </c>
      <c r="X24" s="2">
        <f t="shared" si="12"/>
        <v>192286.47407289871</v>
      </c>
      <c r="Y24" s="2">
        <f t="shared" si="10"/>
        <v>4296.474072898709</v>
      </c>
      <c r="Z24">
        <f t="shared" si="11"/>
        <v>18459689.459090821</v>
      </c>
      <c r="AA24" s="17">
        <f>ABS(Tabla6[[#This Row],[Receptive tourism]]-Tabla6[[#This Row],[pred]])</f>
        <v>6873.525927101291</v>
      </c>
      <c r="AB24" s="69">
        <f>IF($T24=0,0,(ABS(($T24-Tabla6[[#This Row],[pred]])/$T24))*100/COUNT($R$17:$R$106))</f>
        <v>3.8347313868811739E-2</v>
      </c>
      <c r="AC24" s="16"/>
      <c r="AD24" s="40">
        <f t="shared" si="3"/>
        <v>21</v>
      </c>
      <c r="AE24" s="81">
        <f>Tabla6[[#This Row],[Receptive tourism]]</f>
        <v>199160</v>
      </c>
      <c r="AF24" s="105">
        <f>Tabla6[[#This Row],[pred]]</f>
        <v>192286.47407289871</v>
      </c>
      <c r="AG24" s="74"/>
    </row>
    <row r="25" spans="1:33" x14ac:dyDescent="0.3">
      <c r="A25" s="33">
        <v>43009</v>
      </c>
      <c r="B25" s="2">
        <f>Decomposition!C32</f>
        <v>224240</v>
      </c>
      <c r="R25" s="80">
        <v>43009</v>
      </c>
      <c r="S25" s="40">
        <f t="shared" si="9"/>
        <v>22</v>
      </c>
      <c r="T25" s="81">
        <f>Decomposition!C32</f>
        <v>224240</v>
      </c>
      <c r="U25" s="74">
        <f t="shared" si="6"/>
        <v>224120.40679569286</v>
      </c>
      <c r="V25" s="74">
        <f t="shared" si="8"/>
        <v>7902.2319254737185</v>
      </c>
      <c r="W25" s="74">
        <f>AK$4*(T25/Tabla6[[#This Row],[u]])+(1-AK$4)*W13</f>
        <v>1.0004735095877526</v>
      </c>
      <c r="X25" s="2">
        <f t="shared" si="12"/>
        <v>222892.99571216424</v>
      </c>
      <c r="Y25" s="2">
        <f t="shared" si="10"/>
        <v>18646.995712164236</v>
      </c>
      <c r="Z25">
        <f t="shared" si="11"/>
        <v>347710449.0894714</v>
      </c>
      <c r="AA25" s="17">
        <f>ABS(Tabla6[[#This Row],[Receptive tourism]]-Tabla6[[#This Row],[pred]])</f>
        <v>1347.0042878357635</v>
      </c>
      <c r="AB25" s="69">
        <f>IF($T25=0,0,(ABS(($T25-Tabla6[[#This Row],[pred]])/$T25))*100/COUNT($R$17:$R$106))</f>
        <v>6.6744177262246978E-3</v>
      </c>
      <c r="AC25" s="16"/>
      <c r="AD25" s="40">
        <f t="shared" si="3"/>
        <v>22</v>
      </c>
      <c r="AE25" s="81">
        <f>Tabla6[[#This Row],[Receptive tourism]]</f>
        <v>224240</v>
      </c>
      <c r="AF25" s="105">
        <f>Tabla6[[#This Row],[pred]]</f>
        <v>222892.99571216424</v>
      </c>
      <c r="AG25" s="74"/>
    </row>
    <row r="26" spans="1:33" x14ac:dyDescent="0.3">
      <c r="A26" s="33">
        <v>43040</v>
      </c>
      <c r="B26" s="2">
        <f>Decomposition!C33</f>
        <v>243719</v>
      </c>
      <c r="R26" s="79">
        <v>43040</v>
      </c>
      <c r="S26" s="40">
        <f t="shared" si="9"/>
        <v>23</v>
      </c>
      <c r="T26" s="81">
        <f>Decomposition!C33</f>
        <v>243719</v>
      </c>
      <c r="U26" s="74">
        <f t="shared" si="6"/>
        <v>215821.50571243392</v>
      </c>
      <c r="V26" s="74">
        <f t="shared" si="8"/>
        <v>-8136.8897531716148</v>
      </c>
      <c r="W26" s="74">
        <f>AK$4*(T26/Tabla6[[#This Row],[u]])+(1-AK$4)*W14</f>
        <v>1.1301188019227755</v>
      </c>
      <c r="X26" s="2">
        <f t="shared" si="12"/>
        <v>262213.14649052575</v>
      </c>
      <c r="Y26" s="2">
        <f t="shared" si="10"/>
        <v>31500.146490525745</v>
      </c>
      <c r="Z26">
        <f t="shared" si="11"/>
        <v>992259228.92458141</v>
      </c>
      <c r="AA26" s="17">
        <f>ABS(Tabla6[[#This Row],[Receptive tourism]]-Tabla6[[#This Row],[pred]])</f>
        <v>18494.146490525745</v>
      </c>
      <c r="AB26" s="69">
        <f>IF($T26=0,0,(ABS(($T26-Tabla6[[#This Row],[pred]])/$T26))*100/COUNT($R$17:$R$106))</f>
        <v>8.4314524744232983E-2</v>
      </c>
      <c r="AC26" s="16"/>
      <c r="AD26" s="40">
        <f t="shared" si="3"/>
        <v>23</v>
      </c>
      <c r="AE26" s="81">
        <f>Tabla6[[#This Row],[Receptive tourism]]</f>
        <v>243719</v>
      </c>
      <c r="AF26" s="105">
        <f>Tabla6[[#This Row],[pred]]</f>
        <v>262213.14649052575</v>
      </c>
      <c r="AG26" s="74"/>
    </row>
    <row r="27" spans="1:33" x14ac:dyDescent="0.3">
      <c r="A27" s="33">
        <v>43070</v>
      </c>
      <c r="B27" s="2">
        <f>Decomposition!C34</f>
        <v>255410</v>
      </c>
      <c r="R27" s="80">
        <v>43070</v>
      </c>
      <c r="S27" s="40">
        <f t="shared" si="9"/>
        <v>24</v>
      </c>
      <c r="T27" s="81">
        <f>Decomposition!C34</f>
        <v>255410</v>
      </c>
      <c r="U27" s="74">
        <f t="shared" si="6"/>
        <v>215015.45004130158</v>
      </c>
      <c r="V27" s="74">
        <f t="shared" si="8"/>
        <v>-879.36401195273709</v>
      </c>
      <c r="W27" s="74">
        <f>AK$4*(T27/Tabla6[[#This Row],[u]])+(1-AK$4)*W15</f>
        <v>1.1874591802079524</v>
      </c>
      <c r="X27" s="2">
        <f t="shared" si="12"/>
        <v>246617.00380878904</v>
      </c>
      <c r="Y27" s="2">
        <f t="shared" si="10"/>
        <v>4198.0038087890425</v>
      </c>
      <c r="Z27">
        <f t="shared" si="11"/>
        <v>17623235.978607308</v>
      </c>
      <c r="AA27" s="17">
        <f>ABS(Tabla6[[#This Row],[Receptive tourism]]-Tabla6[[#This Row],[pred]])</f>
        <v>8792.9961912109575</v>
      </c>
      <c r="AB27" s="69">
        <f>IF($T27=0,0,(ABS(($T27-Tabla6[[#This Row],[pred]])/$T27))*100/COUNT($R$17:$R$106))</f>
        <v>3.8252205348311238E-2</v>
      </c>
      <c r="AC27" s="16"/>
      <c r="AD27" s="40">
        <f t="shared" si="3"/>
        <v>24</v>
      </c>
      <c r="AE27" s="81">
        <f>Tabla6[[#This Row],[Receptive tourism]]</f>
        <v>255410</v>
      </c>
      <c r="AF27" s="105">
        <f>Tabla6[[#This Row],[pred]]</f>
        <v>246617.00380878904</v>
      </c>
      <c r="AG27" s="74"/>
    </row>
    <row r="28" spans="1:33" x14ac:dyDescent="0.3">
      <c r="A28" s="33">
        <v>43101</v>
      </c>
      <c r="B28" s="2">
        <f>Decomposition!C35</f>
        <v>275610</v>
      </c>
      <c r="R28" s="79">
        <v>43101</v>
      </c>
      <c r="S28" s="40">
        <f t="shared" si="9"/>
        <v>25</v>
      </c>
      <c r="T28" s="81">
        <f>Decomposition!C35</f>
        <v>275610</v>
      </c>
      <c r="U28" s="74">
        <f t="shared" si="6"/>
        <v>226132.21585056229</v>
      </c>
      <c r="V28" s="74">
        <f t="shared" si="8"/>
        <v>10996.804511048582</v>
      </c>
      <c r="W28" s="74">
        <f>AK$4*(T28/Tabla6[[#This Row],[u]])+(1-AK$4)*W16</f>
        <v>1.2181474998693766</v>
      </c>
      <c r="X28" s="2">
        <f t="shared" si="12"/>
        <v>260849.33782846504</v>
      </c>
      <c r="Y28" s="2">
        <f t="shared" si="10"/>
        <v>14174.337828465039</v>
      </c>
      <c r="Z28">
        <f t="shared" si="11"/>
        <v>200911852.87545499</v>
      </c>
      <c r="AA28" s="17">
        <f>ABS(Tabla6[[#This Row],[Receptive tourism]]-Tabla6[[#This Row],[pred]])</f>
        <v>14760.662171534961</v>
      </c>
      <c r="AB28" s="69">
        <f>IF($T28=0,0,(ABS(($T28-Tabla6[[#This Row],[pred]])/$T28))*100/COUNT($R$17:$R$106))</f>
        <v>5.9507041639091311E-2</v>
      </c>
      <c r="AD28" s="40">
        <f t="shared" si="3"/>
        <v>25</v>
      </c>
      <c r="AE28" s="81">
        <f>Tabla6[[#This Row],[Receptive tourism]]</f>
        <v>275610</v>
      </c>
      <c r="AF28" s="105">
        <f>Tabla6[[#This Row],[pred]]</f>
        <v>260849.33782846504</v>
      </c>
      <c r="AG28" s="74"/>
    </row>
    <row r="29" spans="1:33" x14ac:dyDescent="0.3">
      <c r="A29" s="33">
        <v>43132</v>
      </c>
      <c r="B29" s="2">
        <f>Decomposition!C36</f>
        <v>214691</v>
      </c>
      <c r="R29" s="80">
        <v>43132</v>
      </c>
      <c r="S29" s="40">
        <f t="shared" si="9"/>
        <v>26</v>
      </c>
      <c r="T29" s="81">
        <f>Decomposition!C36</f>
        <v>214691</v>
      </c>
      <c r="U29" s="74">
        <f t="shared" si="6"/>
        <v>207304.59839863717</v>
      </c>
      <c r="V29" s="74">
        <f t="shared" si="8"/>
        <v>-18529.373232295384</v>
      </c>
      <c r="W29" s="74">
        <f>AK$4*(T29/Tabla6[[#This Row],[u]])+(1-AK$4)*W17</f>
        <v>1.0371378468049532</v>
      </c>
      <c r="X29" s="2">
        <f t="shared" si="12"/>
        <v>245935.481592809</v>
      </c>
      <c r="Y29" s="2">
        <f t="shared" si="10"/>
        <v>37603.481592808996</v>
      </c>
      <c r="Z29">
        <f t="shared" si="11"/>
        <v>1414021827.9007249</v>
      </c>
      <c r="AA29" s="17">
        <f>ABS(Tabla6[[#This Row],[Receptive tourism]]-Tabla6[[#This Row],[pred]])</f>
        <v>31244.481592808996</v>
      </c>
      <c r="AB29" s="69">
        <f>IF($T29=0,0,(ABS(($T29-Tabla6[[#This Row],[pred]])/$T29))*100/COUNT($R$17:$R$106))</f>
        <v>0.16170258957607289</v>
      </c>
      <c r="AD29" s="40">
        <f t="shared" si="3"/>
        <v>26</v>
      </c>
      <c r="AE29" s="81">
        <f>Tabla6[[#This Row],[Receptive tourism]]</f>
        <v>214691</v>
      </c>
      <c r="AF29" s="105">
        <f>Tabla6[[#This Row],[pred]]</f>
        <v>245935.481592809</v>
      </c>
      <c r="AG29" s="74"/>
    </row>
    <row r="30" spans="1:33" x14ac:dyDescent="0.3">
      <c r="A30" s="33">
        <v>43160</v>
      </c>
      <c r="B30" s="2">
        <f>Decomposition!C37</f>
        <v>220918</v>
      </c>
      <c r="R30" s="79">
        <v>43160</v>
      </c>
      <c r="S30" s="40">
        <f t="shared" si="9"/>
        <v>27</v>
      </c>
      <c r="T30" s="81">
        <f>Decomposition!C37</f>
        <v>220918</v>
      </c>
      <c r="U30" s="74">
        <f t="shared" si="6"/>
        <v>213634.10672577447</v>
      </c>
      <c r="V30" s="74">
        <f t="shared" si="8"/>
        <v>6080.9195115429729</v>
      </c>
      <c r="W30" s="74">
        <f>AK$4*(T30/Tabla6[[#This Row],[u]])+(1-AK$4)*W18</f>
        <v>1.032881158890224</v>
      </c>
      <c r="X30" s="2">
        <f t="shared" si="12"/>
        <v>194982.37333957409</v>
      </c>
      <c r="Y30" s="2">
        <f t="shared" si="10"/>
        <v>20974.626660425914</v>
      </c>
      <c r="Z30">
        <f t="shared" si="11"/>
        <v>439934963.54424953</v>
      </c>
      <c r="AA30" s="17">
        <f>ABS(Tabla6[[#This Row],[Receptive tourism]]-Tabla6[[#This Row],[pred]])</f>
        <v>25935.626660425914</v>
      </c>
      <c r="AB30" s="69">
        <f>IF($T30=0,0,(ABS(($T30-Tabla6[[#This Row],[pred]])/$T30))*100/COUNT($R$17:$R$106))</f>
        <v>0.13044370742098332</v>
      </c>
      <c r="AD30" s="40">
        <f t="shared" si="3"/>
        <v>27</v>
      </c>
      <c r="AE30" s="81">
        <f>Tabla6[[#This Row],[Receptive tourism]]</f>
        <v>220918</v>
      </c>
      <c r="AF30" s="105">
        <f>Tabla6[[#This Row],[pred]]</f>
        <v>194982.37333957409</v>
      </c>
      <c r="AG30" s="74"/>
    </row>
    <row r="31" spans="1:33" x14ac:dyDescent="0.3">
      <c r="A31" s="33">
        <v>43191</v>
      </c>
      <c r="B31" s="2">
        <f>Decomposition!C38</f>
        <v>202846</v>
      </c>
      <c r="R31" s="80">
        <v>43191</v>
      </c>
      <c r="S31" s="40">
        <f t="shared" si="9"/>
        <v>28</v>
      </c>
      <c r="T31" s="81">
        <f>Decomposition!C38</f>
        <v>202846</v>
      </c>
      <c r="U31" s="74">
        <f t="shared" si="6"/>
        <v>226936.71638563887</v>
      </c>
      <c r="V31" s="74">
        <f t="shared" si="8"/>
        <v>13230.392758381178</v>
      </c>
      <c r="W31" s="74">
        <f>AK$4*(T31/Tabla6[[#This Row],[u]])+(1-AK$4)*W19</f>
        <v>0.89355667746486223</v>
      </c>
      <c r="X31" s="2">
        <f t="shared" si="12"/>
        <v>196327.82883372242</v>
      </c>
      <c r="Y31" s="2">
        <f t="shared" si="10"/>
        <v>4098.1711662775779</v>
      </c>
      <c r="Z31">
        <f t="shared" si="11"/>
        <v>16795006.908108924</v>
      </c>
      <c r="AA31" s="17">
        <f>ABS(Tabla6[[#This Row],[Receptive tourism]]-Tabla6[[#This Row],[pred]])</f>
        <v>6518.1711662775779</v>
      </c>
      <c r="AB31" s="69">
        <f>IF($T31=0,0,(ABS(($T31-Tabla6[[#This Row],[pred]])/$T31))*100/COUNT($R$17:$R$106))</f>
        <v>3.5703994197445785E-2</v>
      </c>
      <c r="AD31" s="40">
        <f t="shared" si="3"/>
        <v>28</v>
      </c>
      <c r="AE31" s="81">
        <f>Tabla6[[#This Row],[Receptive tourism]]</f>
        <v>202846</v>
      </c>
      <c r="AF31" s="105">
        <f>Tabla6[[#This Row],[pred]]</f>
        <v>196327.82883372242</v>
      </c>
      <c r="AG31" s="74"/>
    </row>
    <row r="32" spans="1:33" x14ac:dyDescent="0.3">
      <c r="A32" s="33">
        <v>43221</v>
      </c>
      <c r="B32" s="2">
        <f>Decomposition!C39</f>
        <v>184649</v>
      </c>
      <c r="R32" s="79">
        <v>43221</v>
      </c>
      <c r="S32" s="40">
        <f t="shared" si="9"/>
        <v>29</v>
      </c>
      <c r="T32" s="81">
        <f>Decomposition!C39</f>
        <v>184649</v>
      </c>
      <c r="U32" s="74">
        <f t="shared" si="6"/>
        <v>213957.08992309275</v>
      </c>
      <c r="V32" s="74">
        <f t="shared" si="8"/>
        <v>-12717.526270336844</v>
      </c>
      <c r="W32" s="74">
        <f>AK$4*(T32/Tabla6[[#This Row],[u]])+(1-AK$4)*W20</f>
        <v>0.86408805318982174</v>
      </c>
      <c r="X32" s="2">
        <f t="shared" si="12"/>
        <v>207525.52978048372</v>
      </c>
      <c r="Y32" s="2">
        <f t="shared" si="10"/>
        <v>28082.529780483717</v>
      </c>
      <c r="Z32">
        <f t="shared" si="11"/>
        <v>788628478.87175488</v>
      </c>
      <c r="AA32" s="17">
        <f>ABS(Tabla6[[#This Row],[Receptive tourism]]-Tabla6[[#This Row],[pred]])</f>
        <v>22876.529780483717</v>
      </c>
      <c r="AB32" s="69">
        <f>IF($T32=0,0,(ABS(($T32-Tabla6[[#This Row],[pred]])/$T32))*100/COUNT($R$17:$R$106))</f>
        <v>0.13765775294076699</v>
      </c>
      <c r="AD32" s="40">
        <f t="shared" si="3"/>
        <v>29</v>
      </c>
      <c r="AE32" s="81">
        <f>Tabla6[[#This Row],[Receptive tourism]]</f>
        <v>184649</v>
      </c>
      <c r="AF32" s="105">
        <f>Tabla6[[#This Row],[pred]]</f>
        <v>207525.52978048372</v>
      </c>
      <c r="AG32" s="74"/>
    </row>
    <row r="33" spans="1:33" x14ac:dyDescent="0.3">
      <c r="A33" s="33">
        <v>43252</v>
      </c>
      <c r="B33" s="2">
        <f>Decomposition!C40</f>
        <v>167422</v>
      </c>
      <c r="R33" s="80">
        <v>43252</v>
      </c>
      <c r="S33" s="40">
        <f t="shared" si="9"/>
        <v>30</v>
      </c>
      <c r="T33" s="81">
        <f>Decomposition!C40</f>
        <v>167422</v>
      </c>
      <c r="U33" s="74">
        <f t="shared" si="6"/>
        <v>212723.78260973818</v>
      </c>
      <c r="V33" s="74">
        <f t="shared" si="8"/>
        <v>-1348.1495029243924</v>
      </c>
      <c r="W33" s="74">
        <f>AK$4*(T33/Tabla6[[#This Row],[u]])+(1-AK$4)*W21</f>
        <v>0.78661045509169758</v>
      </c>
      <c r="X33" s="2">
        <f t="shared" si="12"/>
        <v>158297.14474734897</v>
      </c>
      <c r="Y33" s="2">
        <f t="shared" si="10"/>
        <v>9468.8552526510321</v>
      </c>
      <c r="Z33">
        <f t="shared" si="11"/>
        <v>89659219.795657039</v>
      </c>
      <c r="AA33" s="17">
        <f>ABS(Tabla6[[#This Row],[Receptive tourism]]-Tabla6[[#This Row],[pred]])</f>
        <v>9124.8552526510321</v>
      </c>
      <c r="AB33" s="69">
        <f>IF($T33=0,0,(ABS(($T33-Tabla6[[#This Row],[pred]])/$T33))*100/COUNT($R$17:$R$106))</f>
        <v>6.055791985820947E-2</v>
      </c>
      <c r="AD33" s="40">
        <f t="shared" si="3"/>
        <v>30</v>
      </c>
      <c r="AE33" s="81">
        <f>Tabla6[[#This Row],[Receptive tourism]]</f>
        <v>167422</v>
      </c>
      <c r="AF33" s="105">
        <f>Tabla6[[#This Row],[pred]]</f>
        <v>158297.14474734897</v>
      </c>
      <c r="AG33" s="74"/>
    </row>
    <row r="34" spans="1:33" x14ac:dyDescent="0.3">
      <c r="A34" s="33">
        <v>43282</v>
      </c>
      <c r="B34" s="2">
        <f>Decomposition!C41</f>
        <v>215459</v>
      </c>
      <c r="R34" s="79">
        <v>43282</v>
      </c>
      <c r="S34" s="40">
        <f t="shared" si="9"/>
        <v>31</v>
      </c>
      <c r="T34" s="81">
        <f>Decomposition!C41</f>
        <v>215459</v>
      </c>
      <c r="U34" s="74">
        <f t="shared" si="6"/>
        <v>214134.85377518527</v>
      </c>
      <c r="V34" s="74">
        <f t="shared" si="8"/>
        <v>1383.4789587633793</v>
      </c>
      <c r="W34" s="74">
        <f>AK$4*(T34/Tabla6[[#This Row],[u]])+(1-AK$4)*W22</f>
        <v>1.0060527587648258</v>
      </c>
      <c r="X34" s="2">
        <f t="shared" si="12"/>
        <v>212655.03882277166</v>
      </c>
      <c r="Y34" s="2">
        <f t="shared" si="10"/>
        <v>1199.0388227716612</v>
      </c>
      <c r="Z34">
        <f t="shared" si="11"/>
        <v>1437694.0985136512</v>
      </c>
      <c r="AA34" s="17">
        <f>ABS(Tabla6[[#This Row],[Receptive tourism]]-Tabla6[[#This Row],[pred]])</f>
        <v>2803.9611772283388</v>
      </c>
      <c r="AB34" s="69">
        <f>IF($T34=0,0,(ABS(($T34-Tabla6[[#This Row],[pred]])/$T34))*100/COUNT($R$17:$R$106))</f>
        <v>1.4459885264215459E-2</v>
      </c>
      <c r="AD34" s="40">
        <f t="shared" si="3"/>
        <v>31</v>
      </c>
      <c r="AE34" s="81">
        <f>Tabla6[[#This Row],[Receptive tourism]]</f>
        <v>215459</v>
      </c>
      <c r="AF34" s="105">
        <f>Tabla6[[#This Row],[pred]]</f>
        <v>212655.03882277166</v>
      </c>
      <c r="AG34" s="74"/>
    </row>
    <row r="35" spans="1:33" x14ac:dyDescent="0.3">
      <c r="A35" s="33">
        <v>43313</v>
      </c>
      <c r="B35" s="2">
        <f>Decomposition!C42</f>
        <v>203628</v>
      </c>
      <c r="R35" s="80">
        <v>43313</v>
      </c>
      <c r="S35" s="40">
        <f t="shared" si="9"/>
        <v>32</v>
      </c>
      <c r="T35" s="81">
        <f>Decomposition!C42</f>
        <v>203628</v>
      </c>
      <c r="U35" s="74">
        <f t="shared" si="6"/>
        <v>220652.34953310099</v>
      </c>
      <c r="V35" s="74">
        <f t="shared" si="8"/>
        <v>6466.1555899241966</v>
      </c>
      <c r="W35" s="74">
        <f>AK$4*(T35/Tabla6[[#This Row],[u]])+(1-AK$4)*W23</f>
        <v>0.92262853336119965</v>
      </c>
      <c r="X35" s="2">
        <f t="shared" si="12"/>
        <v>198843.36324277407</v>
      </c>
      <c r="Y35" s="2">
        <f t="shared" si="10"/>
        <v>5489.3632427740667</v>
      </c>
      <c r="Z35">
        <f t="shared" si="11"/>
        <v>30133108.811119016</v>
      </c>
      <c r="AA35" s="17">
        <f>ABS(Tabla6[[#This Row],[Receptive tourism]]-Tabla6[[#This Row],[pred]])</f>
        <v>4784.6367572259333</v>
      </c>
      <c r="AB35" s="69">
        <f>IF($T35=0,0,(ABS(($T35-Tabla6[[#This Row],[pred]])/$T35))*100/COUNT($R$17:$R$106))</f>
        <v>2.6107721254367628E-2</v>
      </c>
      <c r="AD35" s="40">
        <f t="shared" si="3"/>
        <v>32</v>
      </c>
      <c r="AE35" s="81">
        <f>Tabla6[[#This Row],[Receptive tourism]]</f>
        <v>203628</v>
      </c>
      <c r="AF35" s="105">
        <f>Tabla6[[#This Row],[pred]]</f>
        <v>198843.36324277407</v>
      </c>
      <c r="AG35" s="74"/>
    </row>
    <row r="36" spans="1:33" x14ac:dyDescent="0.3">
      <c r="A36" s="33">
        <v>43344</v>
      </c>
      <c r="B36" s="2">
        <f>Decomposition!C43</f>
        <v>216132</v>
      </c>
      <c r="R36" s="79">
        <v>43344</v>
      </c>
      <c r="S36" s="40">
        <f t="shared" si="9"/>
        <v>33</v>
      </c>
      <c r="T36" s="81">
        <f>Decomposition!C43</f>
        <v>216132</v>
      </c>
      <c r="U36" s="74">
        <f t="shared" si="6"/>
        <v>234634.45796404476</v>
      </c>
      <c r="V36" s="74">
        <f t="shared" si="8"/>
        <v>13906.948902533575</v>
      </c>
      <c r="W36" s="74">
        <f>AK$4*(T36/Tabla6[[#This Row],[u]])+(1-AK$4)*W24</f>
        <v>0.92084552484455817</v>
      </c>
      <c r="X36" s="2">
        <f t="shared" si="12"/>
        <v>209141.0590519236</v>
      </c>
      <c r="Y36" s="2">
        <f t="shared" si="10"/>
        <v>9981.0590519235993</v>
      </c>
      <c r="Z36">
        <f t="shared" si="11"/>
        <v>99621539.797986016</v>
      </c>
      <c r="AA36" s="17">
        <f>ABS(Tabla6[[#This Row],[Receptive tourism]]-Tabla6[[#This Row],[pred]])</f>
        <v>6990.9409480764007</v>
      </c>
      <c r="AB36" s="69">
        <f>IF($T36=0,0,(ABS(($T36-Tabla6[[#This Row],[pred]])/$T36))*100/COUNT($R$17:$R$106))</f>
        <v>3.5939667261346467E-2</v>
      </c>
      <c r="AD36" s="40">
        <f t="shared" si="3"/>
        <v>33</v>
      </c>
      <c r="AE36" s="81">
        <f>Tabla6[[#This Row],[Receptive tourism]]</f>
        <v>216132</v>
      </c>
      <c r="AF36" s="105">
        <f>Tabla6[[#This Row],[pred]]</f>
        <v>209141.0590519236</v>
      </c>
      <c r="AG36" s="74"/>
    </row>
    <row r="37" spans="1:33" x14ac:dyDescent="0.3">
      <c r="A37" s="33">
        <v>43374</v>
      </c>
      <c r="B37" s="2">
        <f>Decomposition!C44</f>
        <v>227543</v>
      </c>
      <c r="R37" s="80">
        <v>43374</v>
      </c>
      <c r="S37" s="40">
        <f t="shared" si="9"/>
        <v>34</v>
      </c>
      <c r="T37" s="81">
        <f>Decomposition!C44</f>
        <v>227543</v>
      </c>
      <c r="U37" s="74">
        <f t="shared" si="6"/>
        <v>227646.36819809797</v>
      </c>
      <c r="V37" s="74">
        <f t="shared" si="8"/>
        <v>-6779.1393792619838</v>
      </c>
      <c r="W37" s="74">
        <f>AK$4*(T37/Tabla6[[#This Row],[u]])+(1-AK$4)*W25</f>
        <v>1.0004735095877526</v>
      </c>
      <c r="X37" s="2">
        <f t="shared" si="12"/>
        <v>248659.09360568319</v>
      </c>
      <c r="Y37" s="2">
        <f t="shared" si="10"/>
        <v>24419.093605683185</v>
      </c>
      <c r="Z37">
        <f t="shared" si="11"/>
        <v>596292132.52311742</v>
      </c>
      <c r="AA37" s="17">
        <f>ABS(Tabla6[[#This Row],[Receptive tourism]]-Tabla6[[#This Row],[pred]])</f>
        <v>21116.093605683185</v>
      </c>
      <c r="AB37" s="69">
        <f>IF($T37=0,0,(ABS(($T37-Tabla6[[#This Row],[pred]])/$T37))*100/COUNT($R$17:$R$106))</f>
        <v>0.10311161507291754</v>
      </c>
      <c r="AD37" s="40">
        <f t="shared" si="3"/>
        <v>34</v>
      </c>
      <c r="AE37" s="81">
        <f>Tabla6[[#This Row],[Receptive tourism]]</f>
        <v>227543</v>
      </c>
      <c r="AF37" s="105">
        <f>Tabla6[[#This Row],[pred]]</f>
        <v>248659.09360568319</v>
      </c>
      <c r="AG37" s="74"/>
    </row>
    <row r="38" spans="1:33" x14ac:dyDescent="0.3">
      <c r="A38" s="33">
        <v>43405</v>
      </c>
      <c r="B38" s="2">
        <f>Decomposition!C45</f>
        <v>261261</v>
      </c>
      <c r="R38" s="79">
        <v>43405</v>
      </c>
      <c r="S38" s="40">
        <f t="shared" si="9"/>
        <v>35</v>
      </c>
      <c r="T38" s="81">
        <f>Decomposition!C45</f>
        <v>261261</v>
      </c>
      <c r="U38" s="74">
        <f t="shared" si="6"/>
        <v>231076.99087552412</v>
      </c>
      <c r="V38" s="74">
        <f t="shared" si="8"/>
        <v>3328.5250568592633</v>
      </c>
      <c r="W38" s="74">
        <f>AK$4*(T38/Tabla6[[#This Row],[u]])+(1-AK$4)*W26</f>
        <v>1.1301188019227755</v>
      </c>
      <c r="X38" s="2">
        <f t="shared" si="12"/>
        <v>249606.20801674642</v>
      </c>
      <c r="Y38" s="2">
        <f t="shared" si="10"/>
        <v>5887.2080167464155</v>
      </c>
      <c r="Z38">
        <f t="shared" si="11"/>
        <v>34659218.232443266</v>
      </c>
      <c r="AA38" s="17">
        <f>ABS(Tabla6[[#This Row],[Receptive tourism]]-Tabla6[[#This Row],[pred]])</f>
        <v>11654.791983253584</v>
      </c>
      <c r="AB38" s="69">
        <f>IF($T38=0,0,(ABS(($T38-Tabla6[[#This Row],[pred]])/$T38))*100/COUNT($R$17:$R$106))</f>
        <v>4.9566406276795087E-2</v>
      </c>
      <c r="AD38" s="40">
        <f t="shared" si="3"/>
        <v>35</v>
      </c>
      <c r="AE38" s="81">
        <f>Tabla6[[#This Row],[Receptive tourism]]</f>
        <v>261261</v>
      </c>
      <c r="AF38" s="105">
        <f>Tabla6[[#This Row],[pred]]</f>
        <v>249606.20801674642</v>
      </c>
      <c r="AG38" s="74"/>
    </row>
    <row r="39" spans="1:33" x14ac:dyDescent="0.3">
      <c r="A39" s="33">
        <v>43435</v>
      </c>
      <c r="B39" s="2">
        <f>Decomposition!C46</f>
        <v>293385</v>
      </c>
      <c r="R39" s="80">
        <v>43435</v>
      </c>
      <c r="S39" s="40">
        <f t="shared" si="9"/>
        <v>36</v>
      </c>
      <c r="T39" s="81">
        <f>Decomposition!C46</f>
        <v>293385</v>
      </c>
      <c r="U39" s="74">
        <f t="shared" si="6"/>
        <v>246942.90524285691</v>
      </c>
      <c r="V39" s="74">
        <f t="shared" si="8"/>
        <v>15740.540474228057</v>
      </c>
      <c r="W39" s="74">
        <f>AK$4*(T39/Tabla6[[#This Row],[u]])+(1-AK$4)*W27</f>
        <v>1.1874591802079524</v>
      </c>
      <c r="X39" s="2">
        <f t="shared" si="12"/>
        <v>278346.98178529012</v>
      </c>
      <c r="Y39" s="2">
        <f t="shared" si="10"/>
        <v>22936.981785290118</v>
      </c>
      <c r="Z39">
        <f t="shared" si="11"/>
        <v>526105133.41873062</v>
      </c>
      <c r="AA39" s="17">
        <f>ABS(Tabla6[[#This Row],[Receptive tourism]]-Tabla6[[#This Row],[pred]])</f>
        <v>15038.018214709882</v>
      </c>
      <c r="AB39" s="69">
        <f>IF($T39=0,0,(ABS(($T39-Tabla6[[#This Row],[pred]])/$T39))*100/COUNT($R$17:$R$106))</f>
        <v>5.695215886107137E-2</v>
      </c>
      <c r="AD39" s="40">
        <f t="shared" si="3"/>
        <v>36</v>
      </c>
      <c r="AE39" s="81">
        <f>Tabla6[[#This Row],[Receptive tourism]]</f>
        <v>293385</v>
      </c>
      <c r="AF39" s="105">
        <f>Tabla6[[#This Row],[pred]]</f>
        <v>278346.98178529012</v>
      </c>
      <c r="AG39" s="74"/>
    </row>
    <row r="40" spans="1:33" x14ac:dyDescent="0.3">
      <c r="A40" s="33">
        <v>43466</v>
      </c>
      <c r="B40" s="2">
        <f>Decomposition!C47</f>
        <v>321304</v>
      </c>
      <c r="R40" s="79">
        <v>43466</v>
      </c>
      <c r="S40" s="40">
        <f t="shared" si="9"/>
        <v>37</v>
      </c>
      <c r="T40" s="81">
        <f>Decomposition!C47</f>
        <v>321304</v>
      </c>
      <c r="U40" s="74">
        <f t="shared" si="6"/>
        <v>263753.63563199516</v>
      </c>
      <c r="V40" s="74">
        <f t="shared" si="8"/>
        <v>16800.028489989145</v>
      </c>
      <c r="W40" s="74">
        <f>AK$4*(T40/Tabla6[[#This Row],[u]])+(1-AK$4)*W28</f>
        <v>1.2181474998693766</v>
      </c>
      <c r="X40" s="2">
        <f t="shared" si="12"/>
        <v>319987.18265734019</v>
      </c>
      <c r="Y40" s="2">
        <f t="shared" si="10"/>
        <v>44377.182657340192</v>
      </c>
      <c r="Z40">
        <f t="shared" si="11"/>
        <v>1969334340.6029351</v>
      </c>
      <c r="AA40" s="17">
        <f>ABS(Tabla6[[#This Row],[Receptive tourism]]-Tabla6[[#This Row],[pred]])</f>
        <v>1316.8173426598078</v>
      </c>
      <c r="AB40" s="69">
        <f>IF($T40=0,0,(ABS(($T40-Tabla6[[#This Row],[pred]])/$T40))*100/COUNT($R$17:$R$106))</f>
        <v>4.5537260063152653E-3</v>
      </c>
      <c r="AD40" s="40">
        <f t="shared" si="3"/>
        <v>37</v>
      </c>
      <c r="AE40" s="81">
        <f>Tabla6[[#This Row],[Receptive tourism]]</f>
        <v>321304</v>
      </c>
      <c r="AF40" s="105">
        <f>Tabla6[[#This Row],[pred]]</f>
        <v>319987.18265734019</v>
      </c>
      <c r="AG40" s="74"/>
    </row>
    <row r="41" spans="1:33" x14ac:dyDescent="0.3">
      <c r="A41" s="33">
        <v>43497</v>
      </c>
      <c r="B41" s="2">
        <f>Decomposition!C48</f>
        <v>237633</v>
      </c>
      <c r="R41" s="80">
        <v>43497</v>
      </c>
      <c r="S41" s="40">
        <f t="shared" si="9"/>
        <v>38</v>
      </c>
      <c r="T41" s="81">
        <f>Decomposition!C48</f>
        <v>237633</v>
      </c>
      <c r="U41" s="74">
        <f t="shared" si="6"/>
        <v>229638.1324477857</v>
      </c>
      <c r="V41" s="74">
        <f t="shared" si="8"/>
        <v>-33606.347867467477</v>
      </c>
      <c r="W41" s="74">
        <f>AK$4*(T41/Tabla6[[#This Row],[u]])+(1-AK$4)*W29</f>
        <v>1.0371378468049532</v>
      </c>
      <c r="X41" s="2">
        <f t="shared" si="12"/>
        <v>290972.82312071486</v>
      </c>
      <c r="Y41" s="2">
        <f t="shared" si="10"/>
        <v>76281.823120714864</v>
      </c>
      <c r="Z41">
        <f t="shared" si="11"/>
        <v>5818916538.6200285</v>
      </c>
      <c r="AA41" s="17">
        <f>ABS(Tabla6[[#This Row],[Receptive tourism]]-Tabla6[[#This Row],[pred]])</f>
        <v>53339.823120714864</v>
      </c>
      <c r="AB41" s="69">
        <f>IF($T41=0,0,(ABS(($T41-Tabla6[[#This Row],[pred]])/$T41))*100/COUNT($R$17:$R$106))</f>
        <v>0.24940336625859044</v>
      </c>
      <c r="AD41" s="40">
        <f t="shared" si="3"/>
        <v>38</v>
      </c>
      <c r="AE41" s="81">
        <f>Tabla6[[#This Row],[Receptive tourism]]</f>
        <v>237633</v>
      </c>
      <c r="AF41" s="105">
        <f>Tabla6[[#This Row],[pred]]</f>
        <v>290972.82312071486</v>
      </c>
      <c r="AG41" s="74"/>
    </row>
    <row r="42" spans="1:33" x14ac:dyDescent="0.3">
      <c r="A42" s="33">
        <v>43525</v>
      </c>
      <c r="B42" s="2">
        <f>Decomposition!C49</f>
        <v>261862</v>
      </c>
      <c r="R42" s="79">
        <v>43525</v>
      </c>
      <c r="S42" s="40">
        <f t="shared" si="9"/>
        <v>39</v>
      </c>
      <c r="T42" s="81">
        <f>Decomposition!C49</f>
        <v>261862</v>
      </c>
      <c r="U42" s="74">
        <f t="shared" si="6"/>
        <v>252950.83865125891</v>
      </c>
      <c r="V42" s="74">
        <f t="shared" si="8"/>
        <v>22743.515662763803</v>
      </c>
      <c r="W42" s="74">
        <f>AK$4*(T42/Tabla6[[#This Row],[u]])+(1-AK$4)*W30</f>
        <v>1.032881158890224</v>
      </c>
      <c r="X42" s="2">
        <f t="shared" si="12"/>
        <v>202477.53683663785</v>
      </c>
      <c r="Y42" s="2">
        <f t="shared" si="10"/>
        <v>18440.463163362147</v>
      </c>
      <c r="Z42">
        <f t="shared" si="11"/>
        <v>340050681.67931628</v>
      </c>
      <c r="AA42" s="17">
        <f>ABS(Tabla6[[#This Row],[Receptive tourism]]-Tabla6[[#This Row],[pred]])</f>
        <v>59384.463163362147</v>
      </c>
      <c r="AB42" s="69">
        <f>IF($T42=0,0,(ABS(($T42-Tabla6[[#This Row],[pred]])/$T42))*100/COUNT($R$17:$R$106))</f>
        <v>0.25197522683008672</v>
      </c>
      <c r="AD42" s="40">
        <f t="shared" si="3"/>
        <v>39</v>
      </c>
      <c r="AE42" s="81">
        <f>Tabla6[[#This Row],[Receptive tourism]]</f>
        <v>261862</v>
      </c>
      <c r="AF42" s="105">
        <f>Tabla6[[#This Row],[pred]]</f>
        <v>202477.53683663785</v>
      </c>
      <c r="AG42" s="74"/>
    </row>
    <row r="43" spans="1:33" x14ac:dyDescent="0.3">
      <c r="A43" s="33">
        <v>43556</v>
      </c>
      <c r="B43" s="2">
        <f>Decomposition!C50</f>
        <v>239694</v>
      </c>
      <c r="R43" s="80">
        <v>43556</v>
      </c>
      <c r="S43" s="40">
        <f t="shared" si="9"/>
        <v>40</v>
      </c>
      <c r="T43" s="81">
        <f>Decomposition!C50</f>
        <v>239694</v>
      </c>
      <c r="U43" s="74">
        <f t="shared" si="6"/>
        <v>268321.58648581622</v>
      </c>
      <c r="V43" s="74">
        <f t="shared" si="8"/>
        <v>15444.475512839383</v>
      </c>
      <c r="W43" s="74">
        <f>AK$4*(T43/Tabla6[[#This Row],[u]])+(1-AK$4)*W31</f>
        <v>0.89355667746486223</v>
      </c>
      <c r="X43" s="2">
        <f t="shared" si="12"/>
        <v>246348.53123665863</v>
      </c>
      <c r="Y43" s="2">
        <f t="shared" si="10"/>
        <v>43502.531236658629</v>
      </c>
      <c r="Z43">
        <f t="shared" si="11"/>
        <v>1892470223.9964597</v>
      </c>
      <c r="AA43" s="17">
        <f>ABS(Tabla6[[#This Row],[Receptive tourism]]-Tabla6[[#This Row],[pred]])</f>
        <v>6654.5312366586295</v>
      </c>
      <c r="AB43" s="69">
        <f>IF($T43=0,0,(ABS(($T43-Tabla6[[#This Row],[pred]])/$T43))*100/COUNT($R$17:$R$106))</f>
        <v>3.0847345349851753E-2</v>
      </c>
      <c r="AD43" s="40">
        <f t="shared" si="3"/>
        <v>40</v>
      </c>
      <c r="AE43" s="81">
        <f>Tabla6[[#This Row],[Receptive tourism]]</f>
        <v>239694</v>
      </c>
      <c r="AF43" s="105">
        <f>Tabla6[[#This Row],[pred]]</f>
        <v>246348.53123665863</v>
      </c>
      <c r="AG43" s="74"/>
    </row>
    <row r="44" spans="1:33" x14ac:dyDescent="0.3">
      <c r="A44" s="33">
        <v>43586</v>
      </c>
      <c r="B44" s="2">
        <f>Decomposition!C51</f>
        <v>209733</v>
      </c>
      <c r="R44" s="79">
        <v>43586</v>
      </c>
      <c r="S44" s="40">
        <f t="shared" si="9"/>
        <v>41</v>
      </c>
      <c r="T44" s="81">
        <f>Decomposition!C51</f>
        <v>209733</v>
      </c>
      <c r="U44" s="74">
        <f t="shared" si="6"/>
        <v>243132.23387962504</v>
      </c>
      <c r="V44" s="74">
        <f t="shared" si="8"/>
        <v>-24783.014325000877</v>
      </c>
      <c r="W44" s="74">
        <f>AK$4*(T44/Tabla6[[#This Row],[u]])+(1-AK$4)*W32</f>
        <v>0.86408805318982174</v>
      </c>
      <c r="X44" s="2">
        <f t="shared" si="12"/>
        <v>245198.86407376057</v>
      </c>
      <c r="Y44" s="2">
        <f t="shared" si="10"/>
        <v>60549.864073760575</v>
      </c>
      <c r="Z44">
        <f t="shared" si="11"/>
        <v>3666286039.3508816</v>
      </c>
      <c r="AA44" s="17">
        <f>ABS(Tabla6[[#This Row],[Receptive tourism]]-Tabla6[[#This Row],[pred]])</f>
        <v>35465.864073760575</v>
      </c>
      <c r="AB44" s="69">
        <f>IF($T44=0,0,(ABS(($T44-Tabla6[[#This Row],[pred]])/$T44))*100/COUNT($R$17:$R$106))</f>
        <v>0.18788896185870488</v>
      </c>
      <c r="AD44" s="40">
        <f t="shared" si="3"/>
        <v>41</v>
      </c>
      <c r="AE44" s="81">
        <f>Tabla6[[#This Row],[Receptive tourism]]</f>
        <v>209733</v>
      </c>
      <c r="AF44" s="105">
        <f>Tabla6[[#This Row],[pred]]</f>
        <v>245198.86407376057</v>
      </c>
      <c r="AG44" s="74"/>
    </row>
    <row r="45" spans="1:33" x14ac:dyDescent="0.3">
      <c r="A45" s="33">
        <v>43617</v>
      </c>
      <c r="B45" s="2">
        <f>Decomposition!C52</f>
        <v>197587</v>
      </c>
      <c r="R45" s="80">
        <v>43617</v>
      </c>
      <c r="S45" s="40">
        <f t="shared" si="9"/>
        <v>42</v>
      </c>
      <c r="T45" s="81">
        <f>Decomposition!C52</f>
        <v>197587</v>
      </c>
      <c r="U45" s="74">
        <f t="shared" si="6"/>
        <v>250859.47753723231</v>
      </c>
      <c r="V45" s="74">
        <f t="shared" si="8"/>
        <v>7402.1410777811834</v>
      </c>
      <c r="W45" s="74">
        <f>AK$4*(T45/Tabla6[[#This Row],[u]])+(1-AK$4)*W33</f>
        <v>0.78661045509169758</v>
      </c>
      <c r="X45" s="2">
        <f t="shared" si="12"/>
        <v>171755.77896277991</v>
      </c>
      <c r="Y45" s="2">
        <f t="shared" si="10"/>
        <v>4333.7789627799066</v>
      </c>
      <c r="Z45">
        <f t="shared" si="11"/>
        <v>18781640.098233681</v>
      </c>
      <c r="AA45" s="17">
        <f>ABS(Tabla6[[#This Row],[Receptive tourism]]-Tabla6[[#This Row],[pred]])</f>
        <v>25831.221037220093</v>
      </c>
      <c r="AB45" s="69">
        <f>IF($T45=0,0,(ABS(($T45-Tabla6[[#This Row],[pred]])/$T45))*100/COUNT($R$17:$R$106))</f>
        <v>0.14525933744640246</v>
      </c>
      <c r="AD45" s="40">
        <f t="shared" si="3"/>
        <v>42</v>
      </c>
      <c r="AE45" s="81">
        <f>Tabla6[[#This Row],[Receptive tourism]]</f>
        <v>197587</v>
      </c>
      <c r="AF45" s="105">
        <f>Tabla6[[#This Row],[pred]]</f>
        <v>171755.77896277991</v>
      </c>
      <c r="AG45" s="74"/>
    </row>
    <row r="46" spans="1:33" x14ac:dyDescent="0.3">
      <c r="A46" s="33">
        <v>43647</v>
      </c>
      <c r="B46" s="2">
        <f>Decomposition!C53</f>
        <v>244027</v>
      </c>
      <c r="R46" s="79">
        <v>43647</v>
      </c>
      <c r="S46" s="40">
        <f t="shared" si="9"/>
        <v>43</v>
      </c>
      <c r="T46" s="81">
        <f>Decomposition!C53</f>
        <v>244027</v>
      </c>
      <c r="U46" s="74">
        <f t="shared" si="6"/>
        <v>242715.87748410276</v>
      </c>
      <c r="V46" s="74">
        <f t="shared" si="8"/>
        <v>-7988.1426418204355</v>
      </c>
      <c r="W46" s="74">
        <f>AK$4*(T46/Tabla6[[#This Row],[u]])+(1-AK$4)*W34</f>
        <v>1.0060527587648258</v>
      </c>
      <c r="X46" s="2">
        <f t="shared" si="12"/>
        <v>259824.8138907036</v>
      </c>
      <c r="Y46" s="2">
        <f t="shared" si="10"/>
        <v>44365.813890703605</v>
      </c>
      <c r="Z46">
        <f t="shared" si="11"/>
        <v>1968325442.1845489</v>
      </c>
      <c r="AA46" s="17">
        <f>ABS(Tabla6[[#This Row],[Receptive tourism]]-Tabla6[[#This Row],[pred]])</f>
        <v>15797.813890703605</v>
      </c>
      <c r="AB46" s="69">
        <f>IF($T46=0,0,(ABS(($T46-Tabla6[[#This Row],[pred]])/$T46))*100/COUNT($R$17:$R$106))</f>
        <v>7.1931083631017176E-2</v>
      </c>
      <c r="AD46" s="40">
        <f t="shared" si="3"/>
        <v>43</v>
      </c>
      <c r="AE46" s="81">
        <f>Tabla6[[#This Row],[Receptive tourism]]</f>
        <v>244027</v>
      </c>
      <c r="AF46" s="105">
        <f>Tabla6[[#This Row],[pred]]</f>
        <v>259824.8138907036</v>
      </c>
      <c r="AG46" s="74"/>
    </row>
    <row r="47" spans="1:33" x14ac:dyDescent="0.3">
      <c r="A47" s="33">
        <v>43678</v>
      </c>
      <c r="B47" s="2">
        <f>Decomposition!C54</f>
        <v>216649</v>
      </c>
      <c r="R47" s="80">
        <v>43678</v>
      </c>
      <c r="S47" s="40">
        <f t="shared" si="9"/>
        <v>44</v>
      </c>
      <c r="T47" s="81">
        <f>Decomposition!C54</f>
        <v>216649</v>
      </c>
      <c r="U47" s="74">
        <f t="shared" si="6"/>
        <v>234816.25293779178</v>
      </c>
      <c r="V47" s="74">
        <f t="shared" si="8"/>
        <v>-7900.509727266076</v>
      </c>
      <c r="W47" s="74">
        <f>AK$4*(T47/Tabla6[[#This Row],[u]])+(1-AK$4)*W35</f>
        <v>0.92262853336119965</v>
      </c>
      <c r="X47" s="2">
        <f t="shared" si="12"/>
        <v>216566.50573673149</v>
      </c>
      <c r="Y47" s="2">
        <f t="shared" si="10"/>
        <v>12938.505736731488</v>
      </c>
      <c r="Z47">
        <f t="shared" si="11"/>
        <v>167404930.69943362</v>
      </c>
      <c r="AA47" s="17">
        <f>ABS(Tabla6[[#This Row],[Receptive tourism]]-Tabla6[[#This Row],[pred]])</f>
        <v>82.494263268512441</v>
      </c>
      <c r="AB47" s="69">
        <f>IF($T47=0,0,(ABS(($T47-Tabla6[[#This Row],[pred]])/$T47))*100/COUNT($R$17:$R$106))</f>
        <v>4.2308200139658795E-4</v>
      </c>
      <c r="AD47" s="40">
        <f t="shared" si="3"/>
        <v>44</v>
      </c>
      <c r="AE47" s="81">
        <f>Tabla6[[#This Row],[Receptive tourism]]</f>
        <v>216649</v>
      </c>
      <c r="AF47" s="105">
        <f>Tabla6[[#This Row],[pred]]</f>
        <v>216566.50573673149</v>
      </c>
      <c r="AG47" s="74"/>
    </row>
    <row r="48" spans="1:33" x14ac:dyDescent="0.3">
      <c r="A48" s="33">
        <v>43709</v>
      </c>
      <c r="B48" s="2">
        <f>Decomposition!C55</f>
        <v>225687</v>
      </c>
      <c r="R48" s="79">
        <v>43709</v>
      </c>
      <c r="S48" s="40">
        <f t="shared" si="9"/>
        <v>45</v>
      </c>
      <c r="T48" s="81">
        <f>Decomposition!C55</f>
        <v>225687</v>
      </c>
      <c r="U48" s="74">
        <f t="shared" si="6"/>
        <v>244905.00022204089</v>
      </c>
      <c r="V48" s="74">
        <f t="shared" si="8"/>
        <v>9908.8547141339604</v>
      </c>
      <c r="W48" s="74">
        <f>AK$4*(T48/Tabla6[[#This Row],[u]])+(1-AK$4)*W36</f>
        <v>0.92084552484455817</v>
      </c>
      <c r="X48" s="2">
        <f t="shared" si="12"/>
        <v>208954.34665218953</v>
      </c>
      <c r="Y48" s="2">
        <f t="shared" si="10"/>
        <v>7177.6533478104684</v>
      </c>
      <c r="Z48">
        <f t="shared" si="11"/>
        <v>51518707.581334822</v>
      </c>
      <c r="AA48" s="17">
        <f>ABS(Tabla6[[#This Row],[Receptive tourism]]-Tabla6[[#This Row],[pred]])</f>
        <v>16732.653347810468</v>
      </c>
      <c r="AB48" s="69">
        <f>IF($T48=0,0,(ABS(($T48-Tabla6[[#This Row],[pred]])/$T48))*100/COUNT($R$17:$R$106))</f>
        <v>8.2378856793358685E-2</v>
      </c>
      <c r="AD48" s="40">
        <f t="shared" si="3"/>
        <v>45</v>
      </c>
      <c r="AE48" s="81">
        <f>Tabla6[[#This Row],[Receptive tourism]]</f>
        <v>225687</v>
      </c>
      <c r="AF48" s="105">
        <f>Tabla6[[#This Row],[pred]]</f>
        <v>208954.34665218953</v>
      </c>
      <c r="AG48" s="74"/>
    </row>
    <row r="49" spans="1:33" x14ac:dyDescent="0.3">
      <c r="A49" s="33">
        <v>43739</v>
      </c>
      <c r="B49" s="2">
        <f>Decomposition!C56</f>
        <v>225655</v>
      </c>
      <c r="R49" s="80">
        <v>43739</v>
      </c>
      <c r="S49" s="40">
        <f t="shared" si="9"/>
        <v>46</v>
      </c>
      <c r="T49" s="81">
        <f>Decomposition!C56</f>
        <v>225655</v>
      </c>
      <c r="U49" s="74">
        <f t="shared" si="6"/>
        <v>225840.85730615509</v>
      </c>
      <c r="V49" s="74">
        <f t="shared" si="8"/>
        <v>-18774.412939585611</v>
      </c>
      <c r="W49" s="74">
        <f>AK$4*(T49/Tabla6[[#This Row],[u]])+(1-AK$4)*W37</f>
        <v>1.0004735095877526</v>
      </c>
      <c r="X49" s="2">
        <f t="shared" si="12"/>
        <v>254934.51173957932</v>
      </c>
      <c r="Y49" s="2">
        <f t="shared" si="10"/>
        <v>27391.51173957932</v>
      </c>
      <c r="Z49">
        <f t="shared" si="11"/>
        <v>750294915.37951171</v>
      </c>
      <c r="AA49" s="17">
        <f>ABS(Tabla6[[#This Row],[Receptive tourism]]-Tabla6[[#This Row],[pred]])</f>
        <v>29279.51173957932</v>
      </c>
      <c r="AB49" s="69">
        <f>IF($T49=0,0,(ABS(($T49-Tabla6[[#This Row],[pred]])/$T49))*100/COUNT($R$17:$R$106))</f>
        <v>0.1441704851288684</v>
      </c>
      <c r="AD49" s="40">
        <f t="shared" si="3"/>
        <v>46</v>
      </c>
      <c r="AE49" s="81">
        <f>Tabla6[[#This Row],[Receptive tourism]]</f>
        <v>225655</v>
      </c>
      <c r="AF49" s="105">
        <f>Tabla6[[#This Row],[pred]]</f>
        <v>254934.51173957932</v>
      </c>
      <c r="AG49" s="74"/>
    </row>
    <row r="50" spans="1:33" x14ac:dyDescent="0.3">
      <c r="A50" s="33">
        <v>43770</v>
      </c>
      <c r="B50" s="2">
        <f>Decomposition!C57</f>
        <v>247326</v>
      </c>
      <c r="R50" s="79">
        <v>43770</v>
      </c>
      <c r="S50" s="40">
        <f t="shared" si="9"/>
        <v>47</v>
      </c>
      <c r="T50" s="81">
        <f>Decomposition!C57</f>
        <v>247326</v>
      </c>
      <c r="U50" s="74">
        <f t="shared" si="6"/>
        <v>218731.72661112051</v>
      </c>
      <c r="V50" s="74">
        <f t="shared" si="8"/>
        <v>-7225.7835174800857</v>
      </c>
      <c r="W50" s="74">
        <f>AK$4*(T50/Tabla6[[#This Row],[u]])+(1-AK$4)*W38</f>
        <v>1.1301188019227755</v>
      </c>
      <c r="X50" s="2">
        <f t="shared" si="12"/>
        <v>234009.68202595654</v>
      </c>
      <c r="Y50" s="2">
        <f t="shared" si="10"/>
        <v>27251.317974043457</v>
      </c>
      <c r="Z50">
        <f t="shared" si="11"/>
        <v>742634331.32242393</v>
      </c>
      <c r="AA50" s="17">
        <f>ABS(Tabla6[[#This Row],[Receptive tourism]]-Tabla6[[#This Row],[pred]])</f>
        <v>13316.317974043457</v>
      </c>
      <c r="AB50" s="69">
        <f>IF($T50=0,0,(ABS(($T50-Tabla6[[#This Row],[pred]])/$T50))*100/COUNT($R$17:$R$106))</f>
        <v>5.982350767832046E-2</v>
      </c>
      <c r="AD50" s="40">
        <f t="shared" si="3"/>
        <v>47</v>
      </c>
      <c r="AE50" s="81">
        <f>Tabla6[[#This Row],[Receptive tourism]]</f>
        <v>247326</v>
      </c>
      <c r="AF50" s="105">
        <f>Tabla6[[#This Row],[pred]]</f>
        <v>234009.68202595654</v>
      </c>
      <c r="AG50" s="74"/>
    </row>
    <row r="51" spans="1:33" x14ac:dyDescent="0.3">
      <c r="A51" s="33">
        <v>43800</v>
      </c>
      <c r="B51" s="2">
        <f>Decomposition!C58</f>
        <v>306382</v>
      </c>
      <c r="R51" s="80">
        <v>43800</v>
      </c>
      <c r="S51" s="40">
        <f t="shared" si="9"/>
        <v>48</v>
      </c>
      <c r="T51" s="81">
        <f>Decomposition!C58</f>
        <v>306382</v>
      </c>
      <c r="U51" s="74">
        <f t="shared" si="6"/>
        <v>257549.67567339263</v>
      </c>
      <c r="V51" s="74">
        <f t="shared" si="8"/>
        <v>38357.511736474597</v>
      </c>
      <c r="W51" s="74">
        <f>AK$4*(T51/Tabla6[[#This Row],[u]])+(1-AK$4)*W39</f>
        <v>1.1874591802079524</v>
      </c>
      <c r="X51" s="2">
        <f t="shared" si="12"/>
        <v>251154.67379508409</v>
      </c>
      <c r="Y51" s="2">
        <f t="shared" si="10"/>
        <v>42230.326204915909</v>
      </c>
      <c r="Z51">
        <f t="shared" si="11"/>
        <v>1783400451.3736074</v>
      </c>
      <c r="AA51" s="17">
        <f>ABS(Tabla6[[#This Row],[Receptive tourism]]-Tabla6[[#This Row],[pred]])</f>
        <v>55227.326204915909</v>
      </c>
      <c r="AB51" s="69">
        <f>IF($T51=0,0,(ABS(($T51-Tabla6[[#This Row],[pred]])/$T51))*100/COUNT($R$17:$R$106))</f>
        <v>0.20028492464713951</v>
      </c>
      <c r="AD51" s="40">
        <f t="shared" si="3"/>
        <v>48</v>
      </c>
      <c r="AE51" s="81">
        <f>Tabla6[[#This Row],[Receptive tourism]]</f>
        <v>306382</v>
      </c>
      <c r="AF51" s="105">
        <f>Tabla6[[#This Row],[pred]]</f>
        <v>251154.67379508409</v>
      </c>
      <c r="AG51" s="74"/>
    </row>
    <row r="52" spans="1:33" x14ac:dyDescent="0.3">
      <c r="A52" s="33">
        <v>43831</v>
      </c>
      <c r="B52" s="2">
        <f>Decomposition!C59</f>
        <v>308471</v>
      </c>
      <c r="R52" s="79">
        <v>43831</v>
      </c>
      <c r="S52" s="40">
        <f t="shared" si="9"/>
        <v>49</v>
      </c>
      <c r="T52" s="81">
        <f>Decomposition!C59</f>
        <v>308471</v>
      </c>
      <c r="U52" s="74">
        <f t="shared" si="6"/>
        <v>253656.37251523361</v>
      </c>
      <c r="V52" s="74">
        <f t="shared" si="8"/>
        <v>-3470.7950092126821</v>
      </c>
      <c r="W52" s="74">
        <f>AK$4*(T52/Tabla6[[#This Row],[u]])+(1-AK$4)*W40</f>
        <v>1.2181474998693766</v>
      </c>
      <c r="X52" s="2">
        <f t="shared" si="12"/>
        <v>360458.60053670889</v>
      </c>
      <c r="Y52" s="2">
        <f t="shared" ref="Y52:Y83" si="13">ABS(T40-X52)</f>
        <v>39154.600536708895</v>
      </c>
      <c r="Z52">
        <f t="shared" ref="Z52:Z83" si="14">(T40-X52)^2</f>
        <v>1533082743.1892445</v>
      </c>
      <c r="AA52" s="17">
        <f>ABS(Tabla6[[#This Row],[Receptive tourism]]-Tabla6[[#This Row],[pred]])</f>
        <v>51987.600536708895</v>
      </c>
      <c r="AB52" s="69">
        <f>IF($T52=0,0,(ABS(($T52-Tabla6[[#This Row],[pred]])/$T52))*100/COUNT($R$17:$R$106))</f>
        <v>0.1872590959809616</v>
      </c>
      <c r="AD52" s="40">
        <f t="shared" si="3"/>
        <v>49</v>
      </c>
      <c r="AE52" s="81">
        <f>Tabla6[[#This Row],[Receptive tourism]]</f>
        <v>308471</v>
      </c>
      <c r="AF52" s="105">
        <f>Tabla6[[#This Row],[pred]]</f>
        <v>360458.60053670889</v>
      </c>
      <c r="AG52" s="74"/>
    </row>
    <row r="53" spans="1:33" x14ac:dyDescent="0.3">
      <c r="A53" s="33">
        <v>43862</v>
      </c>
      <c r="B53" s="2">
        <f>Decomposition!C60</f>
        <v>255005</v>
      </c>
      <c r="R53" s="80">
        <v>43862</v>
      </c>
      <c r="S53" s="40">
        <f t="shared" si="9"/>
        <v>50</v>
      </c>
      <c r="T53" s="81">
        <f>Decomposition!C60</f>
        <v>255005</v>
      </c>
      <c r="U53" s="74">
        <f t="shared" si="6"/>
        <v>245916.89532618877</v>
      </c>
      <c r="V53" s="74">
        <f t="shared" si="8"/>
        <v>-7696.7903672465254</v>
      </c>
      <c r="W53" s="74">
        <f>AK$4*(T53/Tabla6[[#This Row],[u]])+(1-AK$4)*W41</f>
        <v>1.0371378468049532</v>
      </c>
      <c r="X53" s="2">
        <f t="shared" si="12"/>
        <v>259476.93115624829</v>
      </c>
      <c r="Y53" s="2">
        <f t="shared" si="13"/>
        <v>21843.931156248291</v>
      </c>
      <c r="Z53">
        <f t="shared" si="14"/>
        <v>477157328.35891479</v>
      </c>
      <c r="AA53" s="17">
        <f>ABS(Tabla6[[#This Row],[Receptive tourism]]-Tabla6[[#This Row],[pred]])</f>
        <v>4471.9311562482908</v>
      </c>
      <c r="AB53" s="69">
        <f>IF($T53=0,0,(ABS(($T53-Tabla6[[#This Row],[pred]])/$T53))*100/COUNT($R$17:$R$106))</f>
        <v>1.9485156745285125E-2</v>
      </c>
      <c r="AD53" s="40">
        <f t="shared" si="3"/>
        <v>50</v>
      </c>
      <c r="AE53" s="81">
        <f>Tabla6[[#This Row],[Receptive tourism]]</f>
        <v>255005</v>
      </c>
      <c r="AF53" s="105">
        <f>Tabla6[[#This Row],[pred]]</f>
        <v>259476.93115624829</v>
      </c>
      <c r="AG53" s="74"/>
    </row>
    <row r="54" spans="1:33" x14ac:dyDescent="0.3">
      <c r="A54" s="33">
        <v>43891</v>
      </c>
      <c r="B54" s="2">
        <f>Decomposition!C61</f>
        <v>118614</v>
      </c>
      <c r="R54" s="79">
        <v>43891</v>
      </c>
      <c r="S54" s="40">
        <f t="shared" si="9"/>
        <v>51</v>
      </c>
      <c r="T54" s="81">
        <f>Decomposition!C61</f>
        <v>118614</v>
      </c>
      <c r="U54" s="74">
        <f t="shared" si="6"/>
        <v>116071.81479583106</v>
      </c>
      <c r="V54" s="74">
        <f t="shared" si="8"/>
        <v>-128623.59762872659</v>
      </c>
      <c r="W54" s="74">
        <f>AK$4*(T54/Tabla6[[#This Row],[u]])+(1-AK$4)*W42</f>
        <v>1.032881158890224</v>
      </c>
      <c r="X54" s="2">
        <f>(U53+V53)*W42</f>
        <v>246053.05808094307</v>
      </c>
      <c r="Y54" s="2">
        <f t="shared" si="13"/>
        <v>15808.941919056932</v>
      </c>
      <c r="Z54">
        <f t="shared" si="14"/>
        <v>249922644.60011545</v>
      </c>
      <c r="AA54" s="17">
        <f>ABS(Tabla6[[#This Row],[Receptive tourism]]-Tabla6[[#This Row],[pred]])</f>
        <v>127439.05808094307</v>
      </c>
      <c r="AB54" s="69">
        <f>IF($T54=0,0,(ABS(($T54-Tabla6[[#This Row],[pred]])/$T54))*100/COUNT($R$17:$R$106))</f>
        <v>1.1937794309547782</v>
      </c>
      <c r="AD54" s="40">
        <f t="shared" si="3"/>
        <v>51</v>
      </c>
      <c r="AE54" s="81">
        <f>Tabla6[[#This Row],[Receptive tourism]]</f>
        <v>118614</v>
      </c>
      <c r="AF54" s="105">
        <f>Tabla6[[#This Row],[pred]]</f>
        <v>246053.05808094307</v>
      </c>
      <c r="AG54" s="74"/>
    </row>
    <row r="55" spans="1:33" x14ac:dyDescent="0.3">
      <c r="A55" s="33">
        <v>43922</v>
      </c>
      <c r="B55" s="2">
        <f>Decomposition!C62</f>
        <v>0</v>
      </c>
      <c r="R55" s="80">
        <v>43922</v>
      </c>
      <c r="S55" s="40">
        <f t="shared" si="9"/>
        <v>52</v>
      </c>
      <c r="T55" s="81">
        <f>Decomposition!C62</f>
        <v>0</v>
      </c>
      <c r="U55" s="74">
        <f t="shared" si="6"/>
        <v>-125.51782832895547</v>
      </c>
      <c r="V55" s="74">
        <f t="shared" si="8"/>
        <v>-116321.59527420568</v>
      </c>
      <c r="W55" s="74">
        <f>AK$4*(T55/Tabla6[[#This Row],[u]])+(1-AK$4)*W43</f>
        <v>0.89355667746486223</v>
      </c>
      <c r="X55" s="2">
        <f t="shared" si="12"/>
        <v>-11215.729364422632</v>
      </c>
      <c r="Y55" s="2">
        <f t="shared" si="13"/>
        <v>250909.72936442264</v>
      </c>
      <c r="Z55">
        <f t="shared" si="14"/>
        <v>62955692289.727814</v>
      </c>
      <c r="AA55" s="17">
        <f>ABS(Tabla6[[#This Row],[Receptive tourism]]-Tabla6[[#This Row],[pred]])</f>
        <v>11215.729364422632</v>
      </c>
      <c r="AB55" s="69">
        <f>IF($T55=0,0,(ABS(($T55-Tabla6[[#This Row],[pred]])/$T55))*100/COUNT($R$17:$R$106))</f>
        <v>0</v>
      </c>
      <c r="AD55" s="40">
        <f t="shared" si="3"/>
        <v>52</v>
      </c>
      <c r="AE55" s="81">
        <f>Tabla6[[#This Row],[Receptive tourism]]</f>
        <v>0</v>
      </c>
      <c r="AF55" s="105">
        <f>Tabla6[[#This Row],[pred]]</f>
        <v>-11215.729364422632</v>
      </c>
      <c r="AG55" s="74"/>
    </row>
    <row r="56" spans="1:33" x14ac:dyDescent="0.3">
      <c r="A56" s="33">
        <v>43952</v>
      </c>
      <c r="B56" s="2">
        <f>Decomposition!C63</f>
        <v>0</v>
      </c>
      <c r="R56" s="79">
        <v>43952</v>
      </c>
      <c r="S56" s="40">
        <f t="shared" si="9"/>
        <v>53</v>
      </c>
      <c r="T56" s="81">
        <f>Decomposition!C63</f>
        <v>0</v>
      </c>
      <c r="U56" s="74">
        <f t="shared" si="6"/>
        <v>-1164.4711310253474</v>
      </c>
      <c r="V56" s="74">
        <f t="shared" si="8"/>
        <v>-2191.7797224114861</v>
      </c>
      <c r="W56" s="74">
        <f>AK$4*(T56/Tabla6[[#This Row],[u]])+(1-AK$4)*W44</f>
        <v>0.86408805318982174</v>
      </c>
      <c r="X56" s="2">
        <f>(U55+V55)*W44</f>
        <v>-100620.55926034413</v>
      </c>
      <c r="Y56" s="2">
        <f t="shared" si="13"/>
        <v>310353.55926034413</v>
      </c>
      <c r="Z56">
        <f t="shared" si="14"/>
        <v>96319331745.563934</v>
      </c>
      <c r="AA56" s="17">
        <f>ABS(Tabla6[[#This Row],[Receptive tourism]]-Tabla6[[#This Row],[pred]])</f>
        <v>100620.55926034413</v>
      </c>
      <c r="AB56" s="69">
        <f>IF($T56=0,0,(ABS(($T56-Tabla6[[#This Row],[pred]])/$T56))*100/COUNT($R$17:$R$106))</f>
        <v>0</v>
      </c>
      <c r="AD56" s="40">
        <f t="shared" si="3"/>
        <v>53</v>
      </c>
      <c r="AE56" s="81">
        <f>Tabla6[[#This Row],[Receptive tourism]]</f>
        <v>0</v>
      </c>
      <c r="AF56" s="105">
        <f>Tabla6[[#This Row],[pred]]</f>
        <v>-100620.55926034413</v>
      </c>
      <c r="AG56" s="74"/>
    </row>
    <row r="57" spans="1:33" x14ac:dyDescent="0.3">
      <c r="A57" s="33">
        <v>43983</v>
      </c>
      <c r="B57" s="2">
        <f>Decomposition!C64</f>
        <v>0</v>
      </c>
      <c r="G57" s="35" t="s">
        <v>150</v>
      </c>
      <c r="R57" s="80">
        <v>43983</v>
      </c>
      <c r="S57" s="40">
        <f t="shared" si="9"/>
        <v>54</v>
      </c>
      <c r="T57" s="81">
        <f>Decomposition!C64</f>
        <v>0</v>
      </c>
      <c r="U57" s="74">
        <f t="shared" si="6"/>
        <v>-33.562508534368362</v>
      </c>
      <c r="V57" s="74">
        <f t="shared" si="8"/>
        <v>1097.6817390419544</v>
      </c>
      <c r="W57" s="74">
        <f>AK$4*(T57/Tabla6[[#This Row],[u]])+(1-AK$4)*W45</f>
        <v>0.78661045509169758</v>
      </c>
      <c r="X57" s="2">
        <f t="shared" si="12"/>
        <v>-2640.0620112238462</v>
      </c>
      <c r="Y57" s="2">
        <f t="shared" si="13"/>
        <v>200227.06201122384</v>
      </c>
      <c r="Z57">
        <f t="shared" si="14"/>
        <v>40090876361.646477</v>
      </c>
      <c r="AA57" s="17">
        <f>ABS(Tabla6[[#This Row],[Receptive tourism]]-Tabla6[[#This Row],[pred]])</f>
        <v>2640.0620112238462</v>
      </c>
      <c r="AB57" s="69">
        <f>IF($T57=0,0,(ABS(($T57-Tabla6[[#This Row],[pred]])/$T57))*100/COUNT($R$17:$R$106))</f>
        <v>0</v>
      </c>
      <c r="AD57" s="40">
        <f t="shared" si="3"/>
        <v>54</v>
      </c>
      <c r="AE57" s="81">
        <f>Tabla6[[#This Row],[Receptive tourism]]</f>
        <v>0</v>
      </c>
      <c r="AF57" s="105">
        <f>Tabla6[[#This Row],[pred]]</f>
        <v>-2640.0620112238462</v>
      </c>
      <c r="AG57" s="74"/>
    </row>
    <row r="58" spans="1:33" x14ac:dyDescent="0.3">
      <c r="A58" s="33">
        <v>44013</v>
      </c>
      <c r="B58" s="2">
        <f>Decomposition!C65</f>
        <v>495</v>
      </c>
      <c r="R58" s="79">
        <v>44013</v>
      </c>
      <c r="S58" s="40">
        <f t="shared" si="9"/>
        <v>55</v>
      </c>
      <c r="T58" s="81">
        <f>Decomposition!C65</f>
        <v>495</v>
      </c>
      <c r="U58" s="74">
        <f t="shared" si="6"/>
        <v>497.74288327569201</v>
      </c>
      <c r="V58" s="74">
        <f t="shared" si="8"/>
        <v>536.96915528237935</v>
      </c>
      <c r="W58" s="74">
        <f>AK$4*(T58/Tabla6[[#This Row],[u]])+(1-AK$4)*W46</f>
        <v>1.0060527587648258</v>
      </c>
      <c r="X58" s="2">
        <f t="shared" si="12"/>
        <v>1070.5600875068606</v>
      </c>
      <c r="Y58" s="2">
        <f t="shared" si="13"/>
        <v>242956.43991249314</v>
      </c>
      <c r="Z58">
        <f t="shared" si="14"/>
        <v>59027831694.952888</v>
      </c>
      <c r="AA58" s="17">
        <f>ABS(Tabla6[[#This Row],[Receptive tourism]]-Tabla6[[#This Row],[pred]])</f>
        <v>575.56008750686055</v>
      </c>
      <c r="AB58" s="69">
        <f>IF($T58=0,0,(ABS(($T58-Tabla6[[#This Row],[pred]])/$T58))*100/COUNT($R$17:$R$106))</f>
        <v>1.2919418350322345</v>
      </c>
      <c r="AD58" s="40">
        <f t="shared" si="3"/>
        <v>55</v>
      </c>
      <c r="AE58" s="81">
        <f>Tabla6[[#This Row],[Receptive tourism]]</f>
        <v>495</v>
      </c>
      <c r="AF58" s="105">
        <f>Tabla6[[#This Row],[pred]]</f>
        <v>1070.5600875068606</v>
      </c>
      <c r="AG58" s="74"/>
    </row>
    <row r="59" spans="1:33" x14ac:dyDescent="0.3">
      <c r="A59" s="33">
        <v>44044</v>
      </c>
      <c r="B59" s="2">
        <f>Decomposition!C66</f>
        <v>890</v>
      </c>
      <c r="R59" s="80">
        <v>44044</v>
      </c>
      <c r="S59" s="40">
        <f t="shared" si="9"/>
        <v>56</v>
      </c>
      <c r="T59" s="81">
        <f>Decomposition!C66</f>
        <v>890</v>
      </c>
      <c r="U59" s="74">
        <f t="shared" si="6"/>
        <v>965.33601151611151</v>
      </c>
      <c r="V59" s="74">
        <f t="shared" si="8"/>
        <v>468.28688851083911</v>
      </c>
      <c r="W59" s="74">
        <f>AK$4*(T59/Tabla6[[#This Row],[u]])+(1-AK$4)*W47</f>
        <v>0.92262853336119965</v>
      </c>
      <c r="X59" s="2">
        <f t="shared" si="12"/>
        <v>954.65485058601041</v>
      </c>
      <c r="Y59" s="2">
        <f t="shared" si="13"/>
        <v>215694.345149414</v>
      </c>
      <c r="Z59">
        <f t="shared" si="14"/>
        <v>46524050529.434532</v>
      </c>
      <c r="AA59" s="17">
        <f>ABS(Tabla6[[#This Row],[Receptive tourism]]-Tabla6[[#This Row],[pred]])</f>
        <v>64.654850586010411</v>
      </c>
      <c r="AB59" s="69">
        <f>IF($T59=0,0,(ABS(($T59-Tabla6[[#This Row],[pred]])/$T59))*100/COUNT($R$17:$R$106))</f>
        <v>8.0717666149825729E-2</v>
      </c>
      <c r="AD59" s="40">
        <f t="shared" si="3"/>
        <v>56</v>
      </c>
      <c r="AE59" s="81">
        <f>Tabla6[[#This Row],[Receptive tourism]]</f>
        <v>890</v>
      </c>
      <c r="AF59" s="105">
        <f>Tabla6[[#This Row],[pred]]</f>
        <v>954.65485058601041</v>
      </c>
      <c r="AG59" s="74"/>
    </row>
    <row r="60" spans="1:33" x14ac:dyDescent="0.3">
      <c r="A60" s="33">
        <v>44075</v>
      </c>
      <c r="B60" s="2">
        <f>Decomposition!C67</f>
        <v>1392</v>
      </c>
      <c r="R60" s="79">
        <v>44075</v>
      </c>
      <c r="S60" s="40">
        <f t="shared" si="9"/>
        <v>57</v>
      </c>
      <c r="T60" s="81">
        <f>Decomposition!C67</f>
        <v>1392</v>
      </c>
      <c r="U60" s="74">
        <f t="shared" si="6"/>
        <v>1510.8738814285903</v>
      </c>
      <c r="V60" s="74">
        <f t="shared" si="8"/>
        <v>544.76536009846234</v>
      </c>
      <c r="W60" s="74">
        <f>AK$4*(T60/Tabla6[[#This Row],[u]])+(1-AK$4)*W48</f>
        <v>0.92084552484455817</v>
      </c>
      <c r="X60" s="2">
        <f t="shared" si="12"/>
        <v>1320.1452318044949</v>
      </c>
      <c r="Y60" s="2">
        <f t="shared" si="13"/>
        <v>224366.85476819551</v>
      </c>
      <c r="Z60">
        <f t="shared" si="14"/>
        <v>50340485518.572533</v>
      </c>
      <c r="AA60" s="17">
        <f>ABS(Tabla6[[#This Row],[Receptive tourism]]-Tabla6[[#This Row],[pred]])</f>
        <v>71.85476819550513</v>
      </c>
      <c r="AB60" s="69">
        <f>IF($T60=0,0,(ABS(($T60-Tabla6[[#This Row],[pred]])/$T60))*100/COUNT($R$17:$R$106))</f>
        <v>5.7355338597944713E-2</v>
      </c>
      <c r="AD60" s="40">
        <f t="shared" si="3"/>
        <v>57</v>
      </c>
      <c r="AE60" s="81">
        <f>Tabla6[[#This Row],[Receptive tourism]]</f>
        <v>1392</v>
      </c>
      <c r="AF60" s="105">
        <f>Tabla6[[#This Row],[pred]]</f>
        <v>1320.1452318044949</v>
      </c>
      <c r="AG60" s="74"/>
    </row>
    <row r="61" spans="1:33" x14ac:dyDescent="0.3">
      <c r="A61" s="33">
        <v>44105</v>
      </c>
      <c r="B61" s="2">
        <f>Decomposition!C68</f>
        <v>1829</v>
      </c>
      <c r="R61" s="80">
        <v>44105</v>
      </c>
      <c r="S61" s="40">
        <f t="shared" si="9"/>
        <v>58</v>
      </c>
      <c r="T61" s="81">
        <f>Decomposition!C68</f>
        <v>1829</v>
      </c>
      <c r="U61" s="74">
        <f t="shared" si="6"/>
        <v>1830.4094096591825</v>
      </c>
      <c r="V61" s="74">
        <f t="shared" si="8"/>
        <v>321.78782654927096</v>
      </c>
      <c r="W61" s="74">
        <f>AK$4*(T61/Tabla6[[#This Row],[u]])+(1-AK$4)*W49</f>
        <v>1.0004735095877526</v>
      </c>
      <c r="X61" s="2">
        <f t="shared" si="12"/>
        <v>2056.6126064168761</v>
      </c>
      <c r="Y61" s="2">
        <f t="shared" si="13"/>
        <v>223598.38739358314</v>
      </c>
      <c r="Z61">
        <f t="shared" si="14"/>
        <v>49996238845.01088</v>
      </c>
      <c r="AA61" s="17">
        <f>ABS(Tabla6[[#This Row],[Receptive tourism]]-Tabla6[[#This Row],[pred]])</f>
        <v>227.61260641687613</v>
      </c>
      <c r="AB61" s="69">
        <f>IF($T61=0,0,(ABS(($T61-Tabla6[[#This Row],[pred]])/$T61))*100/COUNT($R$17:$R$106))</f>
        <v>0.13827386332353814</v>
      </c>
      <c r="AD61" s="40">
        <f t="shared" si="3"/>
        <v>58</v>
      </c>
      <c r="AE61" s="81">
        <f>Tabla6[[#This Row],[Receptive tourism]]</f>
        <v>1829</v>
      </c>
      <c r="AF61" s="105">
        <f>Tabla6[[#This Row],[pred]]</f>
        <v>2056.6126064168761</v>
      </c>
      <c r="AG61" s="74"/>
    </row>
    <row r="62" spans="1:33" x14ac:dyDescent="0.3">
      <c r="A62" s="33">
        <v>44136</v>
      </c>
      <c r="B62" s="2">
        <f>Decomposition!C69</f>
        <v>3897</v>
      </c>
      <c r="R62" s="79">
        <v>44136</v>
      </c>
      <c r="S62" s="40">
        <f t="shared" si="9"/>
        <v>59</v>
      </c>
      <c r="T62" s="81">
        <f>Decomposition!C69</f>
        <v>3897</v>
      </c>
      <c r="U62" s="74">
        <f t="shared" si="6"/>
        <v>3435.3489022706722</v>
      </c>
      <c r="V62" s="74">
        <f t="shared" si="8"/>
        <v>1592.1079759508675</v>
      </c>
      <c r="W62" s="74">
        <f>AK$4*(T62/Tabla6[[#This Row],[u]])+(1-AK$4)*W50</f>
        <v>1.1301188019227755</v>
      </c>
      <c r="X62" s="2">
        <f t="shared" si="12"/>
        <v>2432.2385620854061</v>
      </c>
      <c r="Y62" s="2">
        <f t="shared" si="13"/>
        <v>244893.7614379146</v>
      </c>
      <c r="Z62">
        <f t="shared" si="14"/>
        <v>59972954391.210228</v>
      </c>
      <c r="AA62" s="17">
        <f>ABS(Tabla6[[#This Row],[Receptive tourism]]-Tabla6[[#This Row],[pred]])</f>
        <v>1464.7614379145939</v>
      </c>
      <c r="AB62" s="69">
        <f>IF($T62=0,0,(ABS(($T62-Tabla6[[#This Row],[pred]])/$T62))*100/COUNT($R$17:$R$106))</f>
        <v>0.41763220651629285</v>
      </c>
      <c r="AD62" s="40">
        <f t="shared" si="3"/>
        <v>59</v>
      </c>
      <c r="AE62" s="81">
        <f>Tabla6[[#This Row],[Receptive tourism]]</f>
        <v>3897</v>
      </c>
      <c r="AF62" s="105">
        <f>Tabla6[[#This Row],[pred]]</f>
        <v>2432.2385620854061</v>
      </c>
      <c r="AG62" s="74"/>
    </row>
    <row r="63" spans="1:33" x14ac:dyDescent="0.3">
      <c r="A63" s="33">
        <v>44166</v>
      </c>
      <c r="B63" s="2">
        <f>Decomposition!C70</f>
        <v>7865</v>
      </c>
      <c r="R63" s="80">
        <v>44166</v>
      </c>
      <c r="S63" s="40">
        <f t="shared" si="9"/>
        <v>60</v>
      </c>
      <c r="T63" s="81">
        <f>Decomposition!C70</f>
        <v>7865</v>
      </c>
      <c r="U63" s="74">
        <f t="shared" si="6"/>
        <v>6607.4262837880524</v>
      </c>
      <c r="V63" s="74">
        <f t="shared" si="8"/>
        <v>3156.2776874617152</v>
      </c>
      <c r="W63" s="74">
        <f>AK$4*(T63/Tabla6[[#This Row],[u]])+(1-AK$4)*W51</f>
        <v>1.1874591802079524</v>
      </c>
      <c r="X63" s="2">
        <f t="shared" si="12"/>
        <v>5969.8998231437808</v>
      </c>
      <c r="Y63" s="2">
        <f t="shared" si="13"/>
        <v>300412.10017685621</v>
      </c>
      <c r="Z63">
        <f t="shared" si="14"/>
        <v>90247429932.669495</v>
      </c>
      <c r="AA63" s="17">
        <f>ABS(Tabla6[[#This Row],[Receptive tourism]]-Tabla6[[#This Row],[pred]])</f>
        <v>1895.1001768562192</v>
      </c>
      <c r="AB63" s="69">
        <f>IF($T63=0,0,(ABS(($T63-Tabla6[[#This Row],[pred]])/$T63))*100/COUNT($R$17:$R$106))</f>
        <v>0.26772623816574403</v>
      </c>
      <c r="AD63" s="40">
        <f t="shared" si="3"/>
        <v>60</v>
      </c>
      <c r="AE63" s="81">
        <f>Tabla6[[#This Row],[Receptive tourism]]</f>
        <v>7865</v>
      </c>
      <c r="AF63" s="105">
        <f>Tabla6[[#This Row],[pred]]</f>
        <v>5969.8998231437808</v>
      </c>
      <c r="AG63" s="74"/>
    </row>
    <row r="64" spans="1:33" x14ac:dyDescent="0.3">
      <c r="A64" s="33">
        <v>44197</v>
      </c>
      <c r="B64" s="2">
        <f>Decomposition!C71</f>
        <v>8229</v>
      </c>
      <c r="R64" s="79">
        <v>44197</v>
      </c>
      <c r="S64" s="40">
        <f t="shared" si="9"/>
        <v>61</v>
      </c>
      <c r="T64" s="81">
        <f>Decomposition!C71</f>
        <v>8229</v>
      </c>
      <c r="U64" s="74">
        <f t="shared" si="6"/>
        <v>6785.4232075399414</v>
      </c>
      <c r="V64" s="74">
        <f t="shared" si="8"/>
        <v>207.77973138898727</v>
      </c>
      <c r="W64" s="74">
        <f>AK$4*(T64/Tabla6[[#This Row],[u]])+(1-AK$4)*W52</f>
        <v>1.2181474998693766</v>
      </c>
      <c r="X64" s="2">
        <f t="shared" si="12"/>
        <v>11893.63158204261</v>
      </c>
      <c r="Y64" s="2">
        <f t="shared" si="13"/>
        <v>296577.36841795739</v>
      </c>
      <c r="Z64">
        <f t="shared" si="14"/>
        <v>87958135457.720825</v>
      </c>
      <c r="AA64" s="17">
        <f>ABS(Tabla6[[#This Row],[Receptive tourism]]-Tabla6[[#This Row],[pred]])</f>
        <v>3664.6315820426098</v>
      </c>
      <c r="AB64" s="69">
        <f>IF($T64=0,0,(ABS(($T64-Tabla6[[#This Row],[pred]])/$T64))*100/COUNT($R$17:$R$106))</f>
        <v>0.49481259799929922</v>
      </c>
      <c r="AD64" s="40">
        <f t="shared" si="3"/>
        <v>61</v>
      </c>
      <c r="AE64" s="81">
        <f>Tabla6[[#This Row],[Receptive tourism]]</f>
        <v>8229</v>
      </c>
      <c r="AF64" s="105">
        <f>Tabla6[[#This Row],[pred]]</f>
        <v>11893.63158204261</v>
      </c>
      <c r="AG64" s="74"/>
    </row>
    <row r="65" spans="1:33" x14ac:dyDescent="0.3">
      <c r="A65" s="33">
        <v>44228</v>
      </c>
      <c r="B65" s="2">
        <f>Decomposition!C72</f>
        <v>3648</v>
      </c>
      <c r="R65" s="80">
        <v>44228</v>
      </c>
      <c r="S65" s="40">
        <f t="shared" si="9"/>
        <v>62</v>
      </c>
      <c r="T65" s="81">
        <f>Decomposition!C72</f>
        <v>3648</v>
      </c>
      <c r="U65" s="74">
        <f t="shared" si="6"/>
        <v>3552.1306697395448</v>
      </c>
      <c r="V65" s="74">
        <f t="shared" si="8"/>
        <v>-3198.8818151085029</v>
      </c>
      <c r="W65" s="74">
        <f>AK$4*(T65/Tabla6[[#This Row],[u]])+(1-AK$4)*W53</f>
        <v>1.0371378468049532</v>
      </c>
      <c r="X65" s="2">
        <f t="shared" si="12"/>
        <v>7252.9154383508194</v>
      </c>
      <c r="Y65" s="2">
        <f t="shared" si="13"/>
        <v>247752.08456164919</v>
      </c>
      <c r="Z65">
        <f t="shared" si="14"/>
        <v>61381095404.64257</v>
      </c>
      <c r="AA65" s="17">
        <f>ABS(Tabla6[[#This Row],[Receptive tourism]]-Tabla6[[#This Row],[pred]])</f>
        <v>3604.9154383508194</v>
      </c>
      <c r="AB65" s="69">
        <f>IF($T65=0,0,(ABS(($T65-Tabla6[[#This Row],[pred]])/$T65))*100/COUNT($R$17:$R$106))</f>
        <v>1.0979883766906735</v>
      </c>
      <c r="AD65" s="40">
        <f t="shared" si="3"/>
        <v>62</v>
      </c>
      <c r="AE65" s="81">
        <f>Tabla6[[#This Row],[Receptive tourism]]</f>
        <v>3648</v>
      </c>
      <c r="AF65" s="105">
        <f>Tabla6[[#This Row],[pred]]</f>
        <v>7252.9154383508194</v>
      </c>
      <c r="AG65" s="74"/>
    </row>
    <row r="66" spans="1:33" x14ac:dyDescent="0.3">
      <c r="A66" s="33">
        <v>44256</v>
      </c>
      <c r="B66" s="2">
        <f>Decomposition!C73</f>
        <v>5784</v>
      </c>
      <c r="R66" s="79">
        <v>44256</v>
      </c>
      <c r="S66" s="40">
        <f t="shared" si="9"/>
        <v>63</v>
      </c>
      <c r="T66" s="81">
        <f>Decomposition!C73</f>
        <v>5784</v>
      </c>
      <c r="U66" s="74">
        <f t="shared" si="6"/>
        <v>5547.4035822474043</v>
      </c>
      <c r="V66" s="74">
        <f t="shared" si="8"/>
        <v>1943.3313652316958</v>
      </c>
      <c r="W66" s="74">
        <f>AK$4*(T66/Tabla6[[#This Row],[u]])+(1-AK$4)*W54</f>
        <v>1.032881158890224</v>
      </c>
      <c r="X66" s="2">
        <f t="shared" si="12"/>
        <v>364.86408634795487</v>
      </c>
      <c r="Y66" s="2">
        <f t="shared" si="13"/>
        <v>118249.13591365205</v>
      </c>
      <c r="Z66">
        <f t="shared" si="14"/>
        <v>13982858144.325354</v>
      </c>
      <c r="AA66" s="17">
        <f>ABS(Tabla6[[#This Row],[Receptive tourism]]-Tabla6[[#This Row],[pred]])</f>
        <v>5419.135913652045</v>
      </c>
      <c r="AB66" s="69">
        <f>IF($T66=0,0,(ABS(($T66-Tabla6[[#This Row],[pred]])/$T66))*100/COUNT($R$17:$R$106))</f>
        <v>1.0410204229391513</v>
      </c>
      <c r="AD66" s="40">
        <f t="shared" si="3"/>
        <v>63</v>
      </c>
      <c r="AE66" s="81">
        <f>Tabla6[[#This Row],[Receptive tourism]]</f>
        <v>5784</v>
      </c>
      <c r="AF66" s="105">
        <f>Tabla6[[#This Row],[pred]]</f>
        <v>364.86408634795487</v>
      </c>
      <c r="AG66" s="74"/>
    </row>
    <row r="67" spans="1:33" x14ac:dyDescent="0.3">
      <c r="A67" s="33">
        <v>44287</v>
      </c>
      <c r="B67" s="2">
        <f>Decomposition!C74</f>
        <v>4959</v>
      </c>
      <c r="R67" s="80">
        <v>44287</v>
      </c>
      <c r="S67" s="40">
        <f t="shared" si="9"/>
        <v>64</v>
      </c>
      <c r="T67" s="81">
        <f>Decomposition!C74</f>
        <v>4959</v>
      </c>
      <c r="U67" s="74">
        <f t="shared" si="6"/>
        <v>5569.1419333723024</v>
      </c>
      <c r="V67" s="74">
        <f t="shared" si="8"/>
        <v>40.954281265966138</v>
      </c>
      <c r="W67" s="74">
        <f>AK$4*(T67/Tabla6[[#This Row],[u]])+(1-AK$4)*W55</f>
        <v>0.89355667746486223</v>
      </c>
      <c r="X67" s="2">
        <f t="shared" si="12"/>
        <v>6693.3962314393539</v>
      </c>
      <c r="Y67" s="2">
        <f t="shared" si="13"/>
        <v>6693.3962314393539</v>
      </c>
      <c r="Z67">
        <f t="shared" si="14"/>
        <v>44801553.111046545</v>
      </c>
      <c r="AA67" s="17">
        <f>ABS(Tabla6[[#This Row],[Receptive tourism]]-Tabla6[[#This Row],[pred]])</f>
        <v>1734.3962314393539</v>
      </c>
      <c r="AB67" s="69">
        <f>IF($T67=0,0,(ABS(($T67-Tabla6[[#This Row],[pred]])/$T67))*100/COUNT($R$17:$R$106))</f>
        <v>0.38860797011927889</v>
      </c>
      <c r="AD67" s="40">
        <f t="shared" si="3"/>
        <v>64</v>
      </c>
      <c r="AE67" s="81">
        <f>Tabla6[[#This Row],[Receptive tourism]]</f>
        <v>4959</v>
      </c>
      <c r="AF67" s="105">
        <f>Tabla6[[#This Row],[pred]]</f>
        <v>6693.3962314393539</v>
      </c>
      <c r="AG67" s="74"/>
    </row>
    <row r="68" spans="1:33" x14ac:dyDescent="0.3">
      <c r="A68" s="33">
        <v>44317</v>
      </c>
      <c r="B68" s="2">
        <f>Decomposition!C75</f>
        <v>3361</v>
      </c>
      <c r="R68" s="79">
        <v>44317</v>
      </c>
      <c r="S68" s="40">
        <f t="shared" si="9"/>
        <v>65</v>
      </c>
      <c r="T68" s="81">
        <f>Decomposition!C75</f>
        <v>3361</v>
      </c>
      <c r="U68" s="74">
        <f t="shared" si="6"/>
        <v>3906.8543520547182</v>
      </c>
      <c r="V68" s="74">
        <f t="shared" si="8"/>
        <v>-1645.2551626917486</v>
      </c>
      <c r="W68" s="74">
        <f>AK$4*(T68/Tabla6[[#This Row],[u]])+(1-AK$4)*W56</f>
        <v>0.86408805318982174</v>
      </c>
      <c r="X68" s="2">
        <f t="shared" si="12"/>
        <v>4847.6171163143699</v>
      </c>
      <c r="Y68" s="2">
        <f t="shared" si="13"/>
        <v>4847.6171163143699</v>
      </c>
      <c r="Z68">
        <f t="shared" si="14"/>
        <v>23499391.706384048</v>
      </c>
      <c r="AA68" s="17">
        <f>ABS(Tabla6[[#This Row],[Receptive tourism]]-Tabla6[[#This Row],[pred]])</f>
        <v>1486.6171163143699</v>
      </c>
      <c r="AB68" s="69">
        <f>IF($T68=0,0,(ABS(($T68-Tabla6[[#This Row],[pred]])/$T68))*100/COUNT($R$17:$R$106))</f>
        <v>0.49145992142364042</v>
      </c>
      <c r="AD68" s="40">
        <f t="shared" si="3"/>
        <v>65</v>
      </c>
      <c r="AE68" s="81">
        <f>Tabla6[[#This Row],[Receptive tourism]]</f>
        <v>3361</v>
      </c>
      <c r="AF68" s="105">
        <f>Tabla6[[#This Row],[pred]]</f>
        <v>4847.6171163143699</v>
      </c>
      <c r="AG68" s="74"/>
    </row>
    <row r="69" spans="1:33" x14ac:dyDescent="0.3">
      <c r="A69" s="33">
        <v>44348</v>
      </c>
      <c r="B69" s="2">
        <f>Decomposition!C76</f>
        <v>2643</v>
      </c>
      <c r="R69" s="80">
        <v>44348</v>
      </c>
      <c r="S69" s="40">
        <f t="shared" si="9"/>
        <v>66</v>
      </c>
      <c r="T69" s="81">
        <f>Decomposition!C76</f>
        <v>2643</v>
      </c>
      <c r="U69" s="74">
        <f t="shared" si="6"/>
        <v>3349.0019851931697</v>
      </c>
      <c r="V69" s="74">
        <f t="shared" si="8"/>
        <v>-568.7263948198505</v>
      </c>
      <c r="W69" s="74">
        <f>AK$4*(T69/Tabla6[[#This Row],[u]])+(1-AK$4)*W57</f>
        <v>0.78661045509169758</v>
      </c>
      <c r="X69" s="2">
        <f t="shared" si="12"/>
        <v>1778.99756757982</v>
      </c>
      <c r="Y69" s="2">
        <f t="shared" si="13"/>
        <v>1778.99756757982</v>
      </c>
      <c r="Z69">
        <f t="shared" si="14"/>
        <v>3164832.3454549164</v>
      </c>
      <c r="AA69" s="17">
        <f>ABS(Tabla6[[#This Row],[Receptive tourism]]-Tabla6[[#This Row],[pred]])</f>
        <v>864.00243242017996</v>
      </c>
      <c r="AB69" s="69">
        <f>IF($T69=0,0,(ABS(($T69-Tabla6[[#This Row],[pred]])/$T69))*100/COUNT($R$17:$R$106))</f>
        <v>0.36322463211845962</v>
      </c>
      <c r="AD69" s="40">
        <f t="shared" si="3"/>
        <v>66</v>
      </c>
      <c r="AE69" s="81">
        <f>Tabla6[[#This Row],[Receptive tourism]]</f>
        <v>2643</v>
      </c>
      <c r="AF69" s="105">
        <f>Tabla6[[#This Row],[pred]]</f>
        <v>1778.99756757982</v>
      </c>
      <c r="AG69" s="74"/>
    </row>
    <row r="70" spans="1:33" x14ac:dyDescent="0.3">
      <c r="A70" s="33">
        <v>44378</v>
      </c>
      <c r="B70" s="2">
        <f>Decomposition!C77</f>
        <v>2004</v>
      </c>
      <c r="R70" s="79">
        <v>44378</v>
      </c>
      <c r="S70" s="40">
        <f t="shared" si="9"/>
        <v>67</v>
      </c>
      <c r="T70" s="81">
        <f>Decomposition!C77</f>
        <v>2004</v>
      </c>
      <c r="U70" s="74">
        <f t="shared" si="6"/>
        <v>1999.8265714696215</v>
      </c>
      <c r="V70" s="74">
        <f t="shared" si="8"/>
        <v>-1341.3709235345111</v>
      </c>
      <c r="W70" s="74">
        <f>AK$4*(T70/Tabla6[[#This Row],[u]])+(1-AK$4)*W58</f>
        <v>1.0060527587648258</v>
      </c>
      <c r="X70" s="2">
        <f t="shared" si="12"/>
        <v>2797.1039278215826</v>
      </c>
      <c r="Y70" s="2">
        <f t="shared" si="13"/>
        <v>2302.1039278215826</v>
      </c>
      <c r="Z70">
        <f t="shared" si="14"/>
        <v>5299682.4944915585</v>
      </c>
      <c r="AA70" s="17">
        <f>ABS(Tabla6[[#This Row],[Receptive tourism]]-Tabla6[[#This Row],[pred]])</f>
        <v>793.1039278215826</v>
      </c>
      <c r="AB70" s="69">
        <f>IF($T70=0,0,(ABS(($T70-Tabla6[[#This Row],[pred]])/$T70))*100/COUNT($R$17:$R$106))</f>
        <v>0.43973382558304647</v>
      </c>
      <c r="AD70" s="40">
        <f t="shared" si="3"/>
        <v>67</v>
      </c>
      <c r="AE70" s="81">
        <f>Tabla6[[#This Row],[Receptive tourism]]</f>
        <v>2004</v>
      </c>
      <c r="AF70" s="105">
        <f>Tabla6[[#This Row],[pred]]</f>
        <v>2797.1039278215826</v>
      </c>
      <c r="AG70" s="74"/>
    </row>
    <row r="71" spans="1:33" x14ac:dyDescent="0.3">
      <c r="A71" s="33">
        <v>44409</v>
      </c>
      <c r="B71" s="2">
        <f>Decomposition!C78</f>
        <v>1883</v>
      </c>
      <c r="R71" s="80">
        <v>44409</v>
      </c>
      <c r="S71" s="40">
        <f t="shared" si="9"/>
        <v>68</v>
      </c>
      <c r="T71" s="81">
        <f>Decomposition!C78</f>
        <v>1883</v>
      </c>
      <c r="U71" s="74">
        <f t="shared" si="6"/>
        <v>2027.0835250173166</v>
      </c>
      <c r="V71" s="74">
        <f t="shared" si="8"/>
        <v>13.570674776872973</v>
      </c>
      <c r="W71" s="74">
        <f>AK$4*(T71/Tabla6[[#This Row],[u]])+(1-AK$4)*W59</f>
        <v>0.92262853336119965</v>
      </c>
      <c r="X71" s="2">
        <f t="shared" si="12"/>
        <v>607.50996873776933</v>
      </c>
      <c r="Y71" s="2">
        <f t="shared" si="13"/>
        <v>282.49003126223067</v>
      </c>
      <c r="Z71">
        <f t="shared" si="14"/>
        <v>79800.617762536058</v>
      </c>
      <c r="AA71" s="17">
        <f>ABS(Tabla6[[#This Row],[Receptive tourism]]-Tabla6[[#This Row],[pred]])</f>
        <v>1275.4900312622308</v>
      </c>
      <c r="AB71" s="69">
        <f>IF($T71=0,0,(ABS(($T71-Tabla6[[#This Row],[pred]])/$T71))*100/COUNT($R$17:$R$106))</f>
        <v>0.75263470305200386</v>
      </c>
      <c r="AD71" s="40">
        <f t="shared" si="3"/>
        <v>68</v>
      </c>
      <c r="AE71" s="81">
        <f>Tabla6[[#This Row],[Receptive tourism]]</f>
        <v>1883</v>
      </c>
      <c r="AF71" s="105">
        <f>Tabla6[[#This Row],[pred]]</f>
        <v>607.50996873776933</v>
      </c>
      <c r="AG71" s="74"/>
    </row>
    <row r="72" spans="1:33" x14ac:dyDescent="0.3">
      <c r="A72" s="33">
        <v>44440</v>
      </c>
      <c r="B72" s="2">
        <f>Decomposition!C79</f>
        <v>1959</v>
      </c>
      <c r="R72" s="79">
        <v>44440</v>
      </c>
      <c r="S72" s="40">
        <f t="shared" si="9"/>
        <v>69</v>
      </c>
      <c r="T72" s="81">
        <f>Decomposition!C79</f>
        <v>1959</v>
      </c>
      <c r="U72" s="74">
        <f t="shared" si="6"/>
        <v>2126.5252640576264</v>
      </c>
      <c r="V72" s="74">
        <f t="shared" si="8"/>
        <v>98.583028397675449</v>
      </c>
      <c r="W72" s="74">
        <f>AK$4*(T72/Tabla6[[#This Row],[u]])+(1-AK$4)*W60</f>
        <v>0.92084552484455817</v>
      </c>
      <c r="X72" s="2">
        <f t="shared" si="12"/>
        <v>1879.1272876357323</v>
      </c>
      <c r="Y72" s="2">
        <f t="shared" si="13"/>
        <v>487.12728763573227</v>
      </c>
      <c r="Z72">
        <f t="shared" si="14"/>
        <v>237292.99435934544</v>
      </c>
      <c r="AA72" s="17">
        <f>ABS(Tabla6[[#This Row],[Receptive tourism]]-Tabla6[[#This Row],[pred]])</f>
        <v>79.872712364267727</v>
      </c>
      <c r="AB72" s="69">
        <f>IF($T72=0,0,(ABS(($T72-Tabla6[[#This Row],[pred]])/$T72))*100/COUNT($R$17:$R$106))</f>
        <v>4.5302428883368911E-2</v>
      </c>
      <c r="AD72" s="40">
        <f t="shared" si="3"/>
        <v>69</v>
      </c>
      <c r="AE72" s="81">
        <f>Tabla6[[#This Row],[Receptive tourism]]</f>
        <v>1959</v>
      </c>
      <c r="AF72" s="105">
        <f>Tabla6[[#This Row],[pred]]</f>
        <v>1879.1272876357323</v>
      </c>
      <c r="AG72" s="74"/>
    </row>
    <row r="73" spans="1:33" x14ac:dyDescent="0.3">
      <c r="A73" s="33">
        <v>44470</v>
      </c>
      <c r="B73" s="2">
        <f>Decomposition!C80</f>
        <v>9770</v>
      </c>
      <c r="R73" s="80">
        <v>44470</v>
      </c>
      <c r="S73" s="40">
        <f t="shared" si="9"/>
        <v>70</v>
      </c>
      <c r="T73" s="81">
        <f>Decomposition!C80</f>
        <v>9770</v>
      </c>
      <c r="U73" s="74">
        <f t="shared" si="6"/>
        <v>9689.9733237517921</v>
      </c>
      <c r="V73" s="74">
        <f t="shared" si="8"/>
        <v>7488.7994093812003</v>
      </c>
      <c r="W73" s="74">
        <f>AK$4*(T73/Tabla6[[#This Row],[u]])+(1-AK$4)*W61</f>
        <v>1.0004735095877526</v>
      </c>
      <c r="X73" s="2">
        <f t="shared" si="12"/>
        <v>2226.1619025655673</v>
      </c>
      <c r="Y73" s="2">
        <f t="shared" si="13"/>
        <v>397.16190256556729</v>
      </c>
      <c r="Z73">
        <f t="shared" si="14"/>
        <v>157737.57684950117</v>
      </c>
      <c r="AA73" s="17">
        <f>ABS(Tabla6[[#This Row],[Receptive tourism]]-Tabla6[[#This Row],[pred]])</f>
        <v>7543.8380974344327</v>
      </c>
      <c r="AB73" s="69">
        <f>IF($T73=0,0,(ABS(($T73-Tabla6[[#This Row],[pred]])/$T73))*100/COUNT($R$17:$R$106))</f>
        <v>0.85793677896445264</v>
      </c>
      <c r="AD73" s="40">
        <f t="shared" si="3"/>
        <v>70</v>
      </c>
      <c r="AE73" s="81">
        <f>Tabla6[[#This Row],[Receptive tourism]]</f>
        <v>9770</v>
      </c>
      <c r="AF73" s="105">
        <f>Tabla6[[#This Row],[pred]]</f>
        <v>2226.1619025655673</v>
      </c>
      <c r="AG73" s="74"/>
    </row>
    <row r="74" spans="1:33" x14ac:dyDescent="0.3">
      <c r="A74" s="33">
        <v>44501</v>
      </c>
      <c r="B74" s="2">
        <f>Decomposition!C81</f>
        <v>35285</v>
      </c>
      <c r="R74" s="79">
        <v>44501</v>
      </c>
      <c r="S74" s="40">
        <f t="shared" si="9"/>
        <v>71</v>
      </c>
      <c r="T74" s="81">
        <f>Decomposition!C81</f>
        <v>35285</v>
      </c>
      <c r="U74" s="74">
        <f t="shared" si="6"/>
        <v>31081.945084740753</v>
      </c>
      <c r="V74" s="74">
        <f t="shared" si="8"/>
        <v>21252.940037472887</v>
      </c>
      <c r="W74" s="74">
        <f>AK$4*(T74/Tabla6[[#This Row],[u]])+(1-AK$4)*W62</f>
        <v>1.1301188019227755</v>
      </c>
      <c r="X74" s="2">
        <f t="shared" si="12"/>
        <v>19414.0540596719</v>
      </c>
      <c r="Y74" s="2">
        <f t="shared" si="13"/>
        <v>15517.0540596719</v>
      </c>
      <c r="Z74">
        <f t="shared" si="14"/>
        <v>240778966.69078019</v>
      </c>
      <c r="AA74" s="17">
        <f>ABS(Tabla6[[#This Row],[Receptive tourism]]-Tabla6[[#This Row],[pred]])</f>
        <v>15870.9459403281</v>
      </c>
      <c r="AB74" s="69">
        <f>IF($T74=0,0,(ABS(($T74-Tabla6[[#This Row],[pred]])/$T74))*100/COUNT($R$17:$R$106))</f>
        <v>0.49976999796350668</v>
      </c>
      <c r="AD74" s="40">
        <f t="shared" si="3"/>
        <v>71</v>
      </c>
      <c r="AE74" s="81">
        <f>Tabla6[[#This Row],[Receptive tourism]]</f>
        <v>35285</v>
      </c>
      <c r="AF74" s="105">
        <f>Tabla6[[#This Row],[pred]]</f>
        <v>19414.0540596719</v>
      </c>
      <c r="AG74" s="74"/>
    </row>
    <row r="75" spans="1:33" x14ac:dyDescent="0.3">
      <c r="A75" s="33">
        <v>44531</v>
      </c>
      <c r="B75" s="2">
        <f>Decomposition!C82</f>
        <v>53384</v>
      </c>
      <c r="R75" s="80">
        <v>44531</v>
      </c>
      <c r="S75" s="40">
        <f t="shared" si="9"/>
        <v>72</v>
      </c>
      <c r="T75" s="81">
        <f>Decomposition!C82</f>
        <v>53384</v>
      </c>
      <c r="U75" s="74">
        <f t="shared" si="6"/>
        <v>45030.276652095832</v>
      </c>
      <c r="V75" s="74">
        <f t="shared" si="8"/>
        <v>14021.377652056257</v>
      </c>
      <c r="W75" s="74">
        <f>AK$4*(T75/Tabla6[[#This Row],[u]])+(1-AK$4)*W63</f>
        <v>1.1874591802079524</v>
      </c>
      <c r="X75" s="2">
        <f t="shared" si="12"/>
        <v>62145.539783501175</v>
      </c>
      <c r="Y75" s="2">
        <f t="shared" si="13"/>
        <v>54280.539783501175</v>
      </c>
      <c r="Z75">
        <f t="shared" si="14"/>
        <v>2946376999.1882539</v>
      </c>
      <c r="AA75" s="17">
        <f>ABS(Tabla6[[#This Row],[Receptive tourism]]-Tabla6[[#This Row],[pred]])</f>
        <v>8761.5397835011754</v>
      </c>
      <c r="AB75" s="69">
        <f>IF($T75=0,0,(ABS(($T75-Tabla6[[#This Row],[pred]])/$T75))*100/COUNT($R$17:$R$106))</f>
        <v>0.1823588379269106</v>
      </c>
      <c r="AD75" s="40">
        <f t="shared" ref="AD75:AD123" si="15">AD74+1</f>
        <v>72</v>
      </c>
      <c r="AE75" s="81">
        <f>Tabla6[[#This Row],[Receptive tourism]]</f>
        <v>53384</v>
      </c>
      <c r="AF75" s="105">
        <f>Tabla6[[#This Row],[pred]]</f>
        <v>62145.539783501175</v>
      </c>
      <c r="AG75" s="74"/>
    </row>
    <row r="76" spans="1:33" x14ac:dyDescent="0.3">
      <c r="A76" s="33">
        <v>44562</v>
      </c>
      <c r="B76" s="2">
        <f>Decomposition!C83</f>
        <v>65077</v>
      </c>
      <c r="R76" s="79">
        <v>44562</v>
      </c>
      <c r="S76" s="40">
        <f t="shared" si="9"/>
        <v>73</v>
      </c>
      <c r="T76" s="81">
        <f>Decomposition!C83</f>
        <v>65077</v>
      </c>
      <c r="U76" s="74">
        <f t="shared" si="6"/>
        <v>53479.210241389628</v>
      </c>
      <c r="V76" s="74">
        <f t="shared" si="8"/>
        <v>8504.6580299214202</v>
      </c>
      <c r="W76" s="74">
        <f>AK$4*(T76/Tabla6[[#This Row],[u]])+(1-AK$4)*W64</f>
        <v>1.2181474998693766</v>
      </c>
      <c r="X76" s="2">
        <f t="shared" si="12"/>
        <v>71933.625053753582</v>
      </c>
      <c r="Y76" s="2">
        <f t="shared" si="13"/>
        <v>63704.625053753582</v>
      </c>
      <c r="Z76">
        <f t="shared" si="14"/>
        <v>4058279253.2393284</v>
      </c>
      <c r="AA76" s="17">
        <f>ABS(Tabla6[[#This Row],[Receptive tourism]]-Tabla6[[#This Row],[pred]])</f>
        <v>6856.6250537535816</v>
      </c>
      <c r="AB76" s="69">
        <f>IF($T76=0,0,(ABS(($T76-Tabla6[[#This Row],[pred]])/$T76))*100/COUNT($R$17:$R$106))</f>
        <v>0.1170685846297221</v>
      </c>
      <c r="AD76" s="40">
        <f t="shared" si="15"/>
        <v>73</v>
      </c>
      <c r="AE76" s="81">
        <f>Tabla6[[#This Row],[Receptive tourism]]</f>
        <v>65077</v>
      </c>
      <c r="AF76" s="105">
        <f>Tabla6[[#This Row],[pred]]</f>
        <v>71933.625053753582</v>
      </c>
      <c r="AG76" s="74"/>
    </row>
    <row r="77" spans="1:33" x14ac:dyDescent="0.3">
      <c r="A77" s="33">
        <v>44593</v>
      </c>
      <c r="B77" s="2">
        <f>Decomposition!C84</f>
        <v>54803</v>
      </c>
      <c r="R77" s="80">
        <v>44593</v>
      </c>
      <c r="S77" s="40">
        <f t="shared" si="9"/>
        <v>74</v>
      </c>
      <c r="T77" s="81">
        <f>Decomposition!C84</f>
        <v>54803</v>
      </c>
      <c r="U77" s="74">
        <f t="shared" si="6"/>
        <v>52932.045943435442</v>
      </c>
      <c r="V77" s="74">
        <f t="shared" si="8"/>
        <v>-456.64607467543044</v>
      </c>
      <c r="W77" s="74">
        <f>AK$4*(T77/Tabla6[[#This Row],[u]])+(1-AK$4)*W65</f>
        <v>1.0371378468049532</v>
      </c>
      <c r="X77" s="2">
        <f t="shared" si="12"/>
        <v>64285.815675549398</v>
      </c>
      <c r="Y77" s="2">
        <f t="shared" si="13"/>
        <v>60637.815675549398</v>
      </c>
      <c r="Z77">
        <f t="shared" si="14"/>
        <v>3676944689.9019041</v>
      </c>
      <c r="AA77" s="17">
        <f>ABS(Tabla6[[#This Row],[Receptive tourism]]-Tabla6[[#This Row],[pred]])</f>
        <v>9482.8156755493983</v>
      </c>
      <c r="AB77" s="69">
        <f>IF($T77=0,0,(ABS(($T77-Tabla6[[#This Row],[pred]])/$T77))*100/COUNT($R$17:$R$106))</f>
        <v>0.19226067663670882</v>
      </c>
      <c r="AD77" s="40">
        <f t="shared" si="15"/>
        <v>74</v>
      </c>
      <c r="AE77" s="81">
        <f>Tabla6[[#This Row],[Receptive tourism]]</f>
        <v>54803</v>
      </c>
      <c r="AF77" s="105">
        <f>Tabla6[[#This Row],[pred]]</f>
        <v>64285.815675549398</v>
      </c>
      <c r="AG77" s="74"/>
    </row>
    <row r="78" spans="1:33" x14ac:dyDescent="0.3">
      <c r="A78" s="33">
        <v>44621</v>
      </c>
      <c r="B78" s="2">
        <f>Decomposition!C85</f>
        <v>86454</v>
      </c>
      <c r="R78" s="79">
        <v>44621</v>
      </c>
      <c r="S78" s="40">
        <f t="shared" si="9"/>
        <v>75</v>
      </c>
      <c r="T78" s="81">
        <f>Decomposition!C85</f>
        <v>86454</v>
      </c>
      <c r="U78" s="74">
        <f t="shared" si="6"/>
        <v>83389.524319371281</v>
      </c>
      <c r="V78" s="74">
        <f t="shared" si="8"/>
        <v>30148.337131429726</v>
      </c>
      <c r="W78" s="74">
        <f>AK$4*(T78/Tabla6[[#This Row],[u]])+(1-AK$4)*W66</f>
        <v>1.032881158890224</v>
      </c>
      <c r="X78" s="2">
        <f t="shared" si="12"/>
        <v>54200.851829672749</v>
      </c>
      <c r="Y78" s="2">
        <f t="shared" si="13"/>
        <v>48416.851829672749</v>
      </c>
      <c r="Z78">
        <f t="shared" si="14"/>
        <v>2344191541.0964856</v>
      </c>
      <c r="AA78" s="17">
        <f>ABS(Tabla6[[#This Row],[Receptive tourism]]-Tabla6[[#This Row],[pred]])</f>
        <v>32253.148170327251</v>
      </c>
      <c r="AB78" s="69">
        <f>IF($T78=0,0,(ABS(($T78-Tabla6[[#This Row],[pred]])/$T78))*100/COUNT($R$17:$R$106))</f>
        <v>0.41451906563448321</v>
      </c>
      <c r="AD78" s="40">
        <f t="shared" si="15"/>
        <v>75</v>
      </c>
      <c r="AE78" s="81">
        <f>Tabla6[[#This Row],[Receptive tourism]]</f>
        <v>86454</v>
      </c>
      <c r="AF78" s="105">
        <f>Tabla6[[#This Row],[pred]]</f>
        <v>54200.851829672749</v>
      </c>
      <c r="AG78" s="74"/>
    </row>
    <row r="79" spans="1:33" x14ac:dyDescent="0.3">
      <c r="A79" s="33">
        <v>44652</v>
      </c>
      <c r="B79" s="2">
        <f>Decomposition!C86</f>
        <v>117027</v>
      </c>
      <c r="R79" s="80">
        <v>44652</v>
      </c>
      <c r="S79" s="40">
        <f t="shared" si="9"/>
        <v>76</v>
      </c>
      <c r="T79" s="81">
        <f>Decomposition!C86</f>
        <v>117027</v>
      </c>
      <c r="U79" s="74">
        <f t="shared" si="6"/>
        <v>130793.33196191152</v>
      </c>
      <c r="V79" s="74">
        <f t="shared" si="8"/>
        <v>47231.252937429133</v>
      </c>
      <c r="W79" s="74">
        <f>AK$4*(T79/Tabla6[[#This Row],[u]])+(1-AK$4)*W67</f>
        <v>0.89355667746486223</v>
      </c>
      <c r="X79" s="2">
        <f t="shared" si="12"/>
        <v>101452.51424444361</v>
      </c>
      <c r="Y79" s="2">
        <f t="shared" si="13"/>
        <v>96493.514244443606</v>
      </c>
      <c r="Z79">
        <f t="shared" si="14"/>
        <v>9310998291.2426414</v>
      </c>
      <c r="AA79" s="17">
        <f>ABS(Tabla6[[#This Row],[Receptive tourism]]-Tabla6[[#This Row],[pred]])</f>
        <v>15574.485755556394</v>
      </c>
      <c r="AB79" s="69">
        <f>IF($T79=0,0,(ABS(($T79-Tabla6[[#This Row],[pred]])/$T79))*100/COUNT($R$17:$R$106))</f>
        <v>0.14787172338725624</v>
      </c>
      <c r="AD79" s="40">
        <f t="shared" si="15"/>
        <v>76</v>
      </c>
      <c r="AE79" s="81">
        <f>Tabla6[[#This Row],[Receptive tourism]]</f>
        <v>117027</v>
      </c>
      <c r="AF79" s="105">
        <f>Tabla6[[#This Row],[pred]]</f>
        <v>101452.51424444361</v>
      </c>
      <c r="AG79" s="74"/>
    </row>
    <row r="80" spans="1:33" x14ac:dyDescent="0.3">
      <c r="A80" s="33">
        <v>44682</v>
      </c>
      <c r="B80" s="2">
        <f>Decomposition!C87</f>
        <v>112595</v>
      </c>
      <c r="R80" s="79">
        <v>44682</v>
      </c>
      <c r="S80" s="40">
        <f t="shared" si="9"/>
        <v>77</v>
      </c>
      <c r="T80" s="81">
        <f>Decomposition!C87</f>
        <v>112595</v>
      </c>
      <c r="U80" s="74">
        <f t="shared" si="6"/>
        <v>130782.20298577681</v>
      </c>
      <c r="V80" s="74">
        <f t="shared" si="8"/>
        <v>461.29484300092457</v>
      </c>
      <c r="W80" s="74">
        <f>AK$4*(T80/Tabla6[[#This Row],[u]])+(1-AK$4)*W68</f>
        <v>0.86408805318982174</v>
      </c>
      <c r="X80" s="2">
        <f t="shared" si="12"/>
        <v>153828.9169855974</v>
      </c>
      <c r="Y80" s="2">
        <f t="shared" si="13"/>
        <v>150467.9169855974</v>
      </c>
      <c r="Z80">
        <f t="shared" si="14"/>
        <v>22640594041.984631</v>
      </c>
      <c r="AA80" s="17">
        <f>ABS(Tabla6[[#This Row],[Receptive tourism]]-Tabla6[[#This Row],[pred]])</f>
        <v>41233.916985597403</v>
      </c>
      <c r="AB80" s="69">
        <f>IF($T80=0,0,(ABS(($T80-Tabla6[[#This Row],[pred]])/$T80))*100/COUNT($R$17:$R$106))</f>
        <v>0.4069049541927301</v>
      </c>
      <c r="AD80" s="40">
        <f t="shared" si="15"/>
        <v>77</v>
      </c>
      <c r="AE80" s="81">
        <f>Tabla6[[#This Row],[Receptive tourism]]</f>
        <v>112595</v>
      </c>
      <c r="AF80" s="105">
        <f>Tabla6[[#This Row],[pred]]</f>
        <v>153828.9169855974</v>
      </c>
      <c r="AG80" s="74"/>
    </row>
    <row r="81" spans="1:33" x14ac:dyDescent="0.3">
      <c r="A81" s="33">
        <v>44713</v>
      </c>
      <c r="B81" s="2">
        <f>Decomposition!C88</f>
        <v>104309</v>
      </c>
      <c r="R81" s="80">
        <v>44713</v>
      </c>
      <c r="S81" s="40">
        <f t="shared" si="9"/>
        <v>78</v>
      </c>
      <c r="T81" s="81">
        <f>Decomposition!C88</f>
        <v>104309</v>
      </c>
      <c r="U81" s="74">
        <f t="shared" ref="U81:U117" si="16">AI$4*(T81/W69)+(1-AI$4)*(U80+V80)</f>
        <v>132592.04019019916</v>
      </c>
      <c r="V81" s="74">
        <f t="shared" ref="V81:V117" si="17">AJ$4*(U81-U80)+(1-AJ$4)*V80</f>
        <v>1796.3517808081365</v>
      </c>
      <c r="W81" s="74">
        <f>AK$4*(T81/Tabla6[[#This Row],[u]])+(1-AK$4)*W69</f>
        <v>0.78661045509169758</v>
      </c>
      <c r="X81" s="2">
        <f t="shared" si="12"/>
        <v>103237.50755492107</v>
      </c>
      <c r="Y81" s="2">
        <f t="shared" si="13"/>
        <v>100594.50755492107</v>
      </c>
      <c r="Z81">
        <f t="shared" si="14"/>
        <v>10119254950.217073</v>
      </c>
      <c r="AA81" s="17">
        <f>ABS(Tabla6[[#This Row],[Receptive tourism]]-Tabla6[[#This Row],[pred]])</f>
        <v>1071.4924450789258</v>
      </c>
      <c r="AB81" s="69">
        <f>IF($T81=0,0,(ABS(($T81-Tabla6[[#This Row],[pred]])/$T81))*100/COUNT($R$17:$R$106))</f>
        <v>1.1413657126411013E-2</v>
      </c>
      <c r="AD81" s="40">
        <f t="shared" si="15"/>
        <v>78</v>
      </c>
      <c r="AE81" s="81">
        <f>Tabla6[[#This Row],[Receptive tourism]]</f>
        <v>104309</v>
      </c>
      <c r="AF81" s="105">
        <f>Tabla6[[#This Row],[pred]]</f>
        <v>103237.50755492107</v>
      </c>
      <c r="AG81" s="74"/>
    </row>
    <row r="82" spans="1:33" x14ac:dyDescent="0.3">
      <c r="A82" s="33">
        <v>44743</v>
      </c>
      <c r="B82" s="2">
        <f>Decomposition!C89</f>
        <v>147686</v>
      </c>
      <c r="R82" s="79">
        <v>44743</v>
      </c>
      <c r="S82" s="40">
        <f t="shared" si="9"/>
        <v>79</v>
      </c>
      <c r="T82" s="81">
        <f>Decomposition!C89</f>
        <v>147686</v>
      </c>
      <c r="U82" s="74">
        <f t="shared" si="16"/>
        <v>146673.37954129875</v>
      </c>
      <c r="V82" s="74">
        <f t="shared" si="17"/>
        <v>13958.48947539668</v>
      </c>
      <c r="W82" s="74">
        <f>AK$4*(T82/Tabla6[[#This Row],[u]])+(1-AK$4)*W70</f>
        <v>1.0060527587648258</v>
      </c>
      <c r="X82" s="2">
        <f t="shared" si="12"/>
        <v>135201.81248840064</v>
      </c>
      <c r="Y82" s="2">
        <f t="shared" si="13"/>
        <v>133197.81248840064</v>
      </c>
      <c r="Z82">
        <f t="shared" si="14"/>
        <v>17741657251.695137</v>
      </c>
      <c r="AA82" s="17">
        <f>ABS(Tabla6[[#This Row],[Receptive tourism]]-Tabla6[[#This Row],[pred]])</f>
        <v>12484.187511599361</v>
      </c>
      <c r="AB82" s="69">
        <f>IF($T82=0,0,(ABS(($T82-Tabla6[[#This Row],[pred]])/$T82))*100/COUNT($R$17:$R$106))</f>
        <v>9.3924403513756374E-2</v>
      </c>
      <c r="AD82" s="40">
        <f t="shared" si="15"/>
        <v>79</v>
      </c>
      <c r="AE82" s="81">
        <f>Tabla6[[#This Row],[Receptive tourism]]</f>
        <v>147686</v>
      </c>
      <c r="AF82" s="105">
        <f>Tabla6[[#This Row],[pred]]</f>
        <v>135201.81248840064</v>
      </c>
      <c r="AG82" s="74"/>
    </row>
    <row r="83" spans="1:33" x14ac:dyDescent="0.3">
      <c r="A83" s="33">
        <v>44774</v>
      </c>
      <c r="B83" s="2">
        <f>Decomposition!C90</f>
        <v>143140</v>
      </c>
      <c r="R83" s="80">
        <v>44774</v>
      </c>
      <c r="S83" s="40">
        <f t="shared" ref="S83:S123" si="18">S82+1</f>
        <v>80</v>
      </c>
      <c r="T83" s="81">
        <f>Decomposition!C90</f>
        <v>143140</v>
      </c>
      <c r="U83" s="74">
        <f t="shared" si="16"/>
        <v>155198.57697828399</v>
      </c>
      <c r="V83" s="74">
        <f t="shared" si="17"/>
        <v>8579.5303573693545</v>
      </c>
      <c r="W83" s="74">
        <f>AK$4*(T83/Tabla6[[#This Row],[u]])+(1-AK$4)*W71</f>
        <v>0.92262853336119965</v>
      </c>
      <c r="X83" s="2">
        <f t="shared" si="12"/>
        <v>148203.54572194204</v>
      </c>
      <c r="Y83" s="2">
        <f t="shared" si="13"/>
        <v>146320.54572194204</v>
      </c>
      <c r="Z83">
        <f t="shared" si="14"/>
        <v>21409702100.366928</v>
      </c>
      <c r="AA83" s="17">
        <f>ABS(Tabla6[[#This Row],[Receptive tourism]]-Tabla6[[#This Row],[pred]])</f>
        <v>5063.545721942035</v>
      </c>
      <c r="AB83" s="69">
        <f>IF($T83=0,0,(ABS(($T83-Tabla6[[#This Row],[pred]])/$T83))*100/COUNT($R$17:$R$106))</f>
        <v>3.9305308881297525E-2</v>
      </c>
      <c r="AD83" s="40">
        <f t="shared" si="15"/>
        <v>80</v>
      </c>
      <c r="AE83" s="81">
        <f>Tabla6[[#This Row],[Receptive tourism]]</f>
        <v>143140</v>
      </c>
      <c r="AF83" s="105">
        <f>Tabla6[[#This Row],[pred]]</f>
        <v>148203.54572194204</v>
      </c>
      <c r="AG83" s="74"/>
    </row>
    <row r="84" spans="1:33" x14ac:dyDescent="0.3">
      <c r="A84" s="33">
        <v>44805</v>
      </c>
      <c r="B84" s="2">
        <f>Decomposition!C91</f>
        <v>147480</v>
      </c>
      <c r="R84" s="79">
        <v>44805</v>
      </c>
      <c r="S84" s="40">
        <f t="shared" si="18"/>
        <v>81</v>
      </c>
      <c r="T84" s="81">
        <f>Decomposition!C91</f>
        <v>147480</v>
      </c>
      <c r="U84" s="74">
        <f t="shared" si="16"/>
        <v>160193.36511080535</v>
      </c>
      <c r="V84" s="74">
        <f t="shared" si="17"/>
        <v>5030.6355547698331</v>
      </c>
      <c r="W84" s="74">
        <f>AK$4*(T84/Tabla6[[#This Row],[u]])+(1-AK$4)*W72</f>
        <v>0.92084552484455817</v>
      </c>
      <c r="X84" s="2">
        <f t="shared" si="12"/>
        <v>150814.33720754809</v>
      </c>
      <c r="Y84" s="2">
        <f t="shared" ref="Y84:Y106" si="19">ABS(T72-X84)</f>
        <v>148855.33720754809</v>
      </c>
      <c r="Z84">
        <f t="shared" ref="Z84:Z106" si="20">(T72-X84)^2</f>
        <v>22157911415.172852</v>
      </c>
      <c r="AA84" s="17">
        <f>ABS(Tabla6[[#This Row],[Receptive tourism]]-Tabla6[[#This Row],[pred]])</f>
        <v>3334.3372075480875</v>
      </c>
      <c r="AB84" s="69">
        <f>IF($T84=0,0,(ABS(($T84-Tabla6[[#This Row],[pred]])/$T84))*100/COUNT($R$17:$R$106))</f>
        <v>2.5120823972727656E-2</v>
      </c>
      <c r="AD84" s="40">
        <f t="shared" si="15"/>
        <v>81</v>
      </c>
      <c r="AE84" s="81">
        <f>Tabla6[[#This Row],[Receptive tourism]]</f>
        <v>147480</v>
      </c>
      <c r="AF84" s="105">
        <f>Tabla6[[#This Row],[pred]]</f>
        <v>150814.33720754809</v>
      </c>
      <c r="AG84" s="74"/>
    </row>
    <row r="85" spans="1:33" x14ac:dyDescent="0.3">
      <c r="A85" s="33">
        <v>44835</v>
      </c>
      <c r="B85" s="2">
        <f>Decomposition!C92</f>
        <v>165092</v>
      </c>
      <c r="R85" s="80">
        <v>44835</v>
      </c>
      <c r="S85" s="40">
        <f t="shared" si="18"/>
        <v>82</v>
      </c>
      <c r="T85" s="81">
        <f>Decomposition!C92</f>
        <v>165092</v>
      </c>
      <c r="U85" s="74">
        <f t="shared" si="16"/>
        <v>165015.96571624128</v>
      </c>
      <c r="V85" s="74">
        <f t="shared" si="17"/>
        <v>4824.6809549292702</v>
      </c>
      <c r="W85" s="74">
        <f>AK$4*(T85/Tabla6[[#This Row],[u]])+(1-AK$4)*W73</f>
        <v>1.0004735095877526</v>
      </c>
      <c r="X85" s="2">
        <f t="shared" ref="X85:X117" si="21">(U84+V84)*W73</f>
        <v>165302.23581401719</v>
      </c>
      <c r="Y85" s="2">
        <f t="shared" si="19"/>
        <v>155532.23581401719</v>
      </c>
      <c r="Z85">
        <f t="shared" si="20"/>
        <v>24190276377.307049</v>
      </c>
      <c r="AA85" s="17">
        <f>ABS(Tabla6[[#This Row],[Receptive tourism]]-Tabla6[[#This Row],[pred]])</f>
        <v>210.23581401718548</v>
      </c>
      <c r="AB85" s="69">
        <f>IF($T85=0,0,(ABS(($T85-Tabla6[[#This Row],[pred]])/$T85))*100/COUNT($R$17:$R$106))</f>
        <v>1.4149404508273197E-3</v>
      </c>
      <c r="AD85" s="40">
        <f t="shared" si="15"/>
        <v>82</v>
      </c>
      <c r="AE85" s="81">
        <f>Tabla6[[#This Row],[Receptive tourism]]</f>
        <v>165092</v>
      </c>
      <c r="AF85" s="105">
        <f>Tabla6[[#This Row],[pred]]</f>
        <v>165302.23581401719</v>
      </c>
      <c r="AG85" s="74"/>
    </row>
    <row r="86" spans="1:33" x14ac:dyDescent="0.3">
      <c r="A86" s="33">
        <v>44866</v>
      </c>
      <c r="B86" s="2">
        <f>Decomposition!C93</f>
        <v>196077</v>
      </c>
      <c r="R86" s="79">
        <v>44866</v>
      </c>
      <c r="S86" s="40">
        <f t="shared" si="18"/>
        <v>83</v>
      </c>
      <c r="T86" s="81">
        <f>Decomposition!C93</f>
        <v>196077</v>
      </c>
      <c r="U86" s="74">
        <f t="shared" si="16"/>
        <v>173464.62225723936</v>
      </c>
      <c r="V86" s="74">
        <f t="shared" si="17"/>
        <v>8412.416785137395</v>
      </c>
      <c r="W86" s="74">
        <f>AK$4*(T86/Tabla6[[#This Row],[u]])+(1-AK$4)*W74</f>
        <v>1.1301188019227755</v>
      </c>
      <c r="X86" s="2">
        <f t="shared" si="21"/>
        <v>191940.10813381267</v>
      </c>
      <c r="Y86" s="2">
        <f t="shared" si="19"/>
        <v>156655.10813381267</v>
      </c>
      <c r="Z86">
        <f t="shared" si="20"/>
        <v>24540822904.416538</v>
      </c>
      <c r="AA86" s="17">
        <f>ABS(Tabla6[[#This Row],[Receptive tourism]]-Tabla6[[#This Row],[pred]])</f>
        <v>4136.8918661873322</v>
      </c>
      <c r="AB86" s="69">
        <f>IF($T86=0,0,(ABS(($T86-Tabla6[[#This Row],[pred]])/$T86))*100/COUNT($R$17:$R$106))</f>
        <v>2.3442558372404335E-2</v>
      </c>
      <c r="AD86" s="40">
        <f t="shared" si="15"/>
        <v>83</v>
      </c>
      <c r="AE86" s="81">
        <f>Tabla6[[#This Row],[Receptive tourism]]</f>
        <v>196077</v>
      </c>
      <c r="AF86" s="105">
        <f>Tabla6[[#This Row],[pred]]</f>
        <v>191940.10813381267</v>
      </c>
      <c r="AG86" s="74"/>
    </row>
    <row r="87" spans="1:33" x14ac:dyDescent="0.3">
      <c r="A87" s="33">
        <v>44896</v>
      </c>
      <c r="B87" s="2">
        <f>Decomposition!C94</f>
        <v>183609</v>
      </c>
      <c r="R87" s="80">
        <v>44896</v>
      </c>
      <c r="S87" s="40">
        <f t="shared" si="18"/>
        <v>84</v>
      </c>
      <c r="T87" s="81">
        <f>Decomposition!C94</f>
        <v>183609</v>
      </c>
      <c r="U87" s="74">
        <f t="shared" si="16"/>
        <v>154895.95656213473</v>
      </c>
      <c r="V87" s="74">
        <f t="shared" si="17"/>
        <v>-18298.854870302213</v>
      </c>
      <c r="W87" s="74">
        <f>AK$4*(T87/Tabla6[[#This Row],[u]])+(1-AK$4)*W75</f>
        <v>1.1874591802079524</v>
      </c>
      <c r="X87" s="2">
        <f t="shared" si="21"/>
        <v>215971.55967991045</v>
      </c>
      <c r="Y87" s="2">
        <f t="shared" si="19"/>
        <v>162587.55967991045</v>
      </c>
      <c r="Z87">
        <f t="shared" si="20"/>
        <v>26434714562.668442</v>
      </c>
      <c r="AA87" s="17">
        <f>ABS(Tabla6[[#This Row],[Receptive tourism]]-Tabla6[[#This Row],[pred]])</f>
        <v>32362.559679910453</v>
      </c>
      <c r="AB87" s="69">
        <f>IF($T87=0,0,(ABS(($T87-Tabla6[[#This Row],[pred]])/$T87))*100/COUNT($R$17:$R$106))</f>
        <v>0.19584224980444828</v>
      </c>
      <c r="AD87" s="40">
        <f t="shared" si="15"/>
        <v>84</v>
      </c>
      <c r="AE87" s="81">
        <f>Tabla6[[#This Row],[Receptive tourism]]</f>
        <v>183609</v>
      </c>
      <c r="AF87" s="105">
        <f>Tabla6[[#This Row],[pred]]</f>
        <v>215971.55967991045</v>
      </c>
      <c r="AG87" s="74"/>
    </row>
    <row r="88" spans="1:33" x14ac:dyDescent="0.3">
      <c r="A88" s="33">
        <v>44927</v>
      </c>
      <c r="B88" s="2">
        <f>Decomposition!C95</f>
        <v>239235</v>
      </c>
      <c r="R88" s="79">
        <v>44927</v>
      </c>
      <c r="S88" s="40">
        <f t="shared" si="18"/>
        <v>85</v>
      </c>
      <c r="T88" s="81">
        <f>Decomposition!C95</f>
        <v>239235</v>
      </c>
      <c r="U88" s="74">
        <f t="shared" si="16"/>
        <v>195794.51930470526</v>
      </c>
      <c r="V88" s="74">
        <f t="shared" si="17"/>
        <v>40306.588566441809</v>
      </c>
      <c r="W88" s="74">
        <f>AK$4*(T88/Tabla6[[#This Row],[u]])+(1-AK$4)*W76</f>
        <v>1.2181474998693766</v>
      </c>
      <c r="X88" s="2">
        <f t="shared" si="21"/>
        <v>166395.41791530876</v>
      </c>
      <c r="Y88" s="2">
        <f t="shared" si="19"/>
        <v>101318.41791530876</v>
      </c>
      <c r="Z88">
        <f t="shared" si="20"/>
        <v>10265421808.861158</v>
      </c>
      <c r="AA88" s="17">
        <f>ABS(Tabla6[[#This Row],[Receptive tourism]]-Tabla6[[#This Row],[pred]])</f>
        <v>72839.582084691239</v>
      </c>
      <c r="AB88" s="69">
        <f>IF($T88=0,0,(ABS(($T88-Tabla6[[#This Row],[pred]])/$T88))*100/COUNT($R$17:$R$106))</f>
        <v>0.33829861426208652</v>
      </c>
      <c r="AD88" s="40">
        <f t="shared" si="15"/>
        <v>85</v>
      </c>
      <c r="AE88" s="81">
        <f>Tabla6[[#This Row],[Receptive tourism]]</f>
        <v>239235</v>
      </c>
      <c r="AF88" s="105">
        <f>Tabla6[[#This Row],[pred]]</f>
        <v>166395.41791530876</v>
      </c>
      <c r="AG88" s="74"/>
    </row>
    <row r="89" spans="1:33" x14ac:dyDescent="0.3">
      <c r="A89" s="33">
        <v>44958</v>
      </c>
      <c r="B89" s="2">
        <f>Decomposition!C96</f>
        <v>205935</v>
      </c>
      <c r="R89" s="80">
        <v>44958</v>
      </c>
      <c r="S89" s="40">
        <f t="shared" si="18"/>
        <v>86</v>
      </c>
      <c r="T89" s="81">
        <f>Decomposition!C96</f>
        <v>205935</v>
      </c>
      <c r="U89" s="74">
        <f t="shared" si="16"/>
        <v>198936.27889683918</v>
      </c>
      <c r="V89" s="74">
        <f t="shared" si="17"/>
        <v>3513.4078818770026</v>
      </c>
      <c r="W89" s="74">
        <f>AK$4*(T89/Tabla6[[#This Row],[u]])+(1-AK$4)*W77</f>
        <v>1.0371378468049532</v>
      </c>
      <c r="X89" s="2">
        <f t="shared" si="21"/>
        <v>244869.39464574549</v>
      </c>
      <c r="Y89" s="2">
        <f t="shared" si="19"/>
        <v>190066.39464574549</v>
      </c>
      <c r="Z89">
        <f t="shared" si="20"/>
        <v>36125234373.632271</v>
      </c>
      <c r="AA89" s="17">
        <f>ABS(Tabla6[[#This Row],[Receptive tourism]]-Tabla6[[#This Row],[pred]])</f>
        <v>38934.394645745488</v>
      </c>
      <c r="AB89" s="69">
        <f>IF($T89=0,0,(ABS(($T89-Tabla6[[#This Row],[pred]])/$T89))*100/COUNT($R$17:$R$106))</f>
        <v>0.21006841234016929</v>
      </c>
      <c r="AD89" s="40">
        <f t="shared" si="15"/>
        <v>86</v>
      </c>
      <c r="AE89" s="81">
        <f>Tabla6[[#This Row],[Receptive tourism]]</f>
        <v>205935</v>
      </c>
      <c r="AF89" s="105">
        <f>Tabla6[[#This Row],[pred]]</f>
        <v>244869.39464574549</v>
      </c>
      <c r="AG89" s="74"/>
    </row>
    <row r="90" spans="1:33" x14ac:dyDescent="0.3">
      <c r="A90" s="33">
        <v>44986</v>
      </c>
      <c r="B90" s="2">
        <f>Decomposition!C97</f>
        <v>221206</v>
      </c>
      <c r="R90" s="79">
        <v>44986</v>
      </c>
      <c r="S90" s="40">
        <f t="shared" si="18"/>
        <v>87</v>
      </c>
      <c r="T90" s="81">
        <f>Decomposition!C97</f>
        <v>221206</v>
      </c>
      <c r="U90" s="74">
        <f t="shared" si="16"/>
        <v>214046.89471585845</v>
      </c>
      <c r="V90" s="74">
        <f t="shared" si="17"/>
        <v>14994.643739647843</v>
      </c>
      <c r="W90" s="74">
        <f>AK$4*(T90/Tabla6[[#This Row],[u]])+(1-AK$4)*W78</f>
        <v>1.032881158890224</v>
      </c>
      <c r="X90" s="2">
        <f t="shared" si="21"/>
        <v>209106.46709696326</v>
      </c>
      <c r="Y90" s="2">
        <f t="shared" si="19"/>
        <v>122652.46709696326</v>
      </c>
      <c r="Z90">
        <f t="shared" si="20"/>
        <v>15043627684.971655</v>
      </c>
      <c r="AA90" s="17">
        <f>ABS(Tabla6[[#This Row],[Receptive tourism]]-Tabla6[[#This Row],[pred]])</f>
        <v>12099.532903036743</v>
      </c>
      <c r="AB90" s="69">
        <f>IF($T90=0,0,(ABS(($T90-Tabla6[[#This Row],[pred]])/$T90))*100/COUNT($R$17:$R$106))</f>
        <v>6.0775591294171961E-2</v>
      </c>
      <c r="AD90" s="40">
        <f t="shared" si="15"/>
        <v>87</v>
      </c>
      <c r="AE90" s="81">
        <f>Tabla6[[#This Row],[Receptive tourism]]</f>
        <v>221206</v>
      </c>
      <c r="AF90" s="105">
        <f>Tabla6[[#This Row],[pred]]</f>
        <v>209106.46709696326</v>
      </c>
      <c r="AG90" s="74"/>
    </row>
    <row r="91" spans="1:33" x14ac:dyDescent="0.3">
      <c r="A91" s="33">
        <v>45017</v>
      </c>
      <c r="B91" s="2">
        <f>Decomposition!C98</f>
        <v>222626</v>
      </c>
      <c r="R91" s="80">
        <v>45017</v>
      </c>
      <c r="S91" s="40">
        <f t="shared" si="18"/>
        <v>88</v>
      </c>
      <c r="T91" s="81">
        <f>Decomposition!C98</f>
        <v>222626</v>
      </c>
      <c r="U91" s="74">
        <f t="shared" si="16"/>
        <v>248944.87565371566</v>
      </c>
      <c r="V91" s="74">
        <f t="shared" si="17"/>
        <v>34698.947565875118</v>
      </c>
      <c r="W91" s="74">
        <f>AK$4*(T91/Tabla6[[#This Row],[u]])+(1-AK$4)*W79</f>
        <v>0.89355667746486223</v>
      </c>
      <c r="X91" s="2">
        <f t="shared" si="21"/>
        <v>204661.59610374266</v>
      </c>
      <c r="Y91" s="2">
        <f t="shared" si="19"/>
        <v>87634.59610374266</v>
      </c>
      <c r="Z91">
        <f t="shared" si="20"/>
        <v>7679822434.2661085</v>
      </c>
      <c r="AA91" s="17">
        <f>ABS(Tabla6[[#This Row],[Receptive tourism]]-Tabla6[[#This Row],[pred]])</f>
        <v>17964.40389625734</v>
      </c>
      <c r="AB91" s="69">
        <f>IF($T91=0,0,(ABS(($T91-Tabla6[[#This Row],[pred]])/$T91))*100/COUNT($R$17:$R$106))</f>
        <v>8.9659108880450922E-2</v>
      </c>
      <c r="AD91" s="40">
        <f t="shared" si="15"/>
        <v>88</v>
      </c>
      <c r="AE91" s="81">
        <f>Tabla6[[#This Row],[Receptive tourism]]</f>
        <v>222626</v>
      </c>
      <c r="AF91" s="105">
        <f>Tabla6[[#This Row],[pred]]</f>
        <v>204661.59610374266</v>
      </c>
      <c r="AG91" s="74"/>
    </row>
    <row r="92" spans="1:33" x14ac:dyDescent="0.3">
      <c r="A92" s="33">
        <v>45047</v>
      </c>
      <c r="B92" s="2">
        <f>Decomposition!C99</f>
        <v>196288</v>
      </c>
      <c r="R92" s="79">
        <v>45047</v>
      </c>
      <c r="S92" s="40">
        <f t="shared" si="18"/>
        <v>89</v>
      </c>
      <c r="T92" s="81">
        <f>Decomposition!C99</f>
        <v>196288</v>
      </c>
      <c r="U92" s="74">
        <f t="shared" si="16"/>
        <v>227726.8522156316</v>
      </c>
      <c r="V92" s="74">
        <f t="shared" si="17"/>
        <v>-20658.853728044462</v>
      </c>
      <c r="W92" s="74">
        <f>AK$4*(T92/Tabla6[[#This Row],[u]])+(1-AK$4)*W80</f>
        <v>0.86408805318982174</v>
      </c>
      <c r="X92" s="2">
        <f t="shared" si="21"/>
        <v>245093.23900513415</v>
      </c>
      <c r="Y92" s="2">
        <f t="shared" si="19"/>
        <v>132498.23900513415</v>
      </c>
      <c r="Z92">
        <f t="shared" si="20"/>
        <v>17555783339.461651</v>
      </c>
      <c r="AA92" s="17">
        <f>ABS(Tabla6[[#This Row],[Receptive tourism]]-Tabla6[[#This Row],[pred]])</f>
        <v>48805.23900513415</v>
      </c>
      <c r="AB92" s="69">
        <f>IF($T92=0,0,(ABS(($T92-Tabla6[[#This Row],[pred]])/$T92))*100/COUNT($R$17:$R$106))</f>
        <v>0.27626774606210236</v>
      </c>
      <c r="AD92" s="40">
        <f t="shared" si="15"/>
        <v>89</v>
      </c>
      <c r="AE92" s="81">
        <f>Tabla6[[#This Row],[Receptive tourism]]</f>
        <v>196288</v>
      </c>
      <c r="AF92" s="105">
        <f>Tabla6[[#This Row],[pred]]</f>
        <v>245093.23900513415</v>
      </c>
      <c r="AG92" s="74"/>
    </row>
    <row r="93" spans="1:33" x14ac:dyDescent="0.3">
      <c r="A93" s="33">
        <v>45078</v>
      </c>
      <c r="B93" s="2">
        <f>Decomposition!C100</f>
        <v>199427</v>
      </c>
      <c r="R93" s="80">
        <v>45078</v>
      </c>
      <c r="S93" s="40">
        <f t="shared" si="18"/>
        <v>90</v>
      </c>
      <c r="T93" s="81">
        <f>Decomposition!C100</f>
        <v>199427</v>
      </c>
      <c r="U93" s="74">
        <f t="shared" si="16"/>
        <v>253062.42402034596</v>
      </c>
      <c r="V93" s="74">
        <f t="shared" si="17"/>
        <v>24875.627549386772</v>
      </c>
      <c r="W93" s="74">
        <f>AK$4*(T93/Tabla6[[#This Row],[u]])+(1-AK$4)*W81</f>
        <v>0.78661045509169758</v>
      </c>
      <c r="X93" s="2">
        <f t="shared" si="21"/>
        <v>162881.85252524787</v>
      </c>
      <c r="Y93" s="2">
        <f t="shared" si="19"/>
        <v>58572.852525247872</v>
      </c>
      <c r="Z93">
        <f t="shared" si="20"/>
        <v>3430779052.9444361</v>
      </c>
      <c r="AA93" s="17">
        <f>ABS(Tabla6[[#This Row],[Receptive tourism]]-Tabla6[[#This Row],[pred]])</f>
        <v>36545.147474752128</v>
      </c>
      <c r="AB93" s="69">
        <f>IF($T93=0,0,(ABS(($T93-Tabla6[[#This Row],[pred]])/$T93))*100/COUNT($R$17:$R$106))</f>
        <v>0.20361194530525581</v>
      </c>
      <c r="AD93" s="40">
        <f t="shared" si="15"/>
        <v>90</v>
      </c>
      <c r="AE93" s="81">
        <f>Tabla6[[#This Row],[Receptive tourism]]</f>
        <v>199427</v>
      </c>
      <c r="AF93" s="105">
        <f>Tabla6[[#This Row],[pred]]</f>
        <v>162881.85252524787</v>
      </c>
      <c r="AG93" s="74"/>
    </row>
    <row r="94" spans="1:33" x14ac:dyDescent="0.3">
      <c r="A94" s="33">
        <v>45108</v>
      </c>
      <c r="B94" s="2">
        <f>Decomposition!C101</f>
        <v>263563</v>
      </c>
      <c r="R94" s="79">
        <v>45108</v>
      </c>
      <c r="S94" s="40">
        <f t="shared" si="18"/>
        <v>91</v>
      </c>
      <c r="T94" s="81">
        <f>Decomposition!C101</f>
        <v>263563</v>
      </c>
      <c r="U94" s="74">
        <f t="shared" si="16"/>
        <v>262136.92188395691</v>
      </c>
      <c r="V94" s="74">
        <f t="shared" si="17"/>
        <v>9232.5091604687022</v>
      </c>
      <c r="W94" s="74">
        <f>AK$4*(T94/Tabla6[[#This Row],[u]])+(1-AK$4)*W82</f>
        <v>1.0060527587648258</v>
      </c>
      <c r="X94" s="2">
        <f t="shared" si="21"/>
        <v>279620.34354745003</v>
      </c>
      <c r="Y94" s="2">
        <f t="shared" si="19"/>
        <v>131934.34354745003</v>
      </c>
      <c r="Z94">
        <f t="shared" si="20"/>
        <v>17406671007.29657</v>
      </c>
      <c r="AA94" s="17">
        <f>ABS(Tabla6[[#This Row],[Receptive tourism]]-Tabla6[[#This Row],[pred]])</f>
        <v>16057.343547450029</v>
      </c>
      <c r="AB94" s="69">
        <f>IF($T94=0,0,(ABS(($T94-Tabla6[[#This Row],[pred]])/$T94))*100/COUNT($R$17:$R$106))</f>
        <v>6.7693465435209155E-2</v>
      </c>
      <c r="AD94" s="40">
        <f t="shared" si="15"/>
        <v>91</v>
      </c>
      <c r="AE94" s="81">
        <f>Tabla6[[#This Row],[Receptive tourism]]</f>
        <v>263563</v>
      </c>
      <c r="AF94" s="105">
        <f>Tabla6[[#This Row],[pred]]</f>
        <v>279620.34354745003</v>
      </c>
      <c r="AG94" s="74"/>
    </row>
    <row r="95" spans="1:33" x14ac:dyDescent="0.3">
      <c r="A95" s="33">
        <v>45139</v>
      </c>
      <c r="B95" s="2">
        <f>Decomposition!C102</f>
        <v>236928</v>
      </c>
      <c r="R95" s="80">
        <v>45139</v>
      </c>
      <c r="S95" s="40">
        <f t="shared" si="18"/>
        <v>92</v>
      </c>
      <c r="T95" s="81">
        <f>Decomposition!C102</f>
        <v>236928</v>
      </c>
      <c r="U95" s="74">
        <f t="shared" si="16"/>
        <v>256942.46734165144</v>
      </c>
      <c r="V95" s="74">
        <f t="shared" si="17"/>
        <v>-5050.1849052777243</v>
      </c>
      <c r="W95" s="74">
        <f>AK$4*(T95/Tabla6[[#This Row],[u]])+(1-AK$4)*W83</f>
        <v>0.92262853336119965</v>
      </c>
      <c r="X95" s="2">
        <f t="shared" si="21"/>
        <v>250373.18016358156</v>
      </c>
      <c r="Y95" s="2">
        <f t="shared" si="19"/>
        <v>107233.18016358156</v>
      </c>
      <c r="Z95">
        <f t="shared" si="20"/>
        <v>11498954927.995142</v>
      </c>
      <c r="AA95" s="17">
        <f>ABS(Tabla6[[#This Row],[Receptive tourism]]-Tabla6[[#This Row],[pred]])</f>
        <v>13445.180163581565</v>
      </c>
      <c r="AB95" s="69">
        <f>IF($T95=0,0,(ABS(($T95-Tabla6[[#This Row],[pred]])/$T95))*100/COUNT($R$17:$R$106))</f>
        <v>6.305328652859174E-2</v>
      </c>
      <c r="AD95" s="40">
        <f t="shared" si="15"/>
        <v>92</v>
      </c>
      <c r="AE95" s="81">
        <f>Tabla6[[#This Row],[Receptive tourism]]</f>
        <v>236928</v>
      </c>
      <c r="AF95" s="105">
        <f>Tabla6[[#This Row],[pred]]</f>
        <v>250373.18016358156</v>
      </c>
      <c r="AG95" s="74"/>
    </row>
    <row r="96" spans="1:33" x14ac:dyDescent="0.3">
      <c r="A96" s="33">
        <v>45170</v>
      </c>
      <c r="B96" s="2">
        <f>Decomposition!C103</f>
        <v>239336</v>
      </c>
      <c r="R96" s="79">
        <v>45170</v>
      </c>
      <c r="S96" s="40">
        <f t="shared" si="18"/>
        <v>93</v>
      </c>
      <c r="T96" s="81">
        <f>Decomposition!C103</f>
        <v>239336</v>
      </c>
      <c r="U96" s="74">
        <f t="shared" si="16"/>
        <v>259828.79033986991</v>
      </c>
      <c r="V96" s="74">
        <f t="shared" si="17"/>
        <v>2806.9579191835091</v>
      </c>
      <c r="W96" s="74">
        <f>AK$4*(T96/Tabla6[[#This Row],[u]])+(1-AK$4)*W84</f>
        <v>0.92084552484455817</v>
      </c>
      <c r="X96" s="2">
        <f t="shared" si="21"/>
        <v>231953.88102441625</v>
      </c>
      <c r="Y96" s="2">
        <f t="shared" si="19"/>
        <v>84473.881024416245</v>
      </c>
      <c r="Z96">
        <f t="shared" si="20"/>
        <v>7135836575.3272314</v>
      </c>
      <c r="AA96" s="17">
        <f>ABS(Tabla6[[#This Row],[Receptive tourism]]-Tabla6[[#This Row],[pred]])</f>
        <v>7382.1189755837549</v>
      </c>
      <c r="AB96" s="69">
        <f>IF($T96=0,0,(ABS(($T96-Tabla6[[#This Row],[pred]])/$T96))*100/COUNT($R$17:$R$106))</f>
        <v>3.4271293985506913E-2</v>
      </c>
      <c r="AD96" s="40">
        <f t="shared" si="15"/>
        <v>93</v>
      </c>
      <c r="AE96" s="81">
        <f>Tabla6[[#This Row],[Receptive tourism]]</f>
        <v>239336</v>
      </c>
      <c r="AF96" s="105">
        <f>Tabla6[[#This Row],[pred]]</f>
        <v>231953.88102441625</v>
      </c>
      <c r="AG96" s="74"/>
    </row>
    <row r="97" spans="1:39" x14ac:dyDescent="0.3">
      <c r="A97" s="33">
        <v>45200</v>
      </c>
      <c r="B97" s="2">
        <f>Decomposition!C104</f>
        <v>262043</v>
      </c>
      <c r="R97" s="80">
        <v>45200</v>
      </c>
      <c r="S97" s="40">
        <f t="shared" si="18"/>
        <v>94</v>
      </c>
      <c r="T97" s="81">
        <f>Decomposition!C104</f>
        <v>262043</v>
      </c>
      <c r="U97" s="74">
        <f t="shared" si="16"/>
        <v>261926.14654636662</v>
      </c>
      <c r="V97" s="74">
        <f t="shared" si="17"/>
        <v>2104.4522236235798</v>
      </c>
      <c r="W97" s="74">
        <f>AK$4*(T97/Tabla6[[#This Row],[u]])+(1-AK$4)*W85</f>
        <v>1.0004735095877526</v>
      </c>
      <c r="X97" s="2">
        <f t="shared" si="21"/>
        <v>262760.1088039407</v>
      </c>
      <c r="Y97" s="2">
        <f t="shared" si="19"/>
        <v>97668.108803940704</v>
      </c>
      <c r="Z97">
        <f t="shared" si="20"/>
        <v>9539059477.3383999</v>
      </c>
      <c r="AA97" s="17">
        <f>ABS(Tabla6[[#This Row],[Receptive tourism]]-Tabla6[[#This Row],[pred]])</f>
        <v>717.10880394070409</v>
      </c>
      <c r="AB97" s="69">
        <f>IF($T97=0,0,(ABS(($T97-Tabla6[[#This Row],[pred]])/$T97))*100/COUNT($R$17:$R$106))</f>
        <v>3.0406748508226352E-3</v>
      </c>
      <c r="AD97" s="40">
        <f t="shared" si="15"/>
        <v>94</v>
      </c>
      <c r="AE97" s="81">
        <f>Tabla6[[#This Row],[Receptive tourism]]</f>
        <v>262043</v>
      </c>
      <c r="AF97" s="105">
        <f>Tabla6[[#This Row],[pred]]</f>
        <v>262760.1088039407</v>
      </c>
      <c r="AG97" s="74"/>
    </row>
    <row r="98" spans="1:39" x14ac:dyDescent="0.3">
      <c r="A98" s="33">
        <v>45231</v>
      </c>
      <c r="B98" s="2">
        <f>Decomposition!C105</f>
        <v>311342</v>
      </c>
      <c r="R98" s="79">
        <v>45231</v>
      </c>
      <c r="S98" s="40">
        <f t="shared" si="18"/>
        <v>95</v>
      </c>
      <c r="T98" s="81">
        <f>Decomposition!C105</f>
        <v>311342</v>
      </c>
      <c r="U98" s="74">
        <f t="shared" si="16"/>
        <v>275380.28648849524</v>
      </c>
      <c r="V98" s="74">
        <f t="shared" si="17"/>
        <v>13340.643064943568</v>
      </c>
      <c r="W98" s="74">
        <f>AK$4*(T98/Tabla6[[#This Row],[u]])+(1-AK$4)*W86</f>
        <v>1.1301188019227755</v>
      </c>
      <c r="X98" s="2">
        <f t="shared" si="21"/>
        <v>298385.94395289436</v>
      </c>
      <c r="Y98" s="2">
        <f t="shared" si="19"/>
        <v>102308.94395289436</v>
      </c>
      <c r="Z98">
        <f t="shared" si="20"/>
        <v>10467120012.756479</v>
      </c>
      <c r="AA98" s="17">
        <f>ABS(Tabla6[[#This Row],[Receptive tourism]]-Tabla6[[#This Row],[pred]])</f>
        <v>12956.056047105638</v>
      </c>
      <c r="AB98" s="69">
        <f>IF($T98=0,0,(ABS(($T98-Tabla6[[#This Row],[pred]])/$T98))*100/COUNT($R$17:$R$106))</f>
        <v>4.6237314047309318E-2</v>
      </c>
      <c r="AD98" s="40">
        <f t="shared" si="15"/>
        <v>95</v>
      </c>
      <c r="AE98" s="81">
        <f>Tabla6[[#This Row],[Receptive tourism]]</f>
        <v>311342</v>
      </c>
      <c r="AF98" s="105">
        <f>Tabla6[[#This Row],[pred]]</f>
        <v>298385.94395289436</v>
      </c>
      <c r="AG98" s="74"/>
    </row>
    <row r="99" spans="1:39" x14ac:dyDescent="0.3">
      <c r="A99" s="33">
        <v>45261</v>
      </c>
      <c r="B99" s="2">
        <f>Decomposition!C106</f>
        <v>274711</v>
      </c>
      <c r="R99" s="80">
        <v>45261</v>
      </c>
      <c r="S99" s="40">
        <f t="shared" si="18"/>
        <v>96</v>
      </c>
      <c r="T99" s="81">
        <f>Decomposition!C106</f>
        <v>274711</v>
      </c>
      <c r="U99" s="74">
        <f t="shared" si="16"/>
        <v>231917.30526259966</v>
      </c>
      <c r="V99" s="74">
        <f t="shared" si="17"/>
        <v>-42894.944982987188</v>
      </c>
      <c r="W99" s="74">
        <f>AK$4*(T99/Tabla6[[#This Row],[u]])+(1-AK$4)*W87</f>
        <v>1.1874591802079524</v>
      </c>
      <c r="X99" s="2">
        <f t="shared" si="21"/>
        <v>342844.31831640442</v>
      </c>
      <c r="Y99" s="2">
        <f t="shared" si="19"/>
        <v>159235.31831640442</v>
      </c>
      <c r="Z99">
        <f t="shared" si="20"/>
        <v>25355886599.326641</v>
      </c>
      <c r="AA99" s="17">
        <f>ABS(Tabla6[[#This Row],[Receptive tourism]]-Tabla6[[#This Row],[pred]])</f>
        <v>68133.318316404417</v>
      </c>
      <c r="AB99" s="69">
        <f>IF($T99=0,0,(ABS(($T99-Tabla6[[#This Row],[pred]])/$T99))*100/COUNT($R$17:$R$106))</f>
        <v>0.27557573966177962</v>
      </c>
      <c r="AD99" s="40">
        <f t="shared" si="15"/>
        <v>96</v>
      </c>
      <c r="AE99" s="81">
        <f>Tabla6[[#This Row],[Receptive tourism]]</f>
        <v>274711</v>
      </c>
      <c r="AF99" s="105">
        <f>Tabla6[[#This Row],[pred]]</f>
        <v>342844.31831640442</v>
      </c>
      <c r="AG99" s="74"/>
    </row>
    <row r="100" spans="1:39" x14ac:dyDescent="0.3">
      <c r="A100" s="33">
        <v>45292</v>
      </c>
      <c r="B100" s="2">
        <f>Decomposition!C107</f>
        <v>327427</v>
      </c>
      <c r="R100" s="79">
        <v>45292</v>
      </c>
      <c r="S100" s="40">
        <f t="shared" si="18"/>
        <v>97</v>
      </c>
      <c r="T100" s="81">
        <f>Decomposition!C107</f>
        <v>327427</v>
      </c>
      <c r="U100" s="74">
        <f t="shared" si="16"/>
        <v>267993.24481718871</v>
      </c>
      <c r="V100" s="74">
        <f t="shared" si="17"/>
        <v>35286.230709213276</v>
      </c>
      <c r="W100" s="74">
        <f>AK$4*(T100/Tabla6[[#This Row],[u]])+(1-AK$4)*W88</f>
        <v>1.2181474998693766</v>
      </c>
      <c r="X100" s="2">
        <f t="shared" si="21"/>
        <v>230257.11559401851</v>
      </c>
      <c r="Y100" s="2">
        <f t="shared" si="19"/>
        <v>8977.8844059814874</v>
      </c>
      <c r="Z100">
        <f t="shared" si="20"/>
        <v>80602408.407165557</v>
      </c>
      <c r="AA100" s="17">
        <f>ABS(Tabla6[[#This Row],[Receptive tourism]]-Tabla6[[#This Row],[pred]])</f>
        <v>97169.884405981487</v>
      </c>
      <c r="AB100" s="69">
        <f>IF($T100=0,0,(ABS(($T100-Tabla6[[#This Row],[pred]])/$T100))*100/COUNT($R$17:$R$106))</f>
        <v>0.32974231883402505</v>
      </c>
      <c r="AD100" s="40">
        <f t="shared" si="15"/>
        <v>97</v>
      </c>
      <c r="AE100" s="81">
        <f>Tabla6[[#This Row],[Receptive tourism]]</f>
        <v>327427</v>
      </c>
      <c r="AF100" s="105">
        <f>Tabla6[[#This Row],[pred]]</f>
        <v>230257.11559401851</v>
      </c>
      <c r="AG100" s="74"/>
      <c r="AL100" s="1">
        <v>116629.14152639033</v>
      </c>
      <c r="AM100" s="1">
        <v>-25983.435337605981</v>
      </c>
    </row>
    <row r="101" spans="1:39" x14ac:dyDescent="0.3">
      <c r="A101" s="33">
        <v>45323</v>
      </c>
      <c r="B101" s="2">
        <f>Decomposition!C108</f>
        <v>256687</v>
      </c>
      <c r="R101" s="80">
        <v>45323</v>
      </c>
      <c r="S101" s="40">
        <f t="shared" si="18"/>
        <v>98</v>
      </c>
      <c r="T101" s="81">
        <f>Decomposition!C108</f>
        <v>256687</v>
      </c>
      <c r="U101" s="74">
        <f t="shared" si="16"/>
        <v>248053.38751721196</v>
      </c>
      <c r="V101" s="74">
        <f t="shared" si="17"/>
        <v>-19387.596419884845</v>
      </c>
      <c r="W101" s="74">
        <f>AK$4*(T101/Tabla6[[#This Row],[u]])+(1-AK$4)*W89</f>
        <v>1.0371378468049532</v>
      </c>
      <c r="X101" s="2">
        <f t="shared" si="21"/>
        <v>314542.62222758809</v>
      </c>
      <c r="Y101" s="2">
        <f t="shared" si="19"/>
        <v>108607.62222758809</v>
      </c>
      <c r="Z101">
        <f t="shared" si="20"/>
        <v>11795615605.930487</v>
      </c>
      <c r="AA101" s="17">
        <f>ABS(Tabla6[[#This Row],[Receptive tourism]]-Tabla6[[#This Row],[pred]])</f>
        <v>57855.622227588086</v>
      </c>
      <c r="AB101" s="69">
        <f>IF($T101=0,0,(ABS(($T101-Tabla6[[#This Row],[pred]])/$T101))*100/COUNT($R$17:$R$106))</f>
        <v>0.25043739923455449</v>
      </c>
      <c r="AD101" s="40">
        <f t="shared" si="15"/>
        <v>98</v>
      </c>
      <c r="AE101" s="81">
        <f>Tabla6[[#This Row],[Receptive tourism]]</f>
        <v>256687</v>
      </c>
      <c r="AF101" s="105">
        <f>Tabla6[[#This Row],[pred]]</f>
        <v>314542.62222758809</v>
      </c>
      <c r="AG101" s="74"/>
      <c r="AL101" s="1">
        <v>155781.59648476611</v>
      </c>
      <c r="AM101" s="1">
        <v>-6229.9059064512812</v>
      </c>
    </row>
    <row r="102" spans="1:39" x14ac:dyDescent="0.3">
      <c r="A102" s="33">
        <v>45352</v>
      </c>
      <c r="B102" s="2">
        <f>Decomposition!C109</f>
        <v>278366</v>
      </c>
      <c r="R102" s="79">
        <v>45352</v>
      </c>
      <c r="S102" s="40">
        <f t="shared" si="18"/>
        <v>99</v>
      </c>
      <c r="T102" s="81">
        <f>Decomposition!C109</f>
        <v>278366</v>
      </c>
      <c r="U102" s="74">
        <f t="shared" si="16"/>
        <v>269095.99761864945</v>
      </c>
      <c r="V102" s="74">
        <f t="shared" si="17"/>
        <v>20638.308036224265</v>
      </c>
      <c r="W102" s="74">
        <f>AK$4*(T102/Tabla6[[#This Row],[u]])+(1-AK$4)*W90</f>
        <v>1.032881158890224</v>
      </c>
      <c r="X102" s="2">
        <f t="shared" si="21"/>
        <v>236184.58730715708</v>
      </c>
      <c r="Y102" s="2">
        <f t="shared" si="19"/>
        <v>14978.587307157082</v>
      </c>
      <c r="Z102">
        <f t="shared" si="20"/>
        <v>224358077.71812725</v>
      </c>
      <c r="AA102" s="17">
        <f>ABS(Tabla6[[#This Row],[Receptive tourism]]-Tabla6[[#This Row],[pred]])</f>
        <v>42181.412692842918</v>
      </c>
      <c r="AB102" s="69">
        <f>IF($T102=0,0,(ABS(($T102-Tabla6[[#This Row],[pred]])/$T102))*100/COUNT($R$17:$R$106))</f>
        <v>0.16836911233908242</v>
      </c>
      <c r="AD102" s="40">
        <f t="shared" si="15"/>
        <v>99</v>
      </c>
      <c r="AE102" s="81">
        <f>Tabla6[[#This Row],[Receptive tourism]]</f>
        <v>278366</v>
      </c>
      <c r="AF102" s="105">
        <f>Tabla6[[#This Row],[pred]]</f>
        <v>236184.58730715708</v>
      </c>
      <c r="AG102" s="74"/>
    </row>
    <row r="103" spans="1:39" x14ac:dyDescent="0.3">
      <c r="A103" s="33">
        <v>45383</v>
      </c>
      <c r="B103" s="2">
        <f>Decomposition!C110</f>
        <v>224410</v>
      </c>
      <c r="R103" s="80">
        <v>45383</v>
      </c>
      <c r="S103" s="40">
        <f t="shared" si="18"/>
        <v>100</v>
      </c>
      <c r="T103" s="81">
        <f>Decomposition!C110</f>
        <v>224410</v>
      </c>
      <c r="U103" s="74">
        <f t="shared" si="16"/>
        <v>251528.35394028347</v>
      </c>
      <c r="V103" s="74">
        <f t="shared" si="17"/>
        <v>-17185.584161220071</v>
      </c>
      <c r="W103" s="74">
        <f>AK$4*(T103/Tabla6[[#This Row],[u]])+(1-AK$4)*W91</f>
        <v>0.89355667746486223</v>
      </c>
      <c r="X103" s="2">
        <f t="shared" si="21"/>
        <v>258894.02350855782</v>
      </c>
      <c r="Y103" s="2">
        <f t="shared" si="19"/>
        <v>36268.023508557817</v>
      </c>
      <c r="Z103">
        <f t="shared" si="20"/>
        <v>1315369529.2173026</v>
      </c>
      <c r="AA103" s="17">
        <f>ABS(Tabla6[[#This Row],[Receptive tourism]]-Tabla6[[#This Row],[pred]])</f>
        <v>34484.023508557817</v>
      </c>
      <c r="AB103" s="69">
        <f>IF($T103=0,0,(ABS(($T103-Tabla6[[#This Row],[pred]])/$T103))*100/COUNT($R$17:$R$106))</f>
        <v>0.17073919021512121</v>
      </c>
      <c r="AD103" s="40">
        <f t="shared" si="15"/>
        <v>100</v>
      </c>
      <c r="AE103" s="81">
        <f>Tabla6[[#This Row],[Receptive tourism]]</f>
        <v>224410</v>
      </c>
      <c r="AF103" s="105">
        <f>Tabla6[[#This Row],[pred]]</f>
        <v>258894.02350855782</v>
      </c>
      <c r="AG103" s="74"/>
      <c r="AL103">
        <f>AL100+AM100</f>
        <v>90645.706188784359</v>
      </c>
    </row>
    <row r="104" spans="1:39" x14ac:dyDescent="0.3">
      <c r="A104" s="33">
        <v>45413</v>
      </c>
      <c r="B104" s="2">
        <f>Decomposition!C111</f>
        <v>182803</v>
      </c>
      <c r="R104" s="79">
        <v>45413</v>
      </c>
      <c r="S104" s="40">
        <f t="shared" si="18"/>
        <v>101</v>
      </c>
      <c r="T104" s="81">
        <f>Decomposition!C111</f>
        <v>182803</v>
      </c>
      <c r="U104" s="74">
        <f>AI$4*(T104/W92)+(1-AI$4)*(U103+V103)</f>
        <v>211783.8537422457</v>
      </c>
      <c r="V104" s="74">
        <f>AJ$4*(U104-U103)+(1-AJ$4)*V103</f>
        <v>-39518.911037669597</v>
      </c>
      <c r="W104" s="74">
        <f>AK$4*(T104/Tabla6[[#This Row],[u]])+(1-AK$4)*W92</f>
        <v>0.86408805318982174</v>
      </c>
      <c r="X104" s="2">
        <f t="shared" si="21"/>
        <v>202492.78771750149</v>
      </c>
      <c r="Y104" s="2">
        <f t="shared" si="19"/>
        <v>6204.7877175014874</v>
      </c>
      <c r="Z104">
        <f t="shared" si="20"/>
        <v>38499390.619257316</v>
      </c>
      <c r="AA104" s="17">
        <f>ABS(Tabla6[[#This Row],[Receptive tourism]]-Tabla6[[#This Row],[pred]])</f>
        <v>19689.787717501487</v>
      </c>
      <c r="AB104" s="69">
        <f>IF($T104=0,0,(ABS(($T104-Tabla6[[#This Row],[pred]])/$T104))*100/COUNT($R$17:$R$106))</f>
        <v>0.11967824329105642</v>
      </c>
      <c r="AD104" s="40">
        <f t="shared" si="15"/>
        <v>101</v>
      </c>
      <c r="AE104" s="81">
        <f>Tabla6[[#This Row],[Receptive tourism]]</f>
        <v>182803</v>
      </c>
      <c r="AF104" s="105">
        <f>Tabla6[[#This Row],[pred]]</f>
        <v>202492.78771750149</v>
      </c>
      <c r="AG104" s="74"/>
      <c r="AL104">
        <f>AL101+AM101</f>
        <v>149551.69057831482</v>
      </c>
    </row>
    <row r="105" spans="1:39" x14ac:dyDescent="0.3">
      <c r="A105" s="33">
        <v>45444</v>
      </c>
      <c r="B105" s="2">
        <f>Decomposition!C112</f>
        <v>169847</v>
      </c>
      <c r="D105" s="34"/>
      <c r="E105" s="34"/>
      <c r="R105" s="80">
        <v>45444</v>
      </c>
      <c r="S105" s="40">
        <f t="shared" si="18"/>
        <v>102</v>
      </c>
      <c r="T105" s="81">
        <f>Decomposition!C112</f>
        <v>169847</v>
      </c>
      <c r="U105" s="74">
        <f t="shared" si="16"/>
        <v>215486.05533092283</v>
      </c>
      <c r="V105" s="74">
        <f>AJ$4*(U105-U104)+(1-AJ$4)*V104</f>
        <v>3269.9904624136584</v>
      </c>
      <c r="W105" s="74">
        <f>AK$4*(T105/Tabla6[[#This Row],[u]])+(1-AK$4)*W93</f>
        <v>0.78661045509169758</v>
      </c>
      <c r="X105" s="2">
        <f t="shared" si="21"/>
        <v>135505.40497719182</v>
      </c>
      <c r="Y105" s="2">
        <f t="shared" si="19"/>
        <v>63921.595022808178</v>
      </c>
      <c r="Z105">
        <f t="shared" si="20"/>
        <v>4085970310.2598953</v>
      </c>
      <c r="AA105" s="17">
        <f>ABS(Tabla6[[#This Row],[Receptive tourism]]-Tabla6[[#This Row],[pred]])</f>
        <v>34341.595022808178</v>
      </c>
      <c r="AB105" s="69">
        <f>IF($T105=0,0,(ABS(($T105-Tabla6[[#This Row],[pred]])/$T105))*100/COUNT($R$17:$R$106))</f>
        <v>0.22465706078482514</v>
      </c>
      <c r="AD105" s="40">
        <f t="shared" si="15"/>
        <v>102</v>
      </c>
      <c r="AE105" s="81">
        <f>Tabla6[[#This Row],[Receptive tourism]]</f>
        <v>169847</v>
      </c>
      <c r="AF105" s="105">
        <f>Tabla6[[#This Row],[pred]]</f>
        <v>135505.40497719182</v>
      </c>
      <c r="AG105" s="74"/>
    </row>
    <row r="106" spans="1:39" x14ac:dyDescent="0.3">
      <c r="A106" s="33">
        <v>45474</v>
      </c>
      <c r="B106" s="2">
        <f>Decomposition!C113</f>
        <v>233105</v>
      </c>
      <c r="C106">
        <v>233105</v>
      </c>
      <c r="D106">
        <v>233105</v>
      </c>
      <c r="E106">
        <v>233105</v>
      </c>
      <c r="R106" s="79">
        <v>45474</v>
      </c>
      <c r="S106" s="40">
        <f t="shared" si="18"/>
        <v>103</v>
      </c>
      <c r="T106" s="81">
        <f>Decomposition!C113</f>
        <v>233105</v>
      </c>
      <c r="U106" s="74">
        <f t="shared" si="16"/>
        <v>231573.09515228786</v>
      </c>
      <c r="V106" s="74">
        <f>AJ$4*(U106-U105)+(1-AJ$4)*V105</f>
        <v>15958.869327775519</v>
      </c>
      <c r="W106" s="74">
        <f>AK$4*(T106/Tabla6[[#This Row],[u]])+(1-AK$4)*W94</f>
        <v>1.0060527587648258</v>
      </c>
      <c r="X106" s="2">
        <f>(U105+V105)*W94</f>
        <v>220080.12336687074</v>
      </c>
      <c r="Y106" s="2">
        <f t="shared" si="19"/>
        <v>43482.876633129257</v>
      </c>
      <c r="Z106">
        <f t="shared" si="20"/>
        <v>1890760560.2919383</v>
      </c>
      <c r="AA106" s="17">
        <f>ABS(Tabla6[[#This Row],[Receptive tourism]]-Tabla6[[#This Row],[pred]])</f>
        <v>13024.876633129257</v>
      </c>
      <c r="AB106" s="69">
        <f>IF($T106=0,0,(ABS(($T106-Tabla6[[#This Row],[pred]])/$T106))*100/COUNT($R$17:$R$106))</f>
        <v>6.2083975667280397E-2</v>
      </c>
      <c r="AD106" s="40">
        <f t="shared" si="15"/>
        <v>103</v>
      </c>
      <c r="AE106" s="81">
        <f>Tabla6[[#This Row],[Receptive tourism]]</f>
        <v>233105</v>
      </c>
      <c r="AF106" s="105">
        <f>Tabla6[[#This Row],[pred]]</f>
        <v>220080.12336687074</v>
      </c>
      <c r="AG106" s="74"/>
    </row>
    <row r="107" spans="1:39" x14ac:dyDescent="0.3">
      <c r="A107" s="33">
        <v>45505</v>
      </c>
      <c r="C107">
        <f t="shared" ref="C107:C123" si="22">AF107</f>
        <v>228380.05334825744</v>
      </c>
      <c r="D107" s="34">
        <f>C107-_xlfn.FORECAST.ETS.CONFINT(A107,$B$4:$B$106,$A$4:$A$106,0.95,1,1)</f>
        <v>161866.95890626626</v>
      </c>
      <c r="E107" s="34">
        <f>C107+_xlfn.FORECAST.ETS.CONFINT(A107,$B$4:$B$106,$A$4:$A$106,0.95,1,1)</f>
        <v>294893.14779024862</v>
      </c>
      <c r="R107" s="80">
        <v>45505</v>
      </c>
      <c r="S107" s="40">
        <f t="shared" si="18"/>
        <v>104</v>
      </c>
      <c r="T107" s="106">
        <f>Tabla6[[#This Row],[pred]]</f>
        <v>228380.05334825744</v>
      </c>
      <c r="U107" s="74">
        <f t="shared" si="16"/>
        <v>247531.96448006338</v>
      </c>
      <c r="V107" s="74">
        <f>AJ$4*(U107-U106)+(1-AJ$4)*V106</f>
        <v>15958.869327775523</v>
      </c>
      <c r="W107" s="74">
        <f>AK$4*(T107/Tabla6[[#This Row],[u]])+(1-AK$4)*W95</f>
        <v>0.92262853336119965</v>
      </c>
      <c r="X107" s="2">
        <f>(U106+V106)*W95</f>
        <v>228380.05334825744</v>
      </c>
      <c r="Y107" s="2"/>
      <c r="AA107" s="17"/>
      <c r="AD107" s="40">
        <f t="shared" si="15"/>
        <v>104</v>
      </c>
      <c r="AF107" s="105">
        <f>Tabla6[[#This Row],[pred]]</f>
        <v>228380.05334825744</v>
      </c>
      <c r="AG107" s="74"/>
    </row>
    <row r="108" spans="1:39" x14ac:dyDescent="0.3">
      <c r="A108" s="33">
        <v>45536</v>
      </c>
      <c r="C108">
        <f t="shared" si="22"/>
        <v>242634.35514950968</v>
      </c>
      <c r="D108" s="34">
        <f>C108-_xlfn.FORECAST.ETS.CONFINT(A108,$B$4:$B$106,$A$4:$A$106,0.95,1,1)</f>
        <v>148617.6550105146</v>
      </c>
      <c r="E108" s="34">
        <f t="shared" ref="E108:E123" si="23">C108+_xlfn.FORECAST.ETS.CONFINT(A108,$B$4:$B$106,$A$4:$A$106,0.95,1,1)</f>
        <v>336651.05528850475</v>
      </c>
      <c r="R108" s="79">
        <v>45536</v>
      </c>
      <c r="S108" s="40">
        <f t="shared" si="18"/>
        <v>105</v>
      </c>
      <c r="T108" s="106">
        <f>Tabla6[[#This Row],[pred]]</f>
        <v>242634.35514950968</v>
      </c>
      <c r="U108" s="74">
        <f t="shared" si="16"/>
        <v>263490.83380783891</v>
      </c>
      <c r="V108" s="74">
        <f t="shared" si="17"/>
        <v>15958.869327775523</v>
      </c>
      <c r="W108" s="74">
        <f>AK$4*(T108/Tabla6[[#This Row],[u]])+(1-AK$4)*W96</f>
        <v>0.92084552484455817</v>
      </c>
      <c r="X108" s="2">
        <f t="shared" si="21"/>
        <v>242634.35514950968</v>
      </c>
      <c r="Y108" s="2"/>
      <c r="AA108" s="17"/>
      <c r="AD108" s="40">
        <f t="shared" si="15"/>
        <v>105</v>
      </c>
      <c r="AF108" s="105">
        <f>Tabla6[[#This Row],[pred]]</f>
        <v>242634.35514950968</v>
      </c>
      <c r="AG108" s="74"/>
    </row>
    <row r="109" spans="1:39" x14ac:dyDescent="0.3">
      <c r="A109" s="33">
        <v>45566</v>
      </c>
      <c r="C109">
        <f t="shared" si="22"/>
        <v>279582.02524934371</v>
      </c>
      <c r="D109" s="34">
        <f t="shared" ref="D109:D123" si="24">C109-_xlfn.FORECAST.ETS.CONFINT(A109,$B$4:$B$106,$A$4:$A$106,0.95,1,1)</f>
        <v>164416.35485545004</v>
      </c>
      <c r="E109" s="34">
        <f t="shared" si="23"/>
        <v>394747.69564323738</v>
      </c>
      <c r="R109" s="80">
        <v>45566</v>
      </c>
      <c r="S109" s="40">
        <f t="shared" si="18"/>
        <v>106</v>
      </c>
      <c r="T109" s="106">
        <f>Tabla6[[#This Row],[pred]]</f>
        <v>279582.02524934371</v>
      </c>
      <c r="U109" s="74">
        <f t="shared" si="16"/>
        <v>279449.7031356144</v>
      </c>
      <c r="V109" s="74">
        <f t="shared" si="17"/>
        <v>15958.869327775494</v>
      </c>
      <c r="W109" s="74">
        <f>AK$4*(T109/Tabla6[[#This Row],[u]])+(1-AK$4)*W97</f>
        <v>1.0004735095877526</v>
      </c>
      <c r="X109" s="2">
        <f t="shared" si="21"/>
        <v>279582.02524934371</v>
      </c>
      <c r="Y109" s="2"/>
      <c r="AA109" s="17"/>
      <c r="AD109" s="40">
        <f t="shared" si="15"/>
        <v>106</v>
      </c>
      <c r="AF109" s="105">
        <f>Tabla6[[#This Row],[pred]]</f>
        <v>279582.02524934371</v>
      </c>
      <c r="AG109" s="74"/>
    </row>
    <row r="110" spans="1:39" x14ac:dyDescent="0.3">
      <c r="A110" s="33">
        <v>45597</v>
      </c>
      <c r="C110">
        <f t="shared" si="22"/>
        <v>333846.78199004359</v>
      </c>
      <c r="D110" s="34">
        <f t="shared" si="24"/>
        <v>200820.55984951812</v>
      </c>
      <c r="E110" s="34">
        <f t="shared" si="23"/>
        <v>466873.00413056905</v>
      </c>
      <c r="R110" s="79">
        <v>45597</v>
      </c>
      <c r="S110" s="40">
        <f t="shared" si="18"/>
        <v>107</v>
      </c>
      <c r="T110" s="106">
        <f>Tabla6[[#This Row],[pred]]</f>
        <v>333846.78199004359</v>
      </c>
      <c r="U110" s="74">
        <f t="shared" si="16"/>
        <v>295408.57246338989</v>
      </c>
      <c r="V110" s="74">
        <f t="shared" si="17"/>
        <v>15958.869327775494</v>
      </c>
      <c r="W110" s="74">
        <f>AK$4*(T110/Tabla6[[#This Row],[u]])+(1-AK$4)*W98</f>
        <v>1.1301188019227755</v>
      </c>
      <c r="X110" s="2">
        <f t="shared" si="21"/>
        <v>333846.78199004359</v>
      </c>
      <c r="Y110" s="2"/>
      <c r="AA110" s="17"/>
      <c r="AD110" s="40">
        <f t="shared" si="15"/>
        <v>107</v>
      </c>
      <c r="AF110" s="105">
        <f>Tabla6[[#This Row],[pred]]</f>
        <v>333846.78199004359</v>
      </c>
      <c r="AG110" s="74"/>
    </row>
    <row r="111" spans="1:39" x14ac:dyDescent="0.3">
      <c r="A111" s="33">
        <v>45627</v>
      </c>
      <c r="C111">
        <f t="shared" si="22"/>
        <v>369736.12717278459</v>
      </c>
      <c r="D111" s="34">
        <f t="shared" si="24"/>
        <v>220948.75817888914</v>
      </c>
      <c r="E111" s="34">
        <f t="shared" si="23"/>
        <v>518523.49616668001</v>
      </c>
      <c r="R111" s="80">
        <v>45627</v>
      </c>
      <c r="S111" s="40">
        <f t="shared" si="18"/>
        <v>108</v>
      </c>
      <c r="T111" s="106">
        <f>Tabla6[[#This Row],[pred]]</f>
        <v>369736.12717278459</v>
      </c>
      <c r="U111" s="74">
        <f t="shared" si="16"/>
        <v>311367.44179116539</v>
      </c>
      <c r="V111" s="74">
        <f t="shared" si="17"/>
        <v>15958.869327775494</v>
      </c>
      <c r="W111" s="74">
        <f>AK$4*(T111/Tabla6[[#This Row],[u]])+(1-AK$4)*W99</f>
        <v>1.1874591802079524</v>
      </c>
      <c r="X111" s="2">
        <f t="shared" si="21"/>
        <v>369736.12717278459</v>
      </c>
      <c r="Y111" s="2"/>
      <c r="AA111" s="17"/>
      <c r="AD111" s="40">
        <f t="shared" si="15"/>
        <v>108</v>
      </c>
      <c r="AF111" s="105">
        <f>Tabla6[[#This Row],[pred]]</f>
        <v>369736.12717278459</v>
      </c>
      <c r="AG111" s="74"/>
    </row>
    <row r="112" spans="1:39" x14ac:dyDescent="0.3">
      <c r="A112" s="33">
        <v>45658</v>
      </c>
      <c r="C112">
        <f t="shared" si="22"/>
        <v>398731.72753100359</v>
      </c>
      <c r="D112" s="34">
        <f t="shared" si="24"/>
        <v>235672.66868822134</v>
      </c>
      <c r="E112" s="34">
        <f t="shared" si="23"/>
        <v>561790.78637378581</v>
      </c>
      <c r="R112" s="79">
        <v>45658</v>
      </c>
      <c r="S112" s="40">
        <f t="shared" si="18"/>
        <v>109</v>
      </c>
      <c r="T112" s="106">
        <f>Tabla6[[#This Row],[pred]]</f>
        <v>398731.72753100359</v>
      </c>
      <c r="U112" s="74">
        <f t="shared" si="16"/>
        <v>327326.31111894088</v>
      </c>
      <c r="V112" s="74">
        <f t="shared" si="17"/>
        <v>15958.869327775494</v>
      </c>
      <c r="W112" s="74">
        <f>AK$4*(T112/Tabla6[[#This Row],[u]])+(1-AK$4)*W100</f>
        <v>1.2181474998693766</v>
      </c>
      <c r="X112" s="2">
        <f t="shared" si="21"/>
        <v>398731.72753100359</v>
      </c>
      <c r="Y112" s="2"/>
      <c r="AA112" s="17"/>
      <c r="AD112" s="40">
        <f t="shared" si="15"/>
        <v>109</v>
      </c>
      <c r="AF112" s="105">
        <f>Tabla6[[#This Row],[pred]]</f>
        <v>398731.72753100359</v>
      </c>
      <c r="AG112" s="74"/>
    </row>
    <row r="113" spans="1:33" x14ac:dyDescent="0.3">
      <c r="A113" s="33">
        <v>45689</v>
      </c>
      <c r="C113">
        <f t="shared" si="22"/>
        <v>356034.05288855726</v>
      </c>
      <c r="D113" s="34">
        <f t="shared" si="24"/>
        <v>179830.44588612136</v>
      </c>
      <c r="E113" s="34">
        <f t="shared" si="23"/>
        <v>532237.65989099315</v>
      </c>
      <c r="R113" s="80">
        <v>45689</v>
      </c>
      <c r="S113" s="40">
        <f t="shared" si="18"/>
        <v>110</v>
      </c>
      <c r="T113" s="106">
        <f>Tabla6[[#This Row],[pred]]</f>
        <v>356034.05288855726</v>
      </c>
      <c r="U113" s="74">
        <f t="shared" si="16"/>
        <v>343285.18044671637</v>
      </c>
      <c r="V113" s="74">
        <f t="shared" si="17"/>
        <v>15958.869327775494</v>
      </c>
      <c r="W113" s="74">
        <f>AK$4*(T113/Tabla6[[#This Row],[u]])+(1-AK$4)*W101</f>
        <v>1.0371378468049532</v>
      </c>
      <c r="X113" s="2">
        <f t="shared" si="21"/>
        <v>356034.05288855726</v>
      </c>
      <c r="Y113" s="2"/>
      <c r="AA113" s="17"/>
      <c r="AD113" s="40">
        <f t="shared" si="15"/>
        <v>110</v>
      </c>
      <c r="AF113" s="105">
        <f>Tabla6[[#This Row],[pred]]</f>
        <v>356034.05288855726</v>
      </c>
      <c r="AG113" s="74"/>
    </row>
    <row r="114" spans="1:33" x14ac:dyDescent="0.3">
      <c r="A114" s="33">
        <v>45717</v>
      </c>
      <c r="C114">
        <f t="shared" si="22"/>
        <v>371056.41045549448</v>
      </c>
      <c r="D114" s="34">
        <f t="shared" si="24"/>
        <v>182599.37723562782</v>
      </c>
      <c r="E114" s="34">
        <f t="shared" si="23"/>
        <v>559513.44367536111</v>
      </c>
      <c r="R114" s="79">
        <v>45717</v>
      </c>
      <c r="S114" s="40">
        <f t="shared" si="18"/>
        <v>111</v>
      </c>
      <c r="T114" s="106">
        <f>Tabla6[[#This Row],[pred]]</f>
        <v>371056.41045549448</v>
      </c>
      <c r="U114" s="74">
        <f t="shared" si="16"/>
        <v>359244.04977449187</v>
      </c>
      <c r="V114" s="74">
        <f t="shared" si="17"/>
        <v>15958.869327775494</v>
      </c>
      <c r="W114" s="74">
        <f>AK$4*(T114/Tabla6[[#This Row],[u]])+(1-AK$4)*W102</f>
        <v>1.032881158890224</v>
      </c>
      <c r="X114" s="2">
        <f t="shared" si="21"/>
        <v>371056.41045549448</v>
      </c>
      <c r="Y114" s="2"/>
      <c r="AA114" s="17"/>
      <c r="AD114" s="40">
        <f t="shared" si="15"/>
        <v>111</v>
      </c>
      <c r="AF114" s="105">
        <f>Tabla6[[#This Row],[pred]]</f>
        <v>371056.41045549448</v>
      </c>
      <c r="AG114" s="74"/>
    </row>
    <row r="115" spans="1:33" x14ac:dyDescent="0.3">
      <c r="A115" s="33">
        <v>45748</v>
      </c>
      <c r="C115">
        <f t="shared" si="22"/>
        <v>335265.07376813953</v>
      </c>
      <c r="D115" s="34">
        <f t="shared" si="24"/>
        <v>135281.84380429354</v>
      </c>
      <c r="E115" s="34">
        <f t="shared" si="23"/>
        <v>535248.30373198551</v>
      </c>
      <c r="R115" s="80">
        <v>45748</v>
      </c>
      <c r="S115" s="40">
        <f t="shared" si="18"/>
        <v>112</v>
      </c>
      <c r="T115" s="106">
        <f>Tabla6[[#This Row],[pred]]</f>
        <v>335265.07376813953</v>
      </c>
      <c r="U115" s="74">
        <f t="shared" si="16"/>
        <v>375202.91910226736</v>
      </c>
      <c r="V115" s="74">
        <f t="shared" si="17"/>
        <v>15958.869327775494</v>
      </c>
      <c r="W115" s="74">
        <f>AK$4*(T115/Tabla6[[#This Row],[u]])+(1-AK$4)*W103</f>
        <v>0.89355667746486223</v>
      </c>
      <c r="X115" s="2">
        <f t="shared" si="21"/>
        <v>335265.07376813953</v>
      </c>
      <c r="Y115" s="2"/>
      <c r="AA115" s="17"/>
      <c r="AD115" s="40">
        <f t="shared" si="15"/>
        <v>112</v>
      </c>
      <c r="AF115" s="105">
        <f>Tabla6[[#This Row],[pred]]</f>
        <v>335265.07376813953</v>
      </c>
      <c r="AG115" s="74"/>
    </row>
    <row r="116" spans="1:33" x14ac:dyDescent="0.3">
      <c r="A116" s="33">
        <v>45778</v>
      </c>
      <c r="C116">
        <f t="shared" si="22"/>
        <v>337998.22824676469</v>
      </c>
      <c r="D116" s="34">
        <f t="shared" si="24"/>
        <v>127096.74257426374</v>
      </c>
      <c r="E116" s="34">
        <f t="shared" si="23"/>
        <v>548899.71391926566</v>
      </c>
      <c r="R116" s="79">
        <v>45778</v>
      </c>
      <c r="S116" s="40">
        <f t="shared" si="18"/>
        <v>113</v>
      </c>
      <c r="T116" s="106">
        <f>Tabla6[[#This Row],[pred]]</f>
        <v>337998.22824676469</v>
      </c>
      <c r="U116" s="74">
        <f t="shared" si="16"/>
        <v>391161.78843004286</v>
      </c>
      <c r="V116" s="74">
        <f t="shared" si="17"/>
        <v>15958.869327775494</v>
      </c>
      <c r="W116" s="74">
        <f>AK$4*(T116/Tabla6[[#This Row],[u]])+(1-AK$4)*W104</f>
        <v>0.86408805318982174</v>
      </c>
      <c r="X116" s="2">
        <f t="shared" si="21"/>
        <v>337998.22824676469</v>
      </c>
      <c r="Y116" s="2"/>
      <c r="AA116" s="17"/>
      <c r="AD116" s="40">
        <f t="shared" si="15"/>
        <v>113</v>
      </c>
      <c r="AF116" s="105">
        <f>Tabla6[[#This Row],[pred]]</f>
        <v>337998.22824676469</v>
      </c>
      <c r="AG116" s="74"/>
    </row>
    <row r="117" spans="1:33" x14ac:dyDescent="0.3">
      <c r="A117" s="33">
        <v>45809</v>
      </c>
      <c r="C117">
        <f t="shared" si="22"/>
        <v>320245.36587610876</v>
      </c>
      <c r="D117" s="34">
        <f t="shared" si="24"/>
        <v>98943.546194696683</v>
      </c>
      <c r="E117" s="34">
        <f t="shared" si="23"/>
        <v>541547.18555752083</v>
      </c>
      <c r="R117" s="80">
        <v>45809</v>
      </c>
      <c r="S117" s="40">
        <f t="shared" si="18"/>
        <v>114</v>
      </c>
      <c r="T117" s="106">
        <f>Tabla6[[#This Row],[pred]]</f>
        <v>320245.36587610876</v>
      </c>
      <c r="U117" s="74">
        <f t="shared" si="16"/>
        <v>407120.65775781835</v>
      </c>
      <c r="V117" s="74">
        <f t="shared" si="17"/>
        <v>15958.869327775494</v>
      </c>
      <c r="W117" s="74">
        <f>AK$4*(T117/Tabla6[[#This Row],[u]])+(1-AK$4)*W105</f>
        <v>0.78661045509169758</v>
      </c>
      <c r="X117" s="2">
        <f t="shared" si="21"/>
        <v>320245.36587610876</v>
      </c>
      <c r="Y117" s="2"/>
      <c r="AA117" s="17"/>
      <c r="AD117" s="40">
        <f t="shared" si="15"/>
        <v>114</v>
      </c>
      <c r="AF117" s="105">
        <f>Tabla6[[#This Row],[pred]]</f>
        <v>320245.36587610876</v>
      </c>
      <c r="AG117" s="74"/>
    </row>
    <row r="118" spans="1:33" x14ac:dyDescent="0.3">
      <c r="A118" s="33">
        <v>45839</v>
      </c>
      <c r="C118">
        <f t="shared" si="22"/>
        <v>425640.32540137955</v>
      </c>
      <c r="D118" s="34">
        <f t="shared" si="24"/>
        <v>194386.18528478779</v>
      </c>
      <c r="E118" s="34">
        <f t="shared" si="23"/>
        <v>656894.46551797132</v>
      </c>
      <c r="R118" s="79">
        <v>45839</v>
      </c>
      <c r="S118" s="40">
        <f t="shared" si="18"/>
        <v>115</v>
      </c>
      <c r="T118" s="106">
        <f>Tabla6[[#This Row],[pred]]</f>
        <v>425640.32540137955</v>
      </c>
      <c r="U118" s="74">
        <f t="shared" ref="U118:U120" si="25">AI$4*(T118/W106)+(1-AI$4)*(U117+V117)</f>
        <v>423079.52708559384</v>
      </c>
      <c r="V118" s="74">
        <f t="shared" ref="V118:V120" si="26">AJ$4*(U118-U117)+(1-AJ$4)*V117</f>
        <v>15958.869327775494</v>
      </c>
      <c r="W118" s="74">
        <f>AK$4*(T118/Tabla6[[#This Row],[u]])+(1-AK$4)*W106</f>
        <v>1.0060527587648258</v>
      </c>
      <c r="X118" s="2">
        <f>(U117+V117)*W106</f>
        <v>425640.32540137955</v>
      </c>
      <c r="Y118" s="2"/>
      <c r="AA118" s="17"/>
      <c r="AD118" s="40">
        <f t="shared" si="15"/>
        <v>115</v>
      </c>
      <c r="AF118" s="105">
        <f>Tabla6[[#This Row],[pred]]</f>
        <v>425640.32540137955</v>
      </c>
      <c r="AG118" s="83"/>
    </row>
    <row r="119" spans="1:33" x14ac:dyDescent="0.3">
      <c r="A119" s="33">
        <v>45870</v>
      </c>
      <c r="C119">
        <f t="shared" si="22"/>
        <v>228380.05334825744</v>
      </c>
      <c r="D119" s="34">
        <f t="shared" si="24"/>
        <v>-12433.964697062562</v>
      </c>
      <c r="E119" s="34">
        <f t="shared" si="23"/>
        <v>469194.07139357744</v>
      </c>
      <c r="R119" s="80">
        <v>45870</v>
      </c>
      <c r="S119" s="40">
        <f t="shared" si="18"/>
        <v>116</v>
      </c>
      <c r="T119" s="106">
        <f>Tabla6[[#This Row],[pred]]</f>
        <v>405069.35177211993</v>
      </c>
      <c r="U119" s="74">
        <f t="shared" si="25"/>
        <v>439038.39641336934</v>
      </c>
      <c r="V119" s="74">
        <f t="shared" si="26"/>
        <v>15958.869327775494</v>
      </c>
      <c r="W119" s="74">
        <f>AK$4*(T119/Tabla6[[#This Row],[u]])+(1-AK$4)*W107</f>
        <v>0.92262853336119965</v>
      </c>
      <c r="X119" s="2">
        <f t="shared" ref="X119:X123" si="27">(U118+V118)*W107</f>
        <v>405069.35177211993</v>
      </c>
      <c r="Y119" s="2"/>
      <c r="AA119" s="17"/>
      <c r="AD119" s="40">
        <f t="shared" si="15"/>
        <v>116</v>
      </c>
      <c r="AF119" s="108">
        <f>AF107</f>
        <v>228380.05334825744</v>
      </c>
      <c r="AG119" s="83"/>
    </row>
    <row r="120" spans="1:33" x14ac:dyDescent="0.3">
      <c r="A120" s="33">
        <v>45901</v>
      </c>
      <c r="C120">
        <f t="shared" si="22"/>
        <v>242634.35514950968</v>
      </c>
      <c r="D120" s="34">
        <f t="shared" si="24"/>
        <v>-7392.1357279372169</v>
      </c>
      <c r="E120" s="34">
        <f t="shared" si="23"/>
        <v>492660.84602695657</v>
      </c>
      <c r="R120" s="79">
        <v>45901</v>
      </c>
      <c r="S120" s="40">
        <f t="shared" si="18"/>
        <v>117</v>
      </c>
      <c r="T120" s="106">
        <f>Tabla6[[#This Row],[pred]]</f>
        <v>418982.1959742434</v>
      </c>
      <c r="U120" s="74">
        <f t="shared" si="25"/>
        <v>454997.26574114483</v>
      </c>
      <c r="V120" s="74">
        <f t="shared" si="26"/>
        <v>15958.869327775494</v>
      </c>
      <c r="W120" s="74">
        <f>AK$4*(T120/Tabla6[[#This Row],[u]])+(1-AK$4)*W108</f>
        <v>0.92084552484455817</v>
      </c>
      <c r="X120" s="2">
        <f t="shared" si="27"/>
        <v>418982.1959742434</v>
      </c>
      <c r="Y120" s="2"/>
      <c r="AA120" s="17"/>
      <c r="AD120" s="40">
        <f t="shared" si="15"/>
        <v>117</v>
      </c>
      <c r="AF120" s="108">
        <f t="shared" ref="AF120:AF123" si="28">AF108</f>
        <v>242634.35514950968</v>
      </c>
      <c r="AG120" s="83"/>
    </row>
    <row r="121" spans="1:33" x14ac:dyDescent="0.3">
      <c r="A121" s="33">
        <v>45931</v>
      </c>
      <c r="C121">
        <f t="shared" si="22"/>
        <v>279582.02524934371</v>
      </c>
      <c r="D121" s="34">
        <f t="shared" si="24"/>
        <v>20653.36571331881</v>
      </c>
      <c r="E121" s="34">
        <f t="shared" si="23"/>
        <v>538510.68478536862</v>
      </c>
      <c r="R121" s="80">
        <v>45931</v>
      </c>
      <c r="S121" s="40">
        <f t="shared" si="18"/>
        <v>118</v>
      </c>
      <c r="T121" s="106">
        <f>Tabla6[[#This Row],[pred]]</f>
        <v>471179.13731428637</v>
      </c>
      <c r="U121" s="74">
        <f t="shared" ref="U121:U123" si="29">AI$4*(T121/W109)+(1-AI$4)*(U120+V120)</f>
        <v>470956.13506892032</v>
      </c>
      <c r="V121" s="74">
        <f t="shared" ref="V121:V123" si="30">AJ$4*(U121-U120)+(1-AJ$4)*V120</f>
        <v>15958.869327775494</v>
      </c>
      <c r="W121" s="74">
        <f>AK$4*(T121/Tabla6[[#This Row],[u]])+(1-AK$4)*W109</f>
        <v>1.0004735095877526</v>
      </c>
      <c r="X121" s="2">
        <f t="shared" si="27"/>
        <v>471179.13731428637</v>
      </c>
      <c r="Y121" s="2"/>
      <c r="AA121" s="17"/>
      <c r="AD121" s="40">
        <f t="shared" si="15"/>
        <v>118</v>
      </c>
      <c r="AF121" s="108">
        <f t="shared" si="28"/>
        <v>279582.02524934371</v>
      </c>
      <c r="AG121" s="83"/>
    </row>
    <row r="122" spans="1:33" x14ac:dyDescent="0.3">
      <c r="A122" s="33">
        <v>45962</v>
      </c>
      <c r="C122">
        <f t="shared" si="22"/>
        <v>333846.78199004359</v>
      </c>
      <c r="D122" s="34">
        <f t="shared" si="24"/>
        <v>66295.265640363388</v>
      </c>
      <c r="E122" s="34">
        <f t="shared" si="23"/>
        <v>601398.29833972384</v>
      </c>
      <c r="R122" s="79">
        <v>45962</v>
      </c>
      <c r="S122" s="40">
        <f t="shared" si="18"/>
        <v>119</v>
      </c>
      <c r="T122" s="106">
        <f>Tabla6[[#This Row],[pred]]</f>
        <v>550271.80140701681</v>
      </c>
      <c r="U122" s="74">
        <f t="shared" si="29"/>
        <v>486915.00439669582</v>
      </c>
      <c r="V122" s="74">
        <f t="shared" si="30"/>
        <v>15958.869327775494</v>
      </c>
      <c r="W122" s="74">
        <f>AK$4*(T122/Tabla6[[#This Row],[u]])+(1-AK$4)*W110</f>
        <v>1.1301188019227755</v>
      </c>
      <c r="X122" s="2">
        <f t="shared" si="27"/>
        <v>550271.80140701681</v>
      </c>
      <c r="Y122" s="2"/>
      <c r="AA122" s="17"/>
      <c r="AD122" s="40">
        <f t="shared" si="15"/>
        <v>119</v>
      </c>
      <c r="AF122" s="108">
        <f t="shared" si="28"/>
        <v>333846.78199004359</v>
      </c>
      <c r="AG122" s="83"/>
    </row>
    <row r="123" spans="1:33" x14ac:dyDescent="0.3">
      <c r="A123" s="33">
        <v>45992</v>
      </c>
      <c r="C123">
        <f t="shared" si="22"/>
        <v>369736.12717278459</v>
      </c>
      <c r="D123" s="34">
        <f t="shared" si="24"/>
        <v>93814.862127582019</v>
      </c>
      <c r="E123" s="34">
        <f t="shared" si="23"/>
        <v>645657.39221798722</v>
      </c>
      <c r="R123" s="80">
        <v>45992</v>
      </c>
      <c r="S123" s="40">
        <f t="shared" si="18"/>
        <v>120</v>
      </c>
      <c r="T123" s="106">
        <f>Tabla6[[#This Row],[pred]]</f>
        <v>597142.19784085802</v>
      </c>
      <c r="U123" s="74">
        <f t="shared" si="29"/>
        <v>502873.87372447125</v>
      </c>
      <c r="V123" s="74">
        <f t="shared" si="30"/>
        <v>15958.869327775437</v>
      </c>
      <c r="W123" s="74">
        <f>AK$4*(T123/Tabla6[[#This Row],[u]])+(1-AK$4)*W111</f>
        <v>1.1874591802079524</v>
      </c>
      <c r="X123" s="2">
        <f t="shared" si="27"/>
        <v>597142.19784085802</v>
      </c>
      <c r="Y123" s="2"/>
      <c r="AA123" s="17"/>
      <c r="AD123" s="40">
        <f t="shared" si="15"/>
        <v>120</v>
      </c>
      <c r="AF123" s="108">
        <f t="shared" si="28"/>
        <v>369736.12717278459</v>
      </c>
      <c r="AG123" s="83"/>
    </row>
    <row r="124" spans="1:33" x14ac:dyDescent="0.3">
      <c r="AF124" s="74"/>
      <c r="AG124" s="74"/>
    </row>
    <row r="125" spans="1:33" x14ac:dyDescent="0.3">
      <c r="AF125" s="74"/>
      <c r="AG125" s="74"/>
    </row>
    <row r="126" spans="1:33" x14ac:dyDescent="0.3">
      <c r="AF126" s="74"/>
      <c r="AG126" s="74"/>
    </row>
    <row r="127" spans="1:33" x14ac:dyDescent="0.3">
      <c r="AF127" s="74"/>
      <c r="AG127" s="74"/>
    </row>
    <row r="128" spans="1:33" x14ac:dyDescent="0.3">
      <c r="AF128" s="74"/>
      <c r="AG128" s="74"/>
    </row>
    <row r="129" spans="32:33" x14ac:dyDescent="0.3">
      <c r="AF129" s="74"/>
      <c r="AG129" s="74"/>
    </row>
    <row r="130" spans="32:33" x14ac:dyDescent="0.3">
      <c r="AF130" s="74"/>
      <c r="AG130" s="74"/>
    </row>
    <row r="131" spans="32:33" x14ac:dyDescent="0.3">
      <c r="AF131" s="74"/>
      <c r="AG131" s="74"/>
    </row>
  </sheetData>
  <phoneticPr fontId="15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087D-14EB-40A6-B9BF-6D257F3B0246}">
  <dimension ref="A1:BG122"/>
  <sheetViews>
    <sheetView topLeftCell="AX1" zoomScale="85" zoomScaleNormal="85" workbookViewId="0">
      <selection activeCell="BS22" sqref="BS22"/>
    </sheetView>
  </sheetViews>
  <sheetFormatPr baseColWidth="10" defaultRowHeight="13.2" x14ac:dyDescent="0.3"/>
  <cols>
    <col min="2" max="5" width="14.28515625" customWidth="1"/>
  </cols>
  <sheetData>
    <row r="1" spans="1:59" x14ac:dyDescent="0.3">
      <c r="A1" s="5">
        <f>'Single Exponential Smoothing'!AK3</f>
        <v>0.1</v>
      </c>
      <c r="S1" s="5">
        <f>'Single Exponential Smoothing'!T3</f>
        <v>0.4</v>
      </c>
      <c r="AK1" s="64">
        <f>'Single Exponential Smoothing'!U3</f>
        <v>0.7</v>
      </c>
      <c r="AL1" s="37"/>
      <c r="AM1" s="37"/>
      <c r="AN1" s="37"/>
      <c r="AO1" s="37"/>
      <c r="BC1" s="64">
        <f>'Single Exponential Smoothing'!V3</f>
        <v>1</v>
      </c>
      <c r="BD1" s="37"/>
      <c r="BE1" s="37"/>
      <c r="BF1" s="37"/>
      <c r="BG1" s="37"/>
    </row>
    <row r="2" spans="1:59" x14ac:dyDescent="0.3">
      <c r="A2" t="s">
        <v>71</v>
      </c>
      <c r="B2" t="s">
        <v>72</v>
      </c>
      <c r="C2" t="s">
        <v>76</v>
      </c>
      <c r="D2" t="s">
        <v>77</v>
      </c>
      <c r="E2" t="s">
        <v>78</v>
      </c>
      <c r="S2" t="s">
        <v>71</v>
      </c>
      <c r="T2" t="s">
        <v>72</v>
      </c>
      <c r="U2" t="s">
        <v>76</v>
      </c>
      <c r="V2" t="s">
        <v>77</v>
      </c>
      <c r="W2" t="s">
        <v>78</v>
      </c>
      <c r="AK2" t="s">
        <v>71</v>
      </c>
      <c r="AL2" t="s">
        <v>72</v>
      </c>
      <c r="AM2" t="s">
        <v>76</v>
      </c>
      <c r="AN2" t="s">
        <v>77</v>
      </c>
      <c r="AO2" t="s">
        <v>78</v>
      </c>
      <c r="BC2" t="s">
        <v>71</v>
      </c>
      <c r="BD2" t="s">
        <v>72</v>
      </c>
      <c r="BE2" t="s">
        <v>76</v>
      </c>
      <c r="BF2" t="s">
        <v>77</v>
      </c>
      <c r="BG2" t="s">
        <v>78</v>
      </c>
    </row>
    <row r="3" spans="1:59" x14ac:dyDescent="0.3">
      <c r="A3" s="33">
        <v>42370</v>
      </c>
      <c r="B3" s="2">
        <f>Decomposition!C11</f>
        <v>248684</v>
      </c>
      <c r="R3" s="33"/>
      <c r="S3" s="33">
        <v>42370</v>
      </c>
      <c r="T3" s="2">
        <f>Decomposition!C11</f>
        <v>248684</v>
      </c>
      <c r="AJ3" s="33"/>
      <c r="AK3" s="33">
        <v>42370</v>
      </c>
      <c r="AL3" s="2">
        <f>Decomposition!C11</f>
        <v>248684</v>
      </c>
      <c r="BB3" s="33"/>
      <c r="BC3" s="33">
        <v>42370</v>
      </c>
      <c r="BD3" s="2">
        <f>Decomposition!C11</f>
        <v>248684</v>
      </c>
    </row>
    <row r="4" spans="1:59" x14ac:dyDescent="0.3">
      <c r="A4" s="33">
        <v>42401</v>
      </c>
      <c r="B4" s="2">
        <f>Decomposition!C12</f>
        <v>211731</v>
      </c>
      <c r="R4" s="33"/>
      <c r="S4" s="33">
        <v>42401</v>
      </c>
      <c r="T4" s="2">
        <f>Decomposition!C12</f>
        <v>211731</v>
      </c>
      <c r="AJ4" s="33"/>
      <c r="AK4" s="33">
        <v>42401</v>
      </c>
      <c r="AL4" s="2">
        <f>Decomposition!C12</f>
        <v>211731</v>
      </c>
      <c r="BB4" s="33"/>
      <c r="BC4" s="33">
        <v>42401</v>
      </c>
      <c r="BD4" s="2">
        <f>Decomposition!C12</f>
        <v>211731</v>
      </c>
    </row>
    <row r="5" spans="1:59" x14ac:dyDescent="0.3">
      <c r="A5" s="33">
        <v>42430</v>
      </c>
      <c r="B5" s="2">
        <f>Decomposition!C13</f>
        <v>210862</v>
      </c>
      <c r="R5" s="33"/>
      <c r="S5" s="33">
        <v>42430</v>
      </c>
      <c r="T5" s="2">
        <f>Decomposition!C13</f>
        <v>210862</v>
      </c>
      <c r="AJ5" s="33"/>
      <c r="AK5" s="33">
        <v>42430</v>
      </c>
      <c r="AL5" s="2">
        <f>Decomposition!C13</f>
        <v>210862</v>
      </c>
      <c r="BB5" s="33"/>
      <c r="BC5" s="33">
        <v>42430</v>
      </c>
      <c r="BD5" s="2">
        <f>Decomposition!C13</f>
        <v>210862</v>
      </c>
    </row>
    <row r="6" spans="1:59" x14ac:dyDescent="0.3">
      <c r="A6" s="33">
        <v>42461</v>
      </c>
      <c r="B6" s="2">
        <f>Decomposition!C14</f>
        <v>182419</v>
      </c>
      <c r="R6" s="33"/>
      <c r="S6" s="33">
        <v>42461</v>
      </c>
      <c r="T6" s="2">
        <f>Decomposition!C14</f>
        <v>182419</v>
      </c>
      <c r="AJ6" s="33"/>
      <c r="AK6" s="33">
        <v>42461</v>
      </c>
      <c r="AL6" s="2">
        <f>Decomposition!C14</f>
        <v>182419</v>
      </c>
      <c r="BB6" s="33"/>
      <c r="BC6" s="33">
        <v>42461</v>
      </c>
      <c r="BD6" s="2">
        <f>Decomposition!C14</f>
        <v>182419</v>
      </c>
    </row>
    <row r="7" spans="1:59" x14ac:dyDescent="0.3">
      <c r="A7" s="33">
        <v>42491</v>
      </c>
      <c r="B7" s="2">
        <f>Decomposition!C15</f>
        <v>176403</v>
      </c>
      <c r="R7" s="33"/>
      <c r="S7" s="33">
        <v>42491</v>
      </c>
      <c r="T7" s="2">
        <f>Decomposition!C15</f>
        <v>176403</v>
      </c>
      <c r="AJ7" s="33"/>
      <c r="AK7" s="33">
        <v>42491</v>
      </c>
      <c r="AL7" s="2">
        <f>Decomposition!C15</f>
        <v>176403</v>
      </c>
      <c r="BB7" s="33"/>
      <c r="BC7" s="33">
        <v>42491</v>
      </c>
      <c r="BD7" s="2">
        <f>Decomposition!C15</f>
        <v>176403</v>
      </c>
    </row>
    <row r="8" spans="1:59" x14ac:dyDescent="0.3">
      <c r="A8" s="33">
        <v>42522</v>
      </c>
      <c r="B8" s="2">
        <f>Decomposition!C16</f>
        <v>160586</v>
      </c>
      <c r="R8" s="33"/>
      <c r="S8" s="33">
        <v>42522</v>
      </c>
      <c r="T8" s="2">
        <f>Decomposition!C16</f>
        <v>160586</v>
      </c>
      <c r="AJ8" s="33"/>
      <c r="AK8" s="33">
        <v>42522</v>
      </c>
      <c r="AL8" s="2">
        <f>Decomposition!C16</f>
        <v>160586</v>
      </c>
      <c r="BB8" s="33"/>
      <c r="BC8" s="33">
        <v>42522</v>
      </c>
      <c r="BD8" s="2">
        <f>Decomposition!C16</f>
        <v>160586</v>
      </c>
    </row>
    <row r="9" spans="1:59" x14ac:dyDescent="0.3">
      <c r="A9" s="33">
        <v>42552</v>
      </c>
      <c r="B9" s="2">
        <f>Decomposition!C17</f>
        <v>205385</v>
      </c>
      <c r="R9" s="33"/>
      <c r="S9" s="33">
        <v>42552</v>
      </c>
      <c r="T9" s="2">
        <f>Decomposition!C17</f>
        <v>205385</v>
      </c>
      <c r="AJ9" s="33"/>
      <c r="AK9" s="33">
        <v>42552</v>
      </c>
      <c r="AL9" s="2">
        <f>Decomposition!C17</f>
        <v>205385</v>
      </c>
      <c r="BB9" s="33"/>
      <c r="BC9" s="33">
        <v>42552</v>
      </c>
      <c r="BD9" s="2">
        <f>Decomposition!C17</f>
        <v>205385</v>
      </c>
    </row>
    <row r="10" spans="1:59" x14ac:dyDescent="0.3">
      <c r="A10" s="33">
        <v>42583</v>
      </c>
      <c r="B10" s="2">
        <f>Decomposition!C18</f>
        <v>188354</v>
      </c>
      <c r="R10" s="33"/>
      <c r="S10" s="33">
        <v>42583</v>
      </c>
      <c r="T10" s="2">
        <f>Decomposition!C18</f>
        <v>188354</v>
      </c>
      <c r="AJ10" s="33"/>
      <c r="AK10" s="33">
        <v>42583</v>
      </c>
      <c r="AL10" s="2">
        <f>Decomposition!C18</f>
        <v>188354</v>
      </c>
      <c r="BB10" s="33"/>
      <c r="BC10" s="33">
        <v>42583</v>
      </c>
      <c r="BD10" s="2">
        <f>Decomposition!C18</f>
        <v>188354</v>
      </c>
    </row>
    <row r="11" spans="1:59" x14ac:dyDescent="0.3">
      <c r="A11" s="33">
        <v>42614</v>
      </c>
      <c r="B11" s="2">
        <f>Decomposition!C19</f>
        <v>187990</v>
      </c>
      <c r="R11" s="33"/>
      <c r="S11" s="33">
        <v>42614</v>
      </c>
      <c r="T11" s="2">
        <f>Decomposition!C19</f>
        <v>187990</v>
      </c>
      <c r="AJ11" s="33"/>
      <c r="AK11" s="33">
        <v>42614</v>
      </c>
      <c r="AL11" s="2">
        <f>Decomposition!C19</f>
        <v>187990</v>
      </c>
      <c r="BB11" s="33"/>
      <c r="BC11" s="33">
        <v>42614</v>
      </c>
      <c r="BD11" s="2">
        <f>Decomposition!C19</f>
        <v>187990</v>
      </c>
    </row>
    <row r="12" spans="1:59" x14ac:dyDescent="0.3">
      <c r="A12" s="33">
        <v>42644</v>
      </c>
      <c r="B12" s="2">
        <f>Decomposition!C20</f>
        <v>204246</v>
      </c>
      <c r="R12" s="33"/>
      <c r="S12" s="33">
        <v>42644</v>
      </c>
      <c r="T12" s="2">
        <f>Decomposition!C20</f>
        <v>204246</v>
      </c>
      <c r="AJ12" s="33"/>
      <c r="AK12" s="33">
        <v>42644</v>
      </c>
      <c r="AL12" s="2">
        <f>Decomposition!C20</f>
        <v>204246</v>
      </c>
      <c r="BB12" s="33"/>
      <c r="BC12" s="33">
        <v>42644</v>
      </c>
      <c r="BD12" s="2">
        <f>Decomposition!C20</f>
        <v>204246</v>
      </c>
    </row>
    <row r="13" spans="1:59" x14ac:dyDescent="0.3">
      <c r="A13" s="33">
        <v>42675</v>
      </c>
      <c r="B13" s="2">
        <f>Decomposition!C21</f>
        <v>230713</v>
      </c>
      <c r="R13" s="33"/>
      <c r="S13" s="33">
        <v>42675</v>
      </c>
      <c r="T13" s="2">
        <f>Decomposition!C21</f>
        <v>230713</v>
      </c>
      <c r="AJ13" s="33"/>
      <c r="AK13" s="33">
        <v>42675</v>
      </c>
      <c r="AL13" s="2">
        <f>Decomposition!C21</f>
        <v>230713</v>
      </c>
      <c r="BB13" s="33"/>
      <c r="BC13" s="33">
        <v>42675</v>
      </c>
      <c r="BD13" s="2">
        <f>Decomposition!C21</f>
        <v>230713</v>
      </c>
    </row>
    <row r="14" spans="1:59" x14ac:dyDescent="0.3">
      <c r="A14" s="33">
        <v>42705</v>
      </c>
      <c r="B14" s="2">
        <f>Decomposition!C22</f>
        <v>242419</v>
      </c>
      <c r="R14" s="33"/>
      <c r="S14" s="33">
        <v>42705</v>
      </c>
      <c r="T14" s="2">
        <f>Decomposition!C22</f>
        <v>242419</v>
      </c>
      <c r="AJ14" s="33"/>
      <c r="AK14" s="33">
        <v>42705</v>
      </c>
      <c r="AL14" s="2">
        <f>Decomposition!C22</f>
        <v>242419</v>
      </c>
      <c r="BB14" s="33"/>
      <c r="BC14" s="33">
        <v>42705</v>
      </c>
      <c r="BD14" s="2">
        <f>Decomposition!C22</f>
        <v>242419</v>
      </c>
    </row>
    <row r="15" spans="1:59" x14ac:dyDescent="0.3">
      <c r="A15" s="33">
        <v>42736</v>
      </c>
      <c r="B15" s="2">
        <f>Decomposition!C23</f>
        <v>246675</v>
      </c>
      <c r="R15" s="33"/>
      <c r="S15" s="33">
        <v>42736</v>
      </c>
      <c r="T15" s="2">
        <f>Decomposition!C23</f>
        <v>246675</v>
      </c>
      <c r="AJ15" s="33"/>
      <c r="AK15" s="33">
        <v>42736</v>
      </c>
      <c r="AL15" s="2">
        <f>Decomposition!C23</f>
        <v>246675</v>
      </c>
      <c r="BB15" s="33"/>
      <c r="BC15" s="33">
        <v>42736</v>
      </c>
      <c r="BD15" s="2">
        <f>Decomposition!C23</f>
        <v>246675</v>
      </c>
    </row>
    <row r="16" spans="1:59" x14ac:dyDescent="0.3">
      <c r="A16" s="33">
        <v>42767</v>
      </c>
      <c r="B16" s="2">
        <f>Decomposition!C24</f>
        <v>208332</v>
      </c>
      <c r="R16" s="33"/>
      <c r="S16" s="33">
        <v>42767</v>
      </c>
      <c r="T16" s="2">
        <f>Decomposition!C24</f>
        <v>208332</v>
      </c>
      <c r="AJ16" s="33"/>
      <c r="AK16" s="33">
        <v>42767</v>
      </c>
      <c r="AL16" s="2">
        <f>Decomposition!C24</f>
        <v>208332</v>
      </c>
      <c r="BB16" s="33"/>
      <c r="BC16" s="33">
        <v>42767</v>
      </c>
      <c r="BD16" s="2">
        <f>Decomposition!C24</f>
        <v>208332</v>
      </c>
    </row>
    <row r="17" spans="1:56" x14ac:dyDescent="0.3">
      <c r="A17" s="33">
        <v>42795</v>
      </c>
      <c r="B17" s="2">
        <f>Decomposition!C25</f>
        <v>215957</v>
      </c>
      <c r="R17" s="33"/>
      <c r="S17" s="33">
        <v>42795</v>
      </c>
      <c r="T17" s="2">
        <f>Decomposition!C25</f>
        <v>215957</v>
      </c>
      <c r="AJ17" s="33"/>
      <c r="AK17" s="33">
        <v>42795</v>
      </c>
      <c r="AL17" s="2">
        <f>Decomposition!C25</f>
        <v>215957</v>
      </c>
      <c r="BB17" s="33"/>
      <c r="BC17" s="33">
        <v>42795</v>
      </c>
      <c r="BD17" s="2">
        <f>Decomposition!C25</f>
        <v>215957</v>
      </c>
    </row>
    <row r="18" spans="1:56" x14ac:dyDescent="0.3">
      <c r="A18" s="33">
        <v>42826</v>
      </c>
      <c r="B18" s="2">
        <f>Decomposition!C26</f>
        <v>200426</v>
      </c>
      <c r="R18" s="33"/>
      <c r="S18" s="33">
        <v>42826</v>
      </c>
      <c r="T18" s="2">
        <f>Decomposition!C26</f>
        <v>200426</v>
      </c>
      <c r="AJ18" s="33"/>
      <c r="AK18" s="33">
        <v>42826</v>
      </c>
      <c r="AL18" s="2">
        <f>Decomposition!C26</f>
        <v>200426</v>
      </c>
      <c r="BB18" s="33"/>
      <c r="BC18" s="33">
        <v>42826</v>
      </c>
      <c r="BD18" s="2">
        <f>Decomposition!C26</f>
        <v>200426</v>
      </c>
    </row>
    <row r="19" spans="1:56" x14ac:dyDescent="0.3">
      <c r="A19" s="33">
        <v>42856</v>
      </c>
      <c r="B19" s="2">
        <f>Decomposition!C27</f>
        <v>179443</v>
      </c>
      <c r="R19" s="33"/>
      <c r="S19" s="33">
        <v>42856</v>
      </c>
      <c r="T19" s="2">
        <f>Decomposition!C27</f>
        <v>179443</v>
      </c>
      <c r="AJ19" s="33"/>
      <c r="AK19" s="33">
        <v>42856</v>
      </c>
      <c r="AL19" s="2">
        <f>Decomposition!C27</f>
        <v>179443</v>
      </c>
      <c r="BB19" s="33"/>
      <c r="BC19" s="33">
        <v>42856</v>
      </c>
      <c r="BD19" s="2">
        <f>Decomposition!C27</f>
        <v>179443</v>
      </c>
    </row>
    <row r="20" spans="1:56" x14ac:dyDescent="0.3">
      <c r="A20" s="33">
        <v>42887</v>
      </c>
      <c r="B20" s="2">
        <f>Decomposition!C28</f>
        <v>167766</v>
      </c>
      <c r="R20" s="33"/>
      <c r="S20" s="33">
        <v>42887</v>
      </c>
      <c r="T20" s="2">
        <f>Decomposition!C28</f>
        <v>167766</v>
      </c>
      <c r="AJ20" s="33"/>
      <c r="AK20" s="33">
        <v>42887</v>
      </c>
      <c r="AL20" s="2">
        <f>Decomposition!C28</f>
        <v>167766</v>
      </c>
      <c r="BB20" s="33"/>
      <c r="BC20" s="33">
        <v>42887</v>
      </c>
      <c r="BD20" s="2">
        <f>Decomposition!C28</f>
        <v>167766</v>
      </c>
    </row>
    <row r="21" spans="1:56" x14ac:dyDescent="0.3">
      <c r="A21" s="33">
        <v>42917</v>
      </c>
      <c r="B21" s="2">
        <f>Decomposition!C29</f>
        <v>211456</v>
      </c>
      <c r="R21" s="33"/>
      <c r="S21" s="33">
        <v>42917</v>
      </c>
      <c r="T21" s="2">
        <f>Decomposition!C29</f>
        <v>211456</v>
      </c>
      <c r="AJ21" s="33"/>
      <c r="AK21" s="33">
        <v>42917</v>
      </c>
      <c r="AL21" s="2">
        <f>Decomposition!C29</f>
        <v>211456</v>
      </c>
      <c r="BB21" s="33"/>
      <c r="BC21" s="33">
        <v>42917</v>
      </c>
      <c r="BD21" s="2">
        <f>Decomposition!C29</f>
        <v>211456</v>
      </c>
    </row>
    <row r="22" spans="1:56" x14ac:dyDescent="0.3">
      <c r="A22" s="33">
        <v>42948</v>
      </c>
      <c r="B22" s="2">
        <f>Decomposition!C30</f>
        <v>193354</v>
      </c>
      <c r="R22" s="33"/>
      <c r="S22" s="33">
        <v>42948</v>
      </c>
      <c r="T22" s="2">
        <f>Decomposition!C30</f>
        <v>193354</v>
      </c>
      <c r="AJ22" s="33"/>
      <c r="AK22" s="33">
        <v>42948</v>
      </c>
      <c r="AL22" s="2">
        <f>Decomposition!C30</f>
        <v>193354</v>
      </c>
      <c r="BB22" s="33"/>
      <c r="BC22" s="33">
        <v>42948</v>
      </c>
      <c r="BD22" s="2">
        <f>Decomposition!C30</f>
        <v>193354</v>
      </c>
    </row>
    <row r="23" spans="1:56" x14ac:dyDescent="0.3">
      <c r="A23" s="33">
        <v>42979</v>
      </c>
      <c r="B23" s="2">
        <f>Decomposition!C31</f>
        <v>199160</v>
      </c>
      <c r="R23" s="33"/>
      <c r="S23" s="33">
        <v>42979</v>
      </c>
      <c r="T23" s="2">
        <f>Decomposition!C31</f>
        <v>199160</v>
      </c>
      <c r="AJ23" s="33"/>
      <c r="AK23" s="33">
        <v>42979</v>
      </c>
      <c r="AL23" s="2">
        <f>Decomposition!C31</f>
        <v>199160</v>
      </c>
      <c r="BB23" s="33"/>
      <c r="BC23" s="33">
        <v>42979</v>
      </c>
      <c r="BD23" s="2">
        <f>Decomposition!C31</f>
        <v>199160</v>
      </c>
    </row>
    <row r="24" spans="1:56" x14ac:dyDescent="0.3">
      <c r="A24" s="33">
        <v>43009</v>
      </c>
      <c r="B24" s="2">
        <f>Decomposition!C32</f>
        <v>224240</v>
      </c>
      <c r="R24" s="33"/>
      <c r="S24" s="33">
        <v>43009</v>
      </c>
      <c r="T24" s="2">
        <f>Decomposition!C32</f>
        <v>224240</v>
      </c>
      <c r="AJ24" s="33"/>
      <c r="AK24" s="33">
        <v>43009</v>
      </c>
      <c r="AL24" s="2">
        <f>Decomposition!C32</f>
        <v>224240</v>
      </c>
      <c r="BB24" s="33"/>
      <c r="BC24" s="33">
        <v>43009</v>
      </c>
      <c r="BD24" s="2">
        <f>Decomposition!C32</f>
        <v>224240</v>
      </c>
    </row>
    <row r="25" spans="1:56" x14ac:dyDescent="0.3">
      <c r="A25" s="33">
        <v>43040</v>
      </c>
      <c r="B25" s="2">
        <f>Decomposition!C33</f>
        <v>243719</v>
      </c>
      <c r="R25" s="33"/>
      <c r="S25" s="33">
        <v>43040</v>
      </c>
      <c r="T25" s="2">
        <f>Decomposition!C33</f>
        <v>243719</v>
      </c>
      <c r="AJ25" s="33"/>
      <c r="AK25" s="33">
        <v>43040</v>
      </c>
      <c r="AL25" s="2">
        <f>Decomposition!C33</f>
        <v>243719</v>
      </c>
      <c r="BB25" s="33"/>
      <c r="BC25" s="33">
        <v>43040</v>
      </c>
      <c r="BD25" s="2">
        <f>Decomposition!C33</f>
        <v>243719</v>
      </c>
    </row>
    <row r="26" spans="1:56" x14ac:dyDescent="0.3">
      <c r="A26" s="33">
        <v>43070</v>
      </c>
      <c r="B26" s="2">
        <f>Decomposition!C34</f>
        <v>255410</v>
      </c>
      <c r="R26" s="33"/>
      <c r="S26" s="33">
        <v>43070</v>
      </c>
      <c r="T26" s="2">
        <f>Decomposition!C34</f>
        <v>255410</v>
      </c>
      <c r="AJ26" s="33"/>
      <c r="AK26" s="33">
        <v>43070</v>
      </c>
      <c r="AL26" s="2">
        <f>Decomposition!C34</f>
        <v>255410</v>
      </c>
      <c r="BB26" s="33"/>
      <c r="BC26" s="33">
        <v>43070</v>
      </c>
      <c r="BD26" s="2">
        <f>Decomposition!C34</f>
        <v>255410</v>
      </c>
    </row>
    <row r="27" spans="1:56" x14ac:dyDescent="0.3">
      <c r="A27" s="33">
        <v>43101</v>
      </c>
      <c r="B27" s="2">
        <f>Decomposition!C35</f>
        <v>275610</v>
      </c>
      <c r="R27" s="33"/>
      <c r="S27" s="33">
        <v>43101</v>
      </c>
      <c r="T27" s="2">
        <f>Decomposition!C35</f>
        <v>275610</v>
      </c>
      <c r="AJ27" s="33"/>
      <c r="AK27" s="33">
        <v>43101</v>
      </c>
      <c r="AL27" s="2">
        <f>Decomposition!C35</f>
        <v>275610</v>
      </c>
      <c r="BB27" s="33"/>
      <c r="BC27" s="33">
        <v>43101</v>
      </c>
      <c r="BD27" s="2">
        <f>Decomposition!C35</f>
        <v>275610</v>
      </c>
    </row>
    <row r="28" spans="1:56" x14ac:dyDescent="0.3">
      <c r="A28" s="33">
        <v>43132</v>
      </c>
      <c r="B28" s="2">
        <f>Decomposition!C36</f>
        <v>214691</v>
      </c>
      <c r="R28" s="33"/>
      <c r="S28" s="33">
        <v>43132</v>
      </c>
      <c r="T28" s="2">
        <f>Decomposition!C36</f>
        <v>214691</v>
      </c>
      <c r="AJ28" s="33"/>
      <c r="AK28" s="33">
        <v>43132</v>
      </c>
      <c r="AL28" s="2">
        <f>Decomposition!C36</f>
        <v>214691</v>
      </c>
      <c r="BB28" s="33"/>
      <c r="BC28" s="33">
        <v>43132</v>
      </c>
      <c r="BD28" s="2">
        <f>Decomposition!C36</f>
        <v>214691</v>
      </c>
    </row>
    <row r="29" spans="1:56" x14ac:dyDescent="0.3">
      <c r="A29" s="33">
        <v>43160</v>
      </c>
      <c r="B29" s="2">
        <f>Decomposition!C37</f>
        <v>220918</v>
      </c>
      <c r="R29" s="33"/>
      <c r="S29" s="33">
        <v>43160</v>
      </c>
      <c r="T29" s="2">
        <f>Decomposition!C37</f>
        <v>220918</v>
      </c>
      <c r="AJ29" s="33"/>
      <c r="AK29" s="33">
        <v>43160</v>
      </c>
      <c r="AL29" s="2">
        <f>Decomposition!C37</f>
        <v>220918</v>
      </c>
      <c r="BB29" s="33"/>
      <c r="BC29" s="33">
        <v>43160</v>
      </c>
      <c r="BD29" s="2">
        <f>Decomposition!C37</f>
        <v>220918</v>
      </c>
    </row>
    <row r="30" spans="1:56" x14ac:dyDescent="0.3">
      <c r="A30" s="33">
        <v>43191</v>
      </c>
      <c r="B30" s="2">
        <f>Decomposition!C38</f>
        <v>202846</v>
      </c>
      <c r="R30" s="33"/>
      <c r="S30" s="33">
        <v>43191</v>
      </c>
      <c r="T30" s="2">
        <f>Decomposition!C38</f>
        <v>202846</v>
      </c>
      <c r="AJ30" s="33"/>
      <c r="AK30" s="33">
        <v>43191</v>
      </c>
      <c r="AL30" s="2">
        <f>Decomposition!C38</f>
        <v>202846</v>
      </c>
      <c r="BB30" s="33"/>
      <c r="BC30" s="33">
        <v>43191</v>
      </c>
      <c r="BD30" s="2">
        <f>Decomposition!C38</f>
        <v>202846</v>
      </c>
    </row>
    <row r="31" spans="1:56" x14ac:dyDescent="0.3">
      <c r="A31" s="33">
        <v>43221</v>
      </c>
      <c r="B31" s="2">
        <f>Decomposition!C39</f>
        <v>184649</v>
      </c>
      <c r="R31" s="33"/>
      <c r="S31" s="33">
        <v>43221</v>
      </c>
      <c r="T31" s="2">
        <f>Decomposition!C39</f>
        <v>184649</v>
      </c>
      <c r="AJ31" s="33"/>
      <c r="AK31" s="33">
        <v>43221</v>
      </c>
      <c r="AL31" s="2">
        <f>Decomposition!C39</f>
        <v>184649</v>
      </c>
      <c r="BB31" s="33"/>
      <c r="BC31" s="33">
        <v>43221</v>
      </c>
      <c r="BD31" s="2">
        <f>Decomposition!C39</f>
        <v>184649</v>
      </c>
    </row>
    <row r="32" spans="1:56" x14ac:dyDescent="0.3">
      <c r="A32" s="33">
        <v>43252</v>
      </c>
      <c r="B32" s="2">
        <f>Decomposition!C40</f>
        <v>167422</v>
      </c>
      <c r="R32" s="33"/>
      <c r="S32" s="33">
        <v>43252</v>
      </c>
      <c r="T32" s="2">
        <f>Decomposition!C40</f>
        <v>167422</v>
      </c>
      <c r="AJ32" s="33"/>
      <c r="AK32" s="33">
        <v>43252</v>
      </c>
      <c r="AL32" s="2">
        <f>Decomposition!C40</f>
        <v>167422</v>
      </c>
      <c r="BB32" s="33"/>
      <c r="BC32" s="33">
        <v>43252</v>
      </c>
      <c r="BD32" s="2">
        <f>Decomposition!C40</f>
        <v>167422</v>
      </c>
    </row>
    <row r="33" spans="1:56" x14ac:dyDescent="0.3">
      <c r="A33" s="33">
        <v>43282</v>
      </c>
      <c r="B33" s="2">
        <f>Decomposition!C41</f>
        <v>215459</v>
      </c>
      <c r="R33" s="33"/>
      <c r="S33" s="33">
        <v>43282</v>
      </c>
      <c r="T33" s="2">
        <f>Decomposition!C41</f>
        <v>215459</v>
      </c>
      <c r="AJ33" s="33"/>
      <c r="AK33" s="33">
        <v>43282</v>
      </c>
      <c r="AL33" s="2">
        <f>Decomposition!C41</f>
        <v>215459</v>
      </c>
      <c r="BB33" s="33"/>
      <c r="BC33" s="33">
        <v>43282</v>
      </c>
      <c r="BD33" s="2">
        <f>Decomposition!C41</f>
        <v>215459</v>
      </c>
    </row>
    <row r="34" spans="1:56" x14ac:dyDescent="0.3">
      <c r="A34" s="33">
        <v>43313</v>
      </c>
      <c r="B34" s="2">
        <f>Decomposition!C42</f>
        <v>203628</v>
      </c>
      <c r="R34" s="33"/>
      <c r="S34" s="33">
        <v>43313</v>
      </c>
      <c r="T34" s="2">
        <f>Decomposition!C42</f>
        <v>203628</v>
      </c>
      <c r="AJ34" s="33"/>
      <c r="AK34" s="33">
        <v>43313</v>
      </c>
      <c r="AL34" s="2">
        <f>Decomposition!C42</f>
        <v>203628</v>
      </c>
      <c r="BB34" s="33"/>
      <c r="BC34" s="33">
        <v>43313</v>
      </c>
      <c r="BD34" s="2">
        <f>Decomposition!C42</f>
        <v>203628</v>
      </c>
    </row>
    <row r="35" spans="1:56" x14ac:dyDescent="0.3">
      <c r="A35" s="33">
        <v>43344</v>
      </c>
      <c r="B35" s="2">
        <f>Decomposition!C43</f>
        <v>216132</v>
      </c>
      <c r="R35" s="33"/>
      <c r="S35" s="33">
        <v>43344</v>
      </c>
      <c r="T35" s="2">
        <f>Decomposition!C43</f>
        <v>216132</v>
      </c>
      <c r="AJ35" s="33"/>
      <c r="AK35" s="33">
        <v>43344</v>
      </c>
      <c r="AL35" s="2">
        <f>Decomposition!C43</f>
        <v>216132</v>
      </c>
      <c r="BB35" s="33"/>
      <c r="BC35" s="33">
        <v>43344</v>
      </c>
      <c r="BD35" s="2">
        <f>Decomposition!C43</f>
        <v>216132</v>
      </c>
    </row>
    <row r="36" spans="1:56" x14ac:dyDescent="0.3">
      <c r="A36" s="33">
        <v>43374</v>
      </c>
      <c r="B36" s="2">
        <f>Decomposition!C44</f>
        <v>227543</v>
      </c>
      <c r="R36" s="33"/>
      <c r="S36" s="33">
        <v>43374</v>
      </c>
      <c r="T36" s="2">
        <f>Decomposition!C44</f>
        <v>227543</v>
      </c>
      <c r="AJ36" s="33"/>
      <c r="AK36" s="33">
        <v>43374</v>
      </c>
      <c r="AL36" s="2">
        <f>Decomposition!C44</f>
        <v>227543</v>
      </c>
      <c r="BB36" s="33"/>
      <c r="BC36" s="33">
        <v>43374</v>
      </c>
      <c r="BD36" s="2">
        <f>Decomposition!C44</f>
        <v>227543</v>
      </c>
    </row>
    <row r="37" spans="1:56" x14ac:dyDescent="0.3">
      <c r="A37" s="33">
        <v>43405</v>
      </c>
      <c r="B37" s="2">
        <f>Decomposition!C45</f>
        <v>261261</v>
      </c>
      <c r="R37" s="33"/>
      <c r="S37" s="33">
        <v>43405</v>
      </c>
      <c r="T37" s="2">
        <f>Decomposition!C45</f>
        <v>261261</v>
      </c>
      <c r="AJ37" s="33"/>
      <c r="AK37" s="33">
        <v>43405</v>
      </c>
      <c r="AL37" s="2">
        <f>Decomposition!C45</f>
        <v>261261</v>
      </c>
      <c r="BB37" s="33"/>
      <c r="BC37" s="33">
        <v>43405</v>
      </c>
      <c r="BD37" s="2">
        <f>Decomposition!C45</f>
        <v>261261</v>
      </c>
    </row>
    <row r="38" spans="1:56" x14ac:dyDescent="0.3">
      <c r="A38" s="33">
        <v>43435</v>
      </c>
      <c r="B38" s="2">
        <f>Decomposition!C46</f>
        <v>293385</v>
      </c>
      <c r="R38" s="33"/>
      <c r="S38" s="33">
        <v>43435</v>
      </c>
      <c r="T38" s="2">
        <f>Decomposition!C46</f>
        <v>293385</v>
      </c>
      <c r="AJ38" s="33"/>
      <c r="AK38" s="33">
        <v>43435</v>
      </c>
      <c r="AL38" s="2">
        <f>Decomposition!C46</f>
        <v>293385</v>
      </c>
      <c r="BB38" s="33"/>
      <c r="BC38" s="33">
        <v>43435</v>
      </c>
      <c r="BD38" s="2">
        <f>Decomposition!C46</f>
        <v>293385</v>
      </c>
    </row>
    <row r="39" spans="1:56" x14ac:dyDescent="0.3">
      <c r="A39" s="33">
        <v>43466</v>
      </c>
      <c r="B39" s="2">
        <f>Decomposition!C47</f>
        <v>321304</v>
      </c>
      <c r="R39" s="33"/>
      <c r="S39" s="33">
        <v>43466</v>
      </c>
      <c r="T39" s="2">
        <f>Decomposition!C47</f>
        <v>321304</v>
      </c>
      <c r="AJ39" s="33"/>
      <c r="AK39" s="33">
        <v>43466</v>
      </c>
      <c r="AL39" s="2">
        <f>Decomposition!C47</f>
        <v>321304</v>
      </c>
      <c r="BB39" s="33"/>
      <c r="BC39" s="33">
        <v>43466</v>
      </c>
      <c r="BD39" s="2">
        <f>Decomposition!C47</f>
        <v>321304</v>
      </c>
    </row>
    <row r="40" spans="1:56" x14ac:dyDescent="0.3">
      <c r="A40" s="33">
        <v>43497</v>
      </c>
      <c r="B40" s="2">
        <f>Decomposition!C48</f>
        <v>237633</v>
      </c>
      <c r="R40" s="33"/>
      <c r="S40" s="33">
        <v>43497</v>
      </c>
      <c r="T40" s="2">
        <f>Decomposition!C48</f>
        <v>237633</v>
      </c>
      <c r="AJ40" s="33"/>
      <c r="AK40" s="33">
        <v>43497</v>
      </c>
      <c r="AL40" s="2">
        <f>Decomposition!C48</f>
        <v>237633</v>
      </c>
      <c r="BB40" s="33"/>
      <c r="BC40" s="33">
        <v>43497</v>
      </c>
      <c r="BD40" s="2">
        <f>Decomposition!C48</f>
        <v>237633</v>
      </c>
    </row>
    <row r="41" spans="1:56" x14ac:dyDescent="0.3">
      <c r="A41" s="33">
        <v>43525</v>
      </c>
      <c r="B41" s="2">
        <f>Decomposition!C49</f>
        <v>261862</v>
      </c>
      <c r="R41" s="33"/>
      <c r="S41" s="33">
        <v>43525</v>
      </c>
      <c r="T41" s="2">
        <f>Decomposition!C49</f>
        <v>261862</v>
      </c>
      <c r="AJ41" s="33"/>
      <c r="AK41" s="33">
        <v>43525</v>
      </c>
      <c r="AL41" s="2">
        <f>Decomposition!C49</f>
        <v>261862</v>
      </c>
      <c r="BB41" s="33"/>
      <c r="BC41" s="33">
        <v>43525</v>
      </c>
      <c r="BD41" s="2">
        <f>Decomposition!C49</f>
        <v>261862</v>
      </c>
    </row>
    <row r="42" spans="1:56" x14ac:dyDescent="0.3">
      <c r="A42" s="33">
        <v>43556</v>
      </c>
      <c r="B42" s="2">
        <f>Decomposition!C50</f>
        <v>239694</v>
      </c>
      <c r="R42" s="33"/>
      <c r="S42" s="33">
        <v>43556</v>
      </c>
      <c r="T42" s="2">
        <f>Decomposition!C50</f>
        <v>239694</v>
      </c>
      <c r="AJ42" s="33"/>
      <c r="AK42" s="33">
        <v>43556</v>
      </c>
      <c r="AL42" s="2">
        <f>Decomposition!C50</f>
        <v>239694</v>
      </c>
      <c r="BB42" s="33"/>
      <c r="BC42" s="33">
        <v>43556</v>
      </c>
      <c r="BD42" s="2">
        <f>Decomposition!C50</f>
        <v>239694</v>
      </c>
    </row>
    <row r="43" spans="1:56" x14ac:dyDescent="0.3">
      <c r="A43" s="33">
        <v>43586</v>
      </c>
      <c r="B43" s="2">
        <f>Decomposition!C51</f>
        <v>209733</v>
      </c>
      <c r="R43" s="33"/>
      <c r="S43" s="33">
        <v>43586</v>
      </c>
      <c r="T43" s="2">
        <f>Decomposition!C51</f>
        <v>209733</v>
      </c>
      <c r="AJ43" s="33"/>
      <c r="AK43" s="33">
        <v>43586</v>
      </c>
      <c r="AL43" s="2">
        <f>Decomposition!C51</f>
        <v>209733</v>
      </c>
      <c r="BB43" s="33"/>
      <c r="BC43" s="33">
        <v>43586</v>
      </c>
      <c r="BD43" s="2">
        <f>Decomposition!C51</f>
        <v>209733</v>
      </c>
    </row>
    <row r="44" spans="1:56" x14ac:dyDescent="0.3">
      <c r="A44" s="33">
        <v>43617</v>
      </c>
      <c r="B44" s="2">
        <f>Decomposition!C52</f>
        <v>197587</v>
      </c>
      <c r="R44" s="33"/>
      <c r="S44" s="33">
        <v>43617</v>
      </c>
      <c r="T44" s="2">
        <f>Decomposition!C52</f>
        <v>197587</v>
      </c>
      <c r="AJ44" s="33"/>
      <c r="AK44" s="33">
        <v>43617</v>
      </c>
      <c r="AL44" s="2">
        <f>Decomposition!C52</f>
        <v>197587</v>
      </c>
      <c r="BB44" s="33"/>
      <c r="BC44" s="33">
        <v>43617</v>
      </c>
      <c r="BD44" s="2">
        <f>Decomposition!C52</f>
        <v>197587</v>
      </c>
    </row>
    <row r="45" spans="1:56" x14ac:dyDescent="0.3">
      <c r="A45" s="33">
        <v>43647</v>
      </c>
      <c r="B45" s="2">
        <f>Decomposition!C53</f>
        <v>244027</v>
      </c>
      <c r="R45" s="33"/>
      <c r="S45" s="33">
        <v>43647</v>
      </c>
      <c r="T45" s="2">
        <f>Decomposition!C53</f>
        <v>244027</v>
      </c>
      <c r="AJ45" s="33"/>
      <c r="AK45" s="33">
        <v>43647</v>
      </c>
      <c r="AL45" s="2">
        <f>Decomposition!C53</f>
        <v>244027</v>
      </c>
      <c r="BB45" s="33"/>
      <c r="BC45" s="33">
        <v>43647</v>
      </c>
      <c r="BD45" s="2">
        <f>Decomposition!C53</f>
        <v>244027</v>
      </c>
    </row>
    <row r="46" spans="1:56" x14ac:dyDescent="0.3">
      <c r="A46" s="33">
        <v>43678</v>
      </c>
      <c r="B46" s="2">
        <f>Decomposition!C54</f>
        <v>216649</v>
      </c>
      <c r="R46" s="33"/>
      <c r="S46" s="33">
        <v>43678</v>
      </c>
      <c r="T46" s="2">
        <f>Decomposition!C54</f>
        <v>216649</v>
      </c>
      <c r="AJ46" s="33"/>
      <c r="AK46" s="33">
        <v>43678</v>
      </c>
      <c r="AL46" s="2">
        <f>Decomposition!C54</f>
        <v>216649</v>
      </c>
      <c r="BB46" s="33"/>
      <c r="BC46" s="33">
        <v>43678</v>
      </c>
      <c r="BD46" s="2">
        <f>Decomposition!C54</f>
        <v>216649</v>
      </c>
    </row>
    <row r="47" spans="1:56" x14ac:dyDescent="0.3">
      <c r="A47" s="33">
        <v>43709</v>
      </c>
      <c r="B47" s="2">
        <f>Decomposition!C55</f>
        <v>225687</v>
      </c>
      <c r="R47" s="33"/>
      <c r="S47" s="33">
        <v>43709</v>
      </c>
      <c r="T47" s="2">
        <f>Decomposition!C55</f>
        <v>225687</v>
      </c>
      <c r="AJ47" s="33"/>
      <c r="AK47" s="33">
        <v>43709</v>
      </c>
      <c r="AL47" s="2">
        <f>Decomposition!C55</f>
        <v>225687</v>
      </c>
      <c r="BB47" s="33"/>
      <c r="BC47" s="33">
        <v>43709</v>
      </c>
      <c r="BD47" s="2">
        <f>Decomposition!C55</f>
        <v>225687</v>
      </c>
    </row>
    <row r="48" spans="1:56" x14ac:dyDescent="0.3">
      <c r="A48" s="33">
        <v>43739</v>
      </c>
      <c r="B48" s="2">
        <f>Decomposition!C56</f>
        <v>225655</v>
      </c>
      <c r="R48" s="33"/>
      <c r="S48" s="33">
        <v>43739</v>
      </c>
      <c r="T48" s="2">
        <f>Decomposition!C56</f>
        <v>225655</v>
      </c>
      <c r="AJ48" s="33"/>
      <c r="AK48" s="33">
        <v>43739</v>
      </c>
      <c r="AL48" s="2">
        <f>Decomposition!C56</f>
        <v>225655</v>
      </c>
      <c r="BB48" s="33"/>
      <c r="BC48" s="33">
        <v>43739</v>
      </c>
      <c r="BD48" s="2">
        <f>Decomposition!C56</f>
        <v>225655</v>
      </c>
    </row>
    <row r="49" spans="1:56" x14ac:dyDescent="0.3">
      <c r="A49" s="33">
        <v>43770</v>
      </c>
      <c r="B49" s="2">
        <f>Decomposition!C57</f>
        <v>247326</v>
      </c>
      <c r="R49" s="33"/>
      <c r="S49" s="33">
        <v>43770</v>
      </c>
      <c r="T49" s="2">
        <f>Decomposition!C57</f>
        <v>247326</v>
      </c>
      <c r="AJ49" s="33"/>
      <c r="AK49" s="33">
        <v>43770</v>
      </c>
      <c r="AL49" s="2">
        <f>Decomposition!C57</f>
        <v>247326</v>
      </c>
      <c r="BB49" s="33"/>
      <c r="BC49" s="33">
        <v>43770</v>
      </c>
      <c r="BD49" s="2">
        <f>Decomposition!C57</f>
        <v>247326</v>
      </c>
    </row>
    <row r="50" spans="1:56" x14ac:dyDescent="0.3">
      <c r="A50" s="33">
        <v>43800</v>
      </c>
      <c r="B50" s="2">
        <f>Decomposition!C58</f>
        <v>306382</v>
      </c>
      <c r="R50" s="33"/>
      <c r="S50" s="33">
        <v>43800</v>
      </c>
      <c r="T50" s="2">
        <f>Decomposition!C58</f>
        <v>306382</v>
      </c>
      <c r="AJ50" s="33"/>
      <c r="AK50" s="33">
        <v>43800</v>
      </c>
      <c r="AL50" s="2">
        <f>Decomposition!C58</f>
        <v>306382</v>
      </c>
      <c r="BB50" s="33"/>
      <c r="BC50" s="33">
        <v>43800</v>
      </c>
      <c r="BD50" s="2">
        <f>Decomposition!C58</f>
        <v>306382</v>
      </c>
    </row>
    <row r="51" spans="1:56" x14ac:dyDescent="0.3">
      <c r="A51" s="33">
        <v>43831</v>
      </c>
      <c r="B51" s="2">
        <f>Decomposition!C59</f>
        <v>308471</v>
      </c>
      <c r="R51" s="33"/>
      <c r="S51" s="33">
        <v>43831</v>
      </c>
      <c r="T51" s="2">
        <f>Decomposition!C59</f>
        <v>308471</v>
      </c>
      <c r="AJ51" s="33"/>
      <c r="AK51" s="33">
        <v>43831</v>
      </c>
      <c r="AL51" s="2">
        <f>Decomposition!C59</f>
        <v>308471</v>
      </c>
      <c r="BB51" s="33"/>
      <c r="BC51" s="33">
        <v>43831</v>
      </c>
      <c r="BD51" s="2">
        <f>Decomposition!C59</f>
        <v>308471</v>
      </c>
    </row>
    <row r="52" spans="1:56" x14ac:dyDescent="0.3">
      <c r="A52" s="33">
        <v>43862</v>
      </c>
      <c r="B52" s="2">
        <f>Decomposition!C60</f>
        <v>255005</v>
      </c>
      <c r="R52" s="33"/>
      <c r="S52" s="33">
        <v>43862</v>
      </c>
      <c r="T52" s="2">
        <f>Decomposition!C60</f>
        <v>255005</v>
      </c>
      <c r="AJ52" s="33"/>
      <c r="AK52" s="33">
        <v>43862</v>
      </c>
      <c r="AL52" s="2">
        <f>Decomposition!C60</f>
        <v>255005</v>
      </c>
      <c r="BB52" s="33"/>
      <c r="BC52" s="33">
        <v>43862</v>
      </c>
      <c r="BD52" s="2">
        <f>Decomposition!C60</f>
        <v>255005</v>
      </c>
    </row>
    <row r="53" spans="1:56" x14ac:dyDescent="0.3">
      <c r="A53" s="33">
        <v>43891</v>
      </c>
      <c r="B53" s="2">
        <f>Decomposition!C61</f>
        <v>118614</v>
      </c>
      <c r="R53" s="33"/>
      <c r="S53" s="33">
        <v>43891</v>
      </c>
      <c r="T53" s="2">
        <f>Decomposition!C61</f>
        <v>118614</v>
      </c>
      <c r="AJ53" s="33"/>
      <c r="AK53" s="33">
        <v>43891</v>
      </c>
      <c r="AL53" s="2">
        <f>Decomposition!C61</f>
        <v>118614</v>
      </c>
      <c r="BB53" s="33"/>
      <c r="BC53" s="33">
        <v>43891</v>
      </c>
      <c r="BD53" s="2">
        <f>Decomposition!C61</f>
        <v>118614</v>
      </c>
    </row>
    <row r="54" spans="1:56" x14ac:dyDescent="0.3">
      <c r="A54" s="33">
        <v>43922</v>
      </c>
      <c r="B54" s="2">
        <f>Decomposition!C62</f>
        <v>0</v>
      </c>
      <c r="R54" s="33"/>
      <c r="S54" s="33">
        <v>43922</v>
      </c>
      <c r="T54" s="2">
        <f>Decomposition!C62</f>
        <v>0</v>
      </c>
      <c r="AJ54" s="33"/>
      <c r="AK54" s="33">
        <v>43922</v>
      </c>
      <c r="AL54" s="2">
        <f>Decomposition!C62</f>
        <v>0</v>
      </c>
      <c r="BB54" s="33"/>
      <c r="BC54" s="33">
        <v>43922</v>
      </c>
      <c r="BD54" s="2">
        <f>Decomposition!C62</f>
        <v>0</v>
      </c>
    </row>
    <row r="55" spans="1:56" x14ac:dyDescent="0.3">
      <c r="A55" s="33">
        <v>43952</v>
      </c>
      <c r="B55" s="2">
        <f>Decomposition!C63</f>
        <v>0</v>
      </c>
      <c r="R55" s="33"/>
      <c r="S55" s="33">
        <v>43952</v>
      </c>
      <c r="T55" s="2">
        <f>Decomposition!C63</f>
        <v>0</v>
      </c>
      <c r="AJ55" s="33"/>
      <c r="AK55" s="33">
        <v>43952</v>
      </c>
      <c r="AL55" s="2">
        <f>Decomposition!C63</f>
        <v>0</v>
      </c>
      <c r="BB55" s="33"/>
      <c r="BC55" s="33">
        <v>43952</v>
      </c>
      <c r="BD55" s="2">
        <f>Decomposition!C63</f>
        <v>0</v>
      </c>
    </row>
    <row r="56" spans="1:56" x14ac:dyDescent="0.3">
      <c r="A56" s="33">
        <v>43983</v>
      </c>
      <c r="B56" s="2">
        <f>Decomposition!C64</f>
        <v>0</v>
      </c>
      <c r="R56" s="33"/>
      <c r="S56" s="33">
        <v>43983</v>
      </c>
      <c r="T56" s="2">
        <f>Decomposition!C64</f>
        <v>0</v>
      </c>
      <c r="AJ56" s="33"/>
      <c r="AK56" s="33">
        <v>43983</v>
      </c>
      <c r="AL56" s="2">
        <f>Decomposition!C64</f>
        <v>0</v>
      </c>
      <c r="BB56" s="33"/>
      <c r="BC56" s="33">
        <v>43983</v>
      </c>
      <c r="BD56" s="2">
        <f>Decomposition!C64</f>
        <v>0</v>
      </c>
    </row>
    <row r="57" spans="1:56" x14ac:dyDescent="0.3">
      <c r="A57" s="33">
        <v>44013</v>
      </c>
      <c r="B57" s="2">
        <f>Decomposition!C65</f>
        <v>495</v>
      </c>
      <c r="R57" s="33"/>
      <c r="S57" s="33">
        <v>44013</v>
      </c>
      <c r="T57" s="2">
        <f>Decomposition!C65</f>
        <v>495</v>
      </c>
      <c r="AJ57" s="33"/>
      <c r="AK57" s="33">
        <v>44013</v>
      </c>
      <c r="AL57" s="2">
        <f>Decomposition!C65</f>
        <v>495</v>
      </c>
      <c r="BB57" s="33"/>
      <c r="BC57" s="33">
        <v>44013</v>
      </c>
      <c r="BD57" s="2">
        <f>Decomposition!C65</f>
        <v>495</v>
      </c>
    </row>
    <row r="58" spans="1:56" x14ac:dyDescent="0.3">
      <c r="A58" s="33">
        <v>44044</v>
      </c>
      <c r="B58" s="2">
        <f>Decomposition!C66</f>
        <v>890</v>
      </c>
      <c r="R58" s="33"/>
      <c r="S58" s="33">
        <v>44044</v>
      </c>
      <c r="T58" s="2">
        <f>Decomposition!C66</f>
        <v>890</v>
      </c>
      <c r="AJ58" s="33"/>
      <c r="AK58" s="33">
        <v>44044</v>
      </c>
      <c r="AL58" s="2">
        <f>Decomposition!C66</f>
        <v>890</v>
      </c>
      <c r="BB58" s="33"/>
      <c r="BC58" s="33">
        <v>44044</v>
      </c>
      <c r="BD58" s="2">
        <f>Decomposition!C66</f>
        <v>890</v>
      </c>
    </row>
    <row r="59" spans="1:56" x14ac:dyDescent="0.3">
      <c r="A59" s="33">
        <v>44075</v>
      </c>
      <c r="B59" s="2">
        <f>Decomposition!C67</f>
        <v>1392</v>
      </c>
      <c r="R59" s="33"/>
      <c r="S59" s="33">
        <v>44075</v>
      </c>
      <c r="T59" s="2">
        <f>Decomposition!C67</f>
        <v>1392</v>
      </c>
      <c r="AJ59" s="33"/>
      <c r="AK59" s="33">
        <v>44075</v>
      </c>
      <c r="AL59" s="2">
        <f>Decomposition!C67</f>
        <v>1392</v>
      </c>
      <c r="BB59" s="33"/>
      <c r="BC59" s="33">
        <v>44075</v>
      </c>
      <c r="BD59" s="2">
        <f>Decomposition!C67</f>
        <v>1392</v>
      </c>
    </row>
    <row r="60" spans="1:56" x14ac:dyDescent="0.3">
      <c r="A60" s="33">
        <v>44105</v>
      </c>
      <c r="B60" s="2">
        <f>Decomposition!C68</f>
        <v>1829</v>
      </c>
      <c r="R60" s="33"/>
      <c r="S60" s="33">
        <v>44105</v>
      </c>
      <c r="T60" s="2">
        <f>Decomposition!C68</f>
        <v>1829</v>
      </c>
      <c r="AJ60" s="33"/>
      <c r="AK60" s="33">
        <v>44105</v>
      </c>
      <c r="AL60" s="2">
        <f>Decomposition!C68</f>
        <v>1829</v>
      </c>
      <c r="BB60" s="33"/>
      <c r="BC60" s="33">
        <v>44105</v>
      </c>
      <c r="BD60" s="2">
        <f>Decomposition!C68</f>
        <v>1829</v>
      </c>
    </row>
    <row r="61" spans="1:56" x14ac:dyDescent="0.3">
      <c r="A61" s="33">
        <v>44136</v>
      </c>
      <c r="B61" s="2">
        <f>Decomposition!C69</f>
        <v>3897</v>
      </c>
      <c r="R61" s="33"/>
      <c r="S61" s="33">
        <v>44136</v>
      </c>
      <c r="T61" s="2">
        <f>Decomposition!C69</f>
        <v>3897</v>
      </c>
      <c r="AJ61" s="33"/>
      <c r="AK61" s="33">
        <v>44136</v>
      </c>
      <c r="AL61" s="2">
        <f>Decomposition!C69</f>
        <v>3897</v>
      </c>
      <c r="BB61" s="33"/>
      <c r="BC61" s="33">
        <v>44136</v>
      </c>
      <c r="BD61" s="2">
        <f>Decomposition!C69</f>
        <v>3897</v>
      </c>
    </row>
    <row r="62" spans="1:56" x14ac:dyDescent="0.3">
      <c r="A62" s="33">
        <v>44166</v>
      </c>
      <c r="B62" s="2">
        <f>Decomposition!C70</f>
        <v>7865</v>
      </c>
      <c r="R62" s="33"/>
      <c r="S62" s="33">
        <v>44166</v>
      </c>
      <c r="T62" s="2">
        <f>Decomposition!C70</f>
        <v>7865</v>
      </c>
      <c r="AJ62" s="33"/>
      <c r="AK62" s="33">
        <v>44166</v>
      </c>
      <c r="AL62" s="2">
        <f>Decomposition!C70</f>
        <v>7865</v>
      </c>
      <c r="BB62" s="33"/>
      <c r="BC62" s="33">
        <v>44166</v>
      </c>
      <c r="BD62" s="2">
        <f>Decomposition!C70</f>
        <v>7865</v>
      </c>
    </row>
    <row r="63" spans="1:56" x14ac:dyDescent="0.3">
      <c r="A63" s="33">
        <v>44197</v>
      </c>
      <c r="B63" s="2">
        <f>Decomposition!C71</f>
        <v>8229</v>
      </c>
      <c r="R63" s="33"/>
      <c r="S63" s="33">
        <v>44197</v>
      </c>
      <c r="T63" s="2">
        <f>Decomposition!C71</f>
        <v>8229</v>
      </c>
      <c r="AJ63" s="33"/>
      <c r="AK63" s="33">
        <v>44197</v>
      </c>
      <c r="AL63" s="2">
        <f>Decomposition!C71</f>
        <v>8229</v>
      </c>
      <c r="BB63" s="33"/>
      <c r="BC63" s="33">
        <v>44197</v>
      </c>
      <c r="BD63" s="2">
        <f>Decomposition!C71</f>
        <v>8229</v>
      </c>
    </row>
    <row r="64" spans="1:56" x14ac:dyDescent="0.3">
      <c r="A64" s="33">
        <v>44228</v>
      </c>
      <c r="B64" s="2">
        <f>Decomposition!C72</f>
        <v>3648</v>
      </c>
      <c r="R64" s="33"/>
      <c r="S64" s="33">
        <v>44228</v>
      </c>
      <c r="T64" s="2">
        <f>Decomposition!C72</f>
        <v>3648</v>
      </c>
      <c r="AJ64" s="33"/>
      <c r="AK64" s="33">
        <v>44228</v>
      </c>
      <c r="AL64" s="2">
        <f>Decomposition!C72</f>
        <v>3648</v>
      </c>
      <c r="BB64" s="33"/>
      <c r="BC64" s="33">
        <v>44228</v>
      </c>
      <c r="BD64" s="2">
        <f>Decomposition!C72</f>
        <v>3648</v>
      </c>
    </row>
    <row r="65" spans="1:56" x14ac:dyDescent="0.3">
      <c r="A65" s="33">
        <v>44256</v>
      </c>
      <c r="B65" s="2">
        <f>Decomposition!C73</f>
        <v>5784</v>
      </c>
      <c r="R65" s="33"/>
      <c r="S65" s="33">
        <v>44256</v>
      </c>
      <c r="T65" s="2">
        <f>Decomposition!C73</f>
        <v>5784</v>
      </c>
      <c r="AJ65" s="33"/>
      <c r="AK65" s="33">
        <v>44256</v>
      </c>
      <c r="AL65" s="2">
        <f>Decomposition!C73</f>
        <v>5784</v>
      </c>
      <c r="BB65" s="33"/>
      <c r="BC65" s="33">
        <v>44256</v>
      </c>
      <c r="BD65" s="2">
        <f>Decomposition!C73</f>
        <v>5784</v>
      </c>
    </row>
    <row r="66" spans="1:56" x14ac:dyDescent="0.3">
      <c r="A66" s="33">
        <v>44287</v>
      </c>
      <c r="B66" s="2">
        <f>Decomposition!C74</f>
        <v>4959</v>
      </c>
      <c r="R66" s="33"/>
      <c r="S66" s="33">
        <v>44287</v>
      </c>
      <c r="T66" s="2">
        <f>Decomposition!C74</f>
        <v>4959</v>
      </c>
      <c r="AJ66" s="33"/>
      <c r="AK66" s="33">
        <v>44287</v>
      </c>
      <c r="AL66" s="2">
        <f>Decomposition!C74</f>
        <v>4959</v>
      </c>
      <c r="BB66" s="33"/>
      <c r="BC66" s="33">
        <v>44287</v>
      </c>
      <c r="BD66" s="2">
        <f>Decomposition!C74</f>
        <v>4959</v>
      </c>
    </row>
    <row r="67" spans="1:56" x14ac:dyDescent="0.3">
      <c r="A67" s="33">
        <v>44317</v>
      </c>
      <c r="B67" s="2">
        <f>Decomposition!C75</f>
        <v>3361</v>
      </c>
      <c r="R67" s="33"/>
      <c r="S67" s="33">
        <v>44317</v>
      </c>
      <c r="T67" s="2">
        <f>Decomposition!C75</f>
        <v>3361</v>
      </c>
      <c r="AJ67" s="33"/>
      <c r="AK67" s="33">
        <v>44317</v>
      </c>
      <c r="AL67" s="2">
        <f>Decomposition!C75</f>
        <v>3361</v>
      </c>
      <c r="BB67" s="33"/>
      <c r="BC67" s="33">
        <v>44317</v>
      </c>
      <c r="BD67" s="2">
        <f>Decomposition!C75</f>
        <v>3361</v>
      </c>
    </row>
    <row r="68" spans="1:56" x14ac:dyDescent="0.3">
      <c r="A68" s="33">
        <v>44348</v>
      </c>
      <c r="B68" s="2">
        <f>Decomposition!C76</f>
        <v>2643</v>
      </c>
      <c r="R68" s="33"/>
      <c r="S68" s="33">
        <v>44348</v>
      </c>
      <c r="T68" s="2">
        <f>Decomposition!C76</f>
        <v>2643</v>
      </c>
      <c r="AJ68" s="33"/>
      <c r="AK68" s="33">
        <v>44348</v>
      </c>
      <c r="AL68" s="2">
        <f>Decomposition!C76</f>
        <v>2643</v>
      </c>
      <c r="BB68" s="33"/>
      <c r="BC68" s="33">
        <v>44348</v>
      </c>
      <c r="BD68" s="2">
        <f>Decomposition!C76</f>
        <v>2643</v>
      </c>
    </row>
    <row r="69" spans="1:56" x14ac:dyDescent="0.3">
      <c r="A69" s="33">
        <v>44378</v>
      </c>
      <c r="B69" s="2">
        <f>Decomposition!C77</f>
        <v>2004</v>
      </c>
      <c r="R69" s="33"/>
      <c r="S69" s="33">
        <v>44378</v>
      </c>
      <c r="T69" s="2">
        <f>Decomposition!C77</f>
        <v>2004</v>
      </c>
      <c r="AJ69" s="33"/>
      <c r="AK69" s="33">
        <v>44378</v>
      </c>
      <c r="AL69" s="2">
        <f>Decomposition!C77</f>
        <v>2004</v>
      </c>
      <c r="BB69" s="33"/>
      <c r="BC69" s="33">
        <v>44378</v>
      </c>
      <c r="BD69" s="2">
        <f>Decomposition!C77</f>
        <v>2004</v>
      </c>
    </row>
    <row r="70" spans="1:56" x14ac:dyDescent="0.3">
      <c r="A70" s="33">
        <v>44409</v>
      </c>
      <c r="B70" s="2">
        <f>Decomposition!C78</f>
        <v>1883</v>
      </c>
      <c r="R70" s="33"/>
      <c r="S70" s="33">
        <v>44409</v>
      </c>
      <c r="T70" s="2">
        <f>Decomposition!C78</f>
        <v>1883</v>
      </c>
      <c r="AJ70" s="33"/>
      <c r="AK70" s="33">
        <v>44409</v>
      </c>
      <c r="AL70" s="2">
        <f>Decomposition!C78</f>
        <v>1883</v>
      </c>
      <c r="BB70" s="33"/>
      <c r="BC70" s="33">
        <v>44409</v>
      </c>
      <c r="BD70" s="2">
        <f>Decomposition!C78</f>
        <v>1883</v>
      </c>
    </row>
    <row r="71" spans="1:56" x14ac:dyDescent="0.3">
      <c r="A71" s="33">
        <v>44440</v>
      </c>
      <c r="B71" s="2">
        <f>Decomposition!C79</f>
        <v>1959</v>
      </c>
      <c r="R71" s="33"/>
      <c r="S71" s="33">
        <v>44440</v>
      </c>
      <c r="T71" s="2">
        <f>Decomposition!C79</f>
        <v>1959</v>
      </c>
      <c r="AJ71" s="33"/>
      <c r="AK71" s="33">
        <v>44440</v>
      </c>
      <c r="AL71" s="2">
        <f>Decomposition!C79</f>
        <v>1959</v>
      </c>
      <c r="BB71" s="33"/>
      <c r="BC71" s="33">
        <v>44440</v>
      </c>
      <c r="BD71" s="2">
        <f>Decomposition!C79</f>
        <v>1959</v>
      </c>
    </row>
    <row r="72" spans="1:56" x14ac:dyDescent="0.3">
      <c r="A72" s="33">
        <v>44470</v>
      </c>
      <c r="B72" s="2">
        <f>Decomposition!C80</f>
        <v>9770</v>
      </c>
      <c r="R72" s="33"/>
      <c r="S72" s="33">
        <v>44470</v>
      </c>
      <c r="T72" s="2">
        <f>Decomposition!C80</f>
        <v>9770</v>
      </c>
      <c r="AJ72" s="33"/>
      <c r="AK72" s="33">
        <v>44470</v>
      </c>
      <c r="AL72" s="2">
        <f>Decomposition!C80</f>
        <v>9770</v>
      </c>
      <c r="BB72" s="33"/>
      <c r="BC72" s="33">
        <v>44470</v>
      </c>
      <c r="BD72" s="2">
        <f>Decomposition!C80</f>
        <v>9770</v>
      </c>
    </row>
    <row r="73" spans="1:56" x14ac:dyDescent="0.3">
      <c r="A73" s="33">
        <v>44501</v>
      </c>
      <c r="B73" s="2">
        <f>Decomposition!C81</f>
        <v>35285</v>
      </c>
      <c r="R73" s="33"/>
      <c r="S73" s="33">
        <v>44501</v>
      </c>
      <c r="T73" s="2">
        <f>Decomposition!C81</f>
        <v>35285</v>
      </c>
      <c r="AJ73" s="33"/>
      <c r="AK73" s="33">
        <v>44501</v>
      </c>
      <c r="AL73" s="2">
        <f>Decomposition!C81</f>
        <v>35285</v>
      </c>
      <c r="BB73" s="33"/>
      <c r="BC73" s="33">
        <v>44501</v>
      </c>
      <c r="BD73" s="2">
        <f>Decomposition!C81</f>
        <v>35285</v>
      </c>
    </row>
    <row r="74" spans="1:56" x14ac:dyDescent="0.3">
      <c r="A74" s="33">
        <v>44531</v>
      </c>
      <c r="B74" s="2">
        <f>Decomposition!C82</f>
        <v>53384</v>
      </c>
      <c r="R74" s="33"/>
      <c r="S74" s="33">
        <v>44531</v>
      </c>
      <c r="T74" s="2">
        <f>Decomposition!C82</f>
        <v>53384</v>
      </c>
      <c r="AJ74" s="33"/>
      <c r="AK74" s="33">
        <v>44531</v>
      </c>
      <c r="AL74" s="2">
        <f>Decomposition!C82</f>
        <v>53384</v>
      </c>
      <c r="BB74" s="33"/>
      <c r="BC74" s="33">
        <v>44531</v>
      </c>
      <c r="BD74" s="2">
        <f>Decomposition!C82</f>
        <v>53384</v>
      </c>
    </row>
    <row r="75" spans="1:56" x14ac:dyDescent="0.3">
      <c r="A75" s="33">
        <v>44562</v>
      </c>
      <c r="B75" s="2">
        <f>Decomposition!C83</f>
        <v>65077</v>
      </c>
      <c r="R75" s="33"/>
      <c r="S75" s="33">
        <v>44562</v>
      </c>
      <c r="T75" s="2">
        <f>Decomposition!C83</f>
        <v>65077</v>
      </c>
      <c r="AJ75" s="33"/>
      <c r="AK75" s="33">
        <v>44562</v>
      </c>
      <c r="AL75" s="2">
        <f>Decomposition!C83</f>
        <v>65077</v>
      </c>
      <c r="BB75" s="33"/>
      <c r="BC75" s="33">
        <v>44562</v>
      </c>
      <c r="BD75" s="2">
        <f>Decomposition!C83</f>
        <v>65077</v>
      </c>
    </row>
    <row r="76" spans="1:56" x14ac:dyDescent="0.3">
      <c r="A76" s="33">
        <v>44593</v>
      </c>
      <c r="B76" s="2">
        <f>Decomposition!C84</f>
        <v>54803</v>
      </c>
      <c r="R76" s="33"/>
      <c r="S76" s="33">
        <v>44593</v>
      </c>
      <c r="T76" s="2">
        <f>Decomposition!C84</f>
        <v>54803</v>
      </c>
      <c r="AJ76" s="33"/>
      <c r="AK76" s="33">
        <v>44593</v>
      </c>
      <c r="AL76" s="2">
        <f>Decomposition!C84</f>
        <v>54803</v>
      </c>
      <c r="BB76" s="33"/>
      <c r="BC76" s="33">
        <v>44593</v>
      </c>
      <c r="BD76" s="2">
        <f>Decomposition!C84</f>
        <v>54803</v>
      </c>
    </row>
    <row r="77" spans="1:56" x14ac:dyDescent="0.3">
      <c r="A77" s="33">
        <v>44621</v>
      </c>
      <c r="B77" s="2">
        <f>Decomposition!C85</f>
        <v>86454</v>
      </c>
      <c r="R77" s="33"/>
      <c r="S77" s="33">
        <v>44621</v>
      </c>
      <c r="T77" s="2">
        <f>Decomposition!C85</f>
        <v>86454</v>
      </c>
      <c r="AJ77" s="33"/>
      <c r="AK77" s="33">
        <v>44621</v>
      </c>
      <c r="AL77" s="2">
        <f>Decomposition!C85</f>
        <v>86454</v>
      </c>
      <c r="BB77" s="33"/>
      <c r="BC77" s="33">
        <v>44621</v>
      </c>
      <c r="BD77" s="2">
        <f>Decomposition!C85</f>
        <v>86454</v>
      </c>
    </row>
    <row r="78" spans="1:56" x14ac:dyDescent="0.3">
      <c r="A78" s="33">
        <v>44652</v>
      </c>
      <c r="B78" s="2">
        <f>Decomposition!C86</f>
        <v>117027</v>
      </c>
      <c r="R78" s="33"/>
      <c r="S78" s="33">
        <v>44652</v>
      </c>
      <c r="T78" s="2">
        <f>Decomposition!C86</f>
        <v>117027</v>
      </c>
      <c r="AJ78" s="33"/>
      <c r="AK78" s="33">
        <v>44652</v>
      </c>
      <c r="AL78" s="2">
        <f>Decomposition!C86</f>
        <v>117027</v>
      </c>
      <c r="BB78" s="33"/>
      <c r="BC78" s="33">
        <v>44652</v>
      </c>
      <c r="BD78" s="2">
        <f>Decomposition!C86</f>
        <v>117027</v>
      </c>
    </row>
    <row r="79" spans="1:56" x14ac:dyDescent="0.3">
      <c r="A79" s="33">
        <v>44682</v>
      </c>
      <c r="B79" s="2">
        <f>Decomposition!C87</f>
        <v>112595</v>
      </c>
      <c r="R79" s="33"/>
      <c r="S79" s="33">
        <v>44682</v>
      </c>
      <c r="T79" s="2">
        <f>Decomposition!C87</f>
        <v>112595</v>
      </c>
      <c r="AJ79" s="33"/>
      <c r="AK79" s="33">
        <v>44682</v>
      </c>
      <c r="AL79" s="2">
        <f>Decomposition!C87</f>
        <v>112595</v>
      </c>
      <c r="BB79" s="33"/>
      <c r="BC79" s="33">
        <v>44682</v>
      </c>
      <c r="BD79" s="2">
        <f>Decomposition!C87</f>
        <v>112595</v>
      </c>
    </row>
    <row r="80" spans="1:56" x14ac:dyDescent="0.3">
      <c r="A80" s="33">
        <v>44713</v>
      </c>
      <c r="B80" s="2">
        <f>Decomposition!C88</f>
        <v>104309</v>
      </c>
      <c r="R80" s="33"/>
      <c r="S80" s="33">
        <v>44713</v>
      </c>
      <c r="T80" s="2">
        <f>Decomposition!C88</f>
        <v>104309</v>
      </c>
      <c r="AJ80" s="33"/>
      <c r="AK80" s="33">
        <v>44713</v>
      </c>
      <c r="AL80" s="2">
        <f>Decomposition!C88</f>
        <v>104309</v>
      </c>
      <c r="BB80" s="33"/>
      <c r="BC80" s="33">
        <v>44713</v>
      </c>
      <c r="BD80" s="2">
        <f>Decomposition!C88</f>
        <v>104309</v>
      </c>
    </row>
    <row r="81" spans="1:56" x14ac:dyDescent="0.3">
      <c r="A81" s="33">
        <v>44743</v>
      </c>
      <c r="B81" s="2">
        <f>Decomposition!C89</f>
        <v>147686</v>
      </c>
      <c r="R81" s="33"/>
      <c r="S81" s="33">
        <v>44743</v>
      </c>
      <c r="T81" s="2">
        <f>Decomposition!C89</f>
        <v>147686</v>
      </c>
      <c r="AJ81" s="33"/>
      <c r="AK81" s="33">
        <v>44743</v>
      </c>
      <c r="AL81" s="2">
        <f>Decomposition!C89</f>
        <v>147686</v>
      </c>
      <c r="BB81" s="33"/>
      <c r="BC81" s="33">
        <v>44743</v>
      </c>
      <c r="BD81" s="2">
        <f>Decomposition!C89</f>
        <v>147686</v>
      </c>
    </row>
    <row r="82" spans="1:56" x14ac:dyDescent="0.3">
      <c r="A82" s="33">
        <v>44774</v>
      </c>
      <c r="B82" s="2">
        <f>Decomposition!C90</f>
        <v>143140</v>
      </c>
      <c r="R82" s="33"/>
      <c r="S82" s="33">
        <v>44774</v>
      </c>
      <c r="T82" s="2">
        <f>Decomposition!C90</f>
        <v>143140</v>
      </c>
      <c r="AJ82" s="33"/>
      <c r="AK82" s="33">
        <v>44774</v>
      </c>
      <c r="AL82" s="2">
        <f>Decomposition!C90</f>
        <v>143140</v>
      </c>
      <c r="BB82" s="33"/>
      <c r="BC82" s="33">
        <v>44774</v>
      </c>
      <c r="BD82" s="2">
        <f>Decomposition!C90</f>
        <v>143140</v>
      </c>
    </row>
    <row r="83" spans="1:56" x14ac:dyDescent="0.3">
      <c r="A83" s="33">
        <v>44805</v>
      </c>
      <c r="B83" s="2">
        <f>Decomposition!C91</f>
        <v>147480</v>
      </c>
      <c r="R83" s="33"/>
      <c r="S83" s="33">
        <v>44805</v>
      </c>
      <c r="T83" s="2">
        <f>Decomposition!C91</f>
        <v>147480</v>
      </c>
      <c r="AJ83" s="33"/>
      <c r="AK83" s="33">
        <v>44805</v>
      </c>
      <c r="AL83" s="2">
        <f>Decomposition!C91</f>
        <v>147480</v>
      </c>
      <c r="BB83" s="33"/>
      <c r="BC83" s="33">
        <v>44805</v>
      </c>
      <c r="BD83" s="2">
        <f>Decomposition!C91</f>
        <v>147480</v>
      </c>
    </row>
    <row r="84" spans="1:56" x14ac:dyDescent="0.3">
      <c r="A84" s="33">
        <v>44835</v>
      </c>
      <c r="B84" s="2">
        <f>Decomposition!C92</f>
        <v>165092</v>
      </c>
      <c r="R84" s="33"/>
      <c r="S84" s="33">
        <v>44835</v>
      </c>
      <c r="T84" s="2">
        <f>Decomposition!C92</f>
        <v>165092</v>
      </c>
      <c r="AJ84" s="33"/>
      <c r="AK84" s="33">
        <v>44835</v>
      </c>
      <c r="AL84" s="2">
        <f>Decomposition!C92</f>
        <v>165092</v>
      </c>
      <c r="BB84" s="33"/>
      <c r="BC84" s="33">
        <v>44835</v>
      </c>
      <c r="BD84" s="2">
        <f>Decomposition!C92</f>
        <v>165092</v>
      </c>
    </row>
    <row r="85" spans="1:56" x14ac:dyDescent="0.3">
      <c r="A85" s="33">
        <v>44866</v>
      </c>
      <c r="B85" s="2">
        <f>Decomposition!C93</f>
        <v>196077</v>
      </c>
      <c r="R85" s="33"/>
      <c r="S85" s="33">
        <v>44866</v>
      </c>
      <c r="T85" s="2">
        <f>Decomposition!C93</f>
        <v>196077</v>
      </c>
      <c r="AJ85" s="33"/>
      <c r="AK85" s="33">
        <v>44866</v>
      </c>
      <c r="AL85" s="2">
        <f>Decomposition!C93</f>
        <v>196077</v>
      </c>
      <c r="BB85" s="33"/>
      <c r="BC85" s="33">
        <v>44866</v>
      </c>
      <c r="BD85" s="2">
        <f>Decomposition!C93</f>
        <v>196077</v>
      </c>
    </row>
    <row r="86" spans="1:56" x14ac:dyDescent="0.3">
      <c r="A86" s="33">
        <v>44896</v>
      </c>
      <c r="B86" s="2">
        <f>Decomposition!C94</f>
        <v>183609</v>
      </c>
      <c r="R86" s="33"/>
      <c r="S86" s="33">
        <v>44896</v>
      </c>
      <c r="T86" s="2">
        <f>Decomposition!C94</f>
        <v>183609</v>
      </c>
      <c r="AJ86" s="33"/>
      <c r="AK86" s="33">
        <v>44896</v>
      </c>
      <c r="AL86" s="2">
        <f>Decomposition!C94</f>
        <v>183609</v>
      </c>
      <c r="BB86" s="33"/>
      <c r="BC86" s="33">
        <v>44896</v>
      </c>
      <c r="BD86" s="2">
        <f>Decomposition!C94</f>
        <v>183609</v>
      </c>
    </row>
    <row r="87" spans="1:56" x14ac:dyDescent="0.3">
      <c r="A87" s="33">
        <v>44927</v>
      </c>
      <c r="B87" s="2">
        <f>Decomposition!C95</f>
        <v>239235</v>
      </c>
      <c r="R87" s="33"/>
      <c r="S87" s="33">
        <v>44927</v>
      </c>
      <c r="T87" s="2">
        <f>Decomposition!C95</f>
        <v>239235</v>
      </c>
      <c r="AJ87" s="33"/>
      <c r="AK87" s="33">
        <v>44927</v>
      </c>
      <c r="AL87" s="2">
        <f>Decomposition!C95</f>
        <v>239235</v>
      </c>
      <c r="BB87" s="33"/>
      <c r="BC87" s="33">
        <v>44927</v>
      </c>
      <c r="BD87" s="2">
        <f>Decomposition!C95</f>
        <v>239235</v>
      </c>
    </row>
    <row r="88" spans="1:56" x14ac:dyDescent="0.3">
      <c r="A88" s="33">
        <v>44958</v>
      </c>
      <c r="B88" s="2">
        <f>Decomposition!C96</f>
        <v>205935</v>
      </c>
      <c r="R88" s="33"/>
      <c r="S88" s="33">
        <v>44958</v>
      </c>
      <c r="T88" s="2">
        <f>Decomposition!C96</f>
        <v>205935</v>
      </c>
      <c r="AJ88" s="33"/>
      <c r="AK88" s="33">
        <v>44958</v>
      </c>
      <c r="AL88" s="2">
        <f>Decomposition!C96</f>
        <v>205935</v>
      </c>
      <c r="BB88" s="33"/>
      <c r="BC88" s="33">
        <v>44958</v>
      </c>
      <c r="BD88" s="2">
        <f>Decomposition!C96</f>
        <v>205935</v>
      </c>
    </row>
    <row r="89" spans="1:56" x14ac:dyDescent="0.3">
      <c r="A89" s="33">
        <v>44986</v>
      </c>
      <c r="B89" s="2">
        <f>Decomposition!C97</f>
        <v>221206</v>
      </c>
      <c r="R89" s="33"/>
      <c r="S89" s="33">
        <v>44986</v>
      </c>
      <c r="T89" s="2">
        <f>Decomposition!C97</f>
        <v>221206</v>
      </c>
      <c r="AJ89" s="33"/>
      <c r="AK89" s="33">
        <v>44986</v>
      </c>
      <c r="AL89" s="2">
        <f>Decomposition!C97</f>
        <v>221206</v>
      </c>
      <c r="BB89" s="33"/>
      <c r="BC89" s="33">
        <v>44986</v>
      </c>
      <c r="BD89" s="2">
        <f>Decomposition!C97</f>
        <v>221206</v>
      </c>
    </row>
    <row r="90" spans="1:56" x14ac:dyDescent="0.3">
      <c r="A90" s="33">
        <v>45017</v>
      </c>
      <c r="B90" s="2">
        <f>Decomposition!C98</f>
        <v>222626</v>
      </c>
      <c r="R90" s="33"/>
      <c r="S90" s="33">
        <v>45017</v>
      </c>
      <c r="T90" s="2">
        <f>Decomposition!C98</f>
        <v>222626</v>
      </c>
      <c r="AJ90" s="33"/>
      <c r="AK90" s="33">
        <v>45017</v>
      </c>
      <c r="AL90" s="2">
        <f>Decomposition!C98</f>
        <v>222626</v>
      </c>
      <c r="BB90" s="33"/>
      <c r="BC90" s="33">
        <v>45017</v>
      </c>
      <c r="BD90" s="2">
        <f>Decomposition!C98</f>
        <v>222626</v>
      </c>
    </row>
    <row r="91" spans="1:56" x14ac:dyDescent="0.3">
      <c r="A91" s="33">
        <v>45047</v>
      </c>
      <c r="B91" s="2">
        <f>Decomposition!C99</f>
        <v>196288</v>
      </c>
      <c r="R91" s="33"/>
      <c r="S91" s="33">
        <v>45047</v>
      </c>
      <c r="T91" s="2">
        <f>Decomposition!C99</f>
        <v>196288</v>
      </c>
      <c r="AJ91" s="33"/>
      <c r="AK91" s="33">
        <v>45047</v>
      </c>
      <c r="AL91" s="2">
        <f>Decomposition!C99</f>
        <v>196288</v>
      </c>
      <c r="BB91" s="33"/>
      <c r="BC91" s="33">
        <v>45047</v>
      </c>
      <c r="BD91" s="2">
        <f>Decomposition!C99</f>
        <v>196288</v>
      </c>
    </row>
    <row r="92" spans="1:56" x14ac:dyDescent="0.3">
      <c r="A92" s="33">
        <v>45078</v>
      </c>
      <c r="B92" s="2">
        <f>Decomposition!C100</f>
        <v>199427</v>
      </c>
      <c r="R92" s="33"/>
      <c r="S92" s="33">
        <v>45078</v>
      </c>
      <c r="T92" s="2">
        <f>Decomposition!C100</f>
        <v>199427</v>
      </c>
      <c r="AJ92" s="33"/>
      <c r="AK92" s="33">
        <v>45078</v>
      </c>
      <c r="AL92" s="2">
        <f>Decomposition!C100</f>
        <v>199427</v>
      </c>
      <c r="BB92" s="33"/>
      <c r="BC92" s="33">
        <v>45078</v>
      </c>
      <c r="BD92" s="2">
        <f>Decomposition!C100</f>
        <v>199427</v>
      </c>
    </row>
    <row r="93" spans="1:56" x14ac:dyDescent="0.3">
      <c r="A93" s="33">
        <v>45108</v>
      </c>
      <c r="B93" s="2">
        <f>Decomposition!C101</f>
        <v>263563</v>
      </c>
      <c r="R93" s="33"/>
      <c r="S93" s="33">
        <v>45108</v>
      </c>
      <c r="T93" s="2">
        <f>Decomposition!C101</f>
        <v>263563</v>
      </c>
      <c r="AJ93" s="33"/>
      <c r="AK93" s="33">
        <v>45108</v>
      </c>
      <c r="AL93" s="2">
        <f>Decomposition!C101</f>
        <v>263563</v>
      </c>
      <c r="BB93" s="33"/>
      <c r="BC93" s="33">
        <v>45108</v>
      </c>
      <c r="BD93" s="2">
        <f>Decomposition!C101</f>
        <v>263563</v>
      </c>
    </row>
    <row r="94" spans="1:56" x14ac:dyDescent="0.3">
      <c r="A94" s="33">
        <v>45139</v>
      </c>
      <c r="B94" s="2">
        <f>Decomposition!C102</f>
        <v>236928</v>
      </c>
      <c r="R94" s="33"/>
      <c r="S94" s="33">
        <v>45139</v>
      </c>
      <c r="T94" s="2">
        <f>Decomposition!C102</f>
        <v>236928</v>
      </c>
      <c r="AJ94" s="33"/>
      <c r="AK94" s="33">
        <v>45139</v>
      </c>
      <c r="AL94" s="2">
        <f>Decomposition!C102</f>
        <v>236928</v>
      </c>
      <c r="BB94" s="33"/>
      <c r="BC94" s="33">
        <v>45139</v>
      </c>
      <c r="BD94" s="2">
        <f>Decomposition!C102</f>
        <v>236928</v>
      </c>
    </row>
    <row r="95" spans="1:56" x14ac:dyDescent="0.3">
      <c r="A95" s="33">
        <v>45170</v>
      </c>
      <c r="B95" s="2">
        <f>Decomposition!C103</f>
        <v>239336</v>
      </c>
      <c r="R95" s="33"/>
      <c r="S95" s="33">
        <v>45170</v>
      </c>
      <c r="T95" s="2">
        <f>Decomposition!C103</f>
        <v>239336</v>
      </c>
      <c r="AJ95" s="33"/>
      <c r="AK95" s="33">
        <v>45170</v>
      </c>
      <c r="AL95" s="2">
        <f>Decomposition!C103</f>
        <v>239336</v>
      </c>
      <c r="BB95" s="33"/>
      <c r="BC95" s="33">
        <v>45170</v>
      </c>
      <c r="BD95" s="2">
        <f>Decomposition!C103</f>
        <v>239336</v>
      </c>
    </row>
    <row r="96" spans="1:56" x14ac:dyDescent="0.3">
      <c r="A96" s="33">
        <v>45200</v>
      </c>
      <c r="B96" s="2">
        <f>Decomposition!C104</f>
        <v>262043</v>
      </c>
      <c r="R96" s="33"/>
      <c r="S96" s="33">
        <v>45200</v>
      </c>
      <c r="T96" s="2">
        <f>Decomposition!C104</f>
        <v>262043</v>
      </c>
      <c r="AJ96" s="33"/>
      <c r="AK96" s="33">
        <v>45200</v>
      </c>
      <c r="AL96" s="2">
        <f>Decomposition!C104</f>
        <v>262043</v>
      </c>
      <c r="BB96" s="33"/>
      <c r="BC96" s="33">
        <v>45200</v>
      </c>
      <c r="BD96" s="2">
        <f>Decomposition!C104</f>
        <v>262043</v>
      </c>
    </row>
    <row r="97" spans="1:59" x14ac:dyDescent="0.3">
      <c r="A97" s="33">
        <v>45231</v>
      </c>
      <c r="B97" s="2">
        <f>Decomposition!C105</f>
        <v>311342</v>
      </c>
      <c r="R97" s="33"/>
      <c r="S97" s="33">
        <v>45231</v>
      </c>
      <c r="T97" s="2">
        <f>Decomposition!C105</f>
        <v>311342</v>
      </c>
      <c r="AJ97" s="33"/>
      <c r="AK97" s="33">
        <v>45231</v>
      </c>
      <c r="AL97" s="2">
        <f>Decomposition!C105</f>
        <v>311342</v>
      </c>
      <c r="BB97" s="33"/>
      <c r="BC97" s="33">
        <v>45231</v>
      </c>
      <c r="BD97" s="2">
        <f>Decomposition!C105</f>
        <v>311342</v>
      </c>
    </row>
    <row r="98" spans="1:59" x14ac:dyDescent="0.3">
      <c r="A98" s="33">
        <v>45261</v>
      </c>
      <c r="B98" s="2">
        <f>Decomposition!C106</f>
        <v>274711</v>
      </c>
      <c r="R98" s="33"/>
      <c r="S98" s="33">
        <v>45261</v>
      </c>
      <c r="T98" s="2">
        <f>Decomposition!C106</f>
        <v>274711</v>
      </c>
      <c r="AJ98" s="33"/>
      <c r="AK98" s="33">
        <v>45261</v>
      </c>
      <c r="AL98" s="2">
        <f>Decomposition!C106</f>
        <v>274711</v>
      </c>
      <c r="BB98" s="33"/>
      <c r="BC98" s="33">
        <v>45261</v>
      </c>
      <c r="BD98" s="2">
        <f>Decomposition!C106</f>
        <v>274711</v>
      </c>
    </row>
    <row r="99" spans="1:59" x14ac:dyDescent="0.3">
      <c r="A99" s="33">
        <v>45292</v>
      </c>
      <c r="B99" s="2">
        <f>Decomposition!C107</f>
        <v>327427</v>
      </c>
      <c r="R99" s="33"/>
      <c r="S99" s="33">
        <v>45292</v>
      </c>
      <c r="T99" s="2">
        <f>Decomposition!C107</f>
        <v>327427</v>
      </c>
      <c r="AJ99" s="33"/>
      <c r="AK99" s="33">
        <v>45292</v>
      </c>
      <c r="AL99" s="2">
        <f>Decomposition!C107</f>
        <v>327427</v>
      </c>
      <c r="BB99" s="33"/>
      <c r="BC99" s="33">
        <v>45292</v>
      </c>
      <c r="BD99" s="2">
        <f>Decomposition!C107</f>
        <v>327427</v>
      </c>
    </row>
    <row r="100" spans="1:59" x14ac:dyDescent="0.3">
      <c r="A100" s="33">
        <v>45323</v>
      </c>
      <c r="B100" s="2">
        <f>Decomposition!C108</f>
        <v>256687</v>
      </c>
      <c r="R100" s="33"/>
      <c r="S100" s="33">
        <v>45323</v>
      </c>
      <c r="T100" s="2">
        <f>Decomposition!C108</f>
        <v>256687</v>
      </c>
      <c r="AJ100" s="33"/>
      <c r="AK100" s="33">
        <v>45323</v>
      </c>
      <c r="AL100" s="2">
        <f>Decomposition!C108</f>
        <v>256687</v>
      </c>
      <c r="BB100" s="33"/>
      <c r="BC100" s="33">
        <v>45323</v>
      </c>
      <c r="BD100" s="2">
        <f>Decomposition!C108</f>
        <v>256687</v>
      </c>
    </row>
    <row r="101" spans="1:59" x14ac:dyDescent="0.3">
      <c r="A101" s="33">
        <v>45352</v>
      </c>
      <c r="B101" s="2">
        <f>Decomposition!C109</f>
        <v>278366</v>
      </c>
      <c r="D101" s="34"/>
      <c r="E101" s="34"/>
      <c r="R101" s="33"/>
      <c r="S101" s="33">
        <v>45352</v>
      </c>
      <c r="T101" s="2">
        <f>Decomposition!C109</f>
        <v>278366</v>
      </c>
      <c r="V101" s="34"/>
      <c r="W101" s="34"/>
      <c r="AJ101" s="33"/>
      <c r="AK101" s="33">
        <v>45352</v>
      </c>
      <c r="AL101" s="2">
        <f>Decomposition!C109</f>
        <v>278366</v>
      </c>
      <c r="AN101" s="34"/>
      <c r="AO101" s="34"/>
      <c r="BB101" s="33"/>
      <c r="BC101" s="33">
        <v>45352</v>
      </c>
      <c r="BD101" s="2">
        <f>Decomposition!C109</f>
        <v>278366</v>
      </c>
      <c r="BF101" s="34"/>
      <c r="BG101" s="34"/>
    </row>
    <row r="102" spans="1:59" x14ac:dyDescent="0.3">
      <c r="A102" s="33">
        <v>45383</v>
      </c>
      <c r="B102" s="2">
        <f>Decomposition!C110</f>
        <v>224410</v>
      </c>
      <c r="C102" s="9"/>
      <c r="D102" s="34"/>
      <c r="E102" s="34"/>
      <c r="R102" s="33"/>
      <c r="S102" s="33">
        <v>45383</v>
      </c>
      <c r="T102" s="2">
        <f>Decomposition!C110</f>
        <v>224410</v>
      </c>
      <c r="U102" s="9"/>
      <c r="V102" s="34"/>
      <c r="W102" s="34"/>
      <c r="AJ102" s="33"/>
      <c r="AK102" s="33">
        <v>45383</v>
      </c>
      <c r="AL102" s="2">
        <f>Decomposition!C110</f>
        <v>224410</v>
      </c>
      <c r="AM102" s="9"/>
      <c r="AN102" s="34"/>
      <c r="AO102" s="34"/>
      <c r="BB102" s="33"/>
      <c r="BC102" s="33">
        <v>45383</v>
      </c>
      <c r="BD102" s="2">
        <f>Decomposition!C110</f>
        <v>224410</v>
      </c>
      <c r="BE102" s="9"/>
      <c r="BF102" s="34"/>
      <c r="BG102" s="34"/>
    </row>
    <row r="103" spans="1:59" x14ac:dyDescent="0.3">
      <c r="A103" s="33">
        <v>45413</v>
      </c>
      <c r="B103" s="2">
        <f>Decomposition!C111</f>
        <v>182803</v>
      </c>
      <c r="C103" s="9"/>
      <c r="D103" s="34"/>
      <c r="E103" s="34"/>
      <c r="R103" s="33"/>
      <c r="S103" s="33">
        <v>45413</v>
      </c>
      <c r="T103" s="2">
        <f>Decomposition!C111</f>
        <v>182803</v>
      </c>
      <c r="U103" s="9"/>
      <c r="V103" s="34"/>
      <c r="W103" s="34"/>
      <c r="AJ103" s="33"/>
      <c r="AK103" s="33">
        <v>45413</v>
      </c>
      <c r="AL103" s="2">
        <f>Decomposition!C111</f>
        <v>182803</v>
      </c>
      <c r="AM103" s="9"/>
      <c r="AN103" s="34"/>
      <c r="AO103" s="34"/>
      <c r="BB103" s="33"/>
      <c r="BC103" s="33">
        <v>45413</v>
      </c>
      <c r="BD103" s="2">
        <f>Decomposition!C111</f>
        <v>182803</v>
      </c>
      <c r="BE103" s="9"/>
      <c r="BF103" s="34"/>
      <c r="BG103" s="34"/>
    </row>
    <row r="104" spans="1:59" x14ac:dyDescent="0.3">
      <c r="A104" s="33">
        <v>45444</v>
      </c>
      <c r="B104" s="2">
        <f>Decomposition!C112</f>
        <v>169847</v>
      </c>
      <c r="C104" s="9"/>
      <c r="D104" s="9"/>
      <c r="E104" s="9"/>
      <c r="R104" s="33"/>
      <c r="S104" s="33">
        <v>45444</v>
      </c>
      <c r="T104" s="2">
        <f>Decomposition!C112</f>
        <v>169847</v>
      </c>
      <c r="AJ104" s="33"/>
      <c r="AK104" s="33">
        <v>45444</v>
      </c>
      <c r="AL104" s="2">
        <f>Decomposition!C112</f>
        <v>169847</v>
      </c>
      <c r="AM104" s="9"/>
      <c r="AN104" s="34"/>
      <c r="AO104" s="34"/>
      <c r="BB104" s="33"/>
      <c r="BC104" s="33">
        <v>45444</v>
      </c>
      <c r="BD104" s="2">
        <f>Decomposition!C112</f>
        <v>169847</v>
      </c>
      <c r="BE104" s="9"/>
      <c r="BF104" s="34"/>
      <c r="BG104" s="34"/>
    </row>
    <row r="105" spans="1:59" x14ac:dyDescent="0.3">
      <c r="A105" s="33">
        <v>45474</v>
      </c>
      <c r="B105" s="2">
        <f>Decomposition!C113</f>
        <v>233105</v>
      </c>
      <c r="C105" s="9">
        <f>Tabla1313[[#This Row],[SUM de Turistas CABA]]</f>
        <v>233105</v>
      </c>
      <c r="D105" s="34">
        <v>233105</v>
      </c>
      <c r="E105" s="34">
        <v>233105</v>
      </c>
      <c r="R105" s="33"/>
      <c r="S105" s="33">
        <v>45474</v>
      </c>
      <c r="T105" s="2">
        <f>Decomposition!C113</f>
        <v>233105</v>
      </c>
      <c r="U105" s="9">
        <v>233105</v>
      </c>
      <c r="V105" s="9">
        <v>233105</v>
      </c>
      <c r="W105" s="9">
        <v>233105</v>
      </c>
      <c r="AJ105" s="33"/>
      <c r="AK105" s="33">
        <v>45474</v>
      </c>
      <c r="AL105" s="2">
        <f>Decomposition!C113</f>
        <v>233105</v>
      </c>
      <c r="AM105" s="9">
        <v>233105</v>
      </c>
      <c r="AN105" s="9">
        <v>233105</v>
      </c>
      <c r="AO105" s="9">
        <v>233105</v>
      </c>
      <c r="BB105" s="33"/>
      <c r="BC105" s="33">
        <v>45474</v>
      </c>
      <c r="BD105" s="2">
        <f>Decomposition!C113</f>
        <v>233105</v>
      </c>
      <c r="BE105" s="9">
        <v>233105</v>
      </c>
      <c r="BF105" s="9">
        <v>233105</v>
      </c>
      <c r="BG105" s="9">
        <v>233105</v>
      </c>
    </row>
    <row r="106" spans="1:59" x14ac:dyDescent="0.3">
      <c r="A106" s="33">
        <v>45505</v>
      </c>
      <c r="C106" s="9">
        <f>'Single Exponential Smoothing'!S116</f>
        <v>176608.78789642052</v>
      </c>
      <c r="D106" s="34">
        <f t="shared" ref="D106:D122" si="0">C106-_xlfn.FORECAST.ETS.CONFINT(A106,$B$3:$B$104,$A$3:$A$104,0.95,1,1)</f>
        <v>84030.652389258845</v>
      </c>
      <c r="E106" s="34">
        <f t="shared" ref="E106:E122" si="1">C106+_xlfn.FORECAST.ETS.CONFINT(A106,$B$3:$B$101,$A$3:$A$101,0.95,1,1)</f>
        <v>321831.51601761801</v>
      </c>
      <c r="R106" s="33"/>
      <c r="S106" s="33">
        <v>45505</v>
      </c>
      <c r="U106" s="9">
        <f>'Single Exponential Smoothing'!T116</f>
        <v>195099.7373551669</v>
      </c>
      <c r="V106" s="34">
        <f t="shared" ref="V106:V122" si="2">U106-_xlfn.FORECAST.ETS.CONFINT(S106,$T$3:$T$104,$S$3:$S$104,0.95,1,1)</f>
        <v>102521.60184800523</v>
      </c>
      <c r="W106" s="34">
        <f t="shared" ref="W106:W122" si="3">U106+_xlfn.FORECAST.ETS.CONFINT(S106,$T$3:$T$104,$S$3:$S$104,0.95,1,1)</f>
        <v>287677.87286232854</v>
      </c>
      <c r="AJ106" s="33"/>
      <c r="AK106" s="33">
        <v>45505</v>
      </c>
      <c r="AM106" s="9">
        <f>'Single Exponential Smoothing'!U116</f>
        <v>201225.06543024571</v>
      </c>
      <c r="AN106" s="34">
        <f t="shared" ref="AN106:AN122" si="4">AM106-_xlfn.FORECAST.ETS.CONFINT(AK106,$AL$3:$AL$104,$AK$3:$AK$104,0.95,1,1)</f>
        <v>108646.92992308404</v>
      </c>
      <c r="AO106" s="34">
        <f t="shared" ref="AO106:AO122" si="5">AM106+_xlfn.FORECAST.ETS.CONFINT(AK106,$AL$3:$AL$104,$AK$3:$AK$104,0.95,1,1)</f>
        <v>293803.20093740738</v>
      </c>
      <c r="BB106" s="33"/>
      <c r="BC106" s="33">
        <v>45505</v>
      </c>
      <c r="BE106" s="9">
        <f>'Single Exponential Smoothing'!V116</f>
        <v>205943.90186849731</v>
      </c>
      <c r="BF106" s="34">
        <f t="shared" ref="BF106:BF122" si="6">BE106-_xlfn.FORECAST.ETS.CONFINT(BC106,$BD$3:$BD$104,$BC$3:$BC$104,0.95,1,1)</f>
        <v>113365.76636133564</v>
      </c>
      <c r="BG106" s="34">
        <f t="shared" ref="BG106:BG122" si="7">BE106+_xlfn.FORECAST.ETS.CONFINT(BC106,$BD$3:$BD$104,$BC$3:$BC$104,0.95,1,1)</f>
        <v>298522.03737565898</v>
      </c>
    </row>
    <row r="107" spans="1:59" x14ac:dyDescent="0.3">
      <c r="A107" s="33">
        <v>45536</v>
      </c>
      <c r="C107" s="9">
        <f>'Single Exponential Smoothing'!S117</f>
        <v>191032.69336933657</v>
      </c>
      <c r="D107" s="34">
        <f t="shared" si="0"/>
        <v>77629.191398553972</v>
      </c>
      <c r="E107" s="34">
        <f t="shared" si="1"/>
        <v>350185.19085717958</v>
      </c>
      <c r="R107" s="33"/>
      <c r="S107" s="33">
        <v>45536</v>
      </c>
      <c r="U107" s="9">
        <f>'Single Exponential Smoothing'!T117</f>
        <v>211033.82649603186</v>
      </c>
      <c r="V107" s="34">
        <f t="shared" si="2"/>
        <v>97630.324525249263</v>
      </c>
      <c r="W107" s="34">
        <f t="shared" si="3"/>
        <v>324437.32846681448</v>
      </c>
      <c r="AJ107" s="33"/>
      <c r="AK107" s="33">
        <v>45536</v>
      </c>
      <c r="AM107" s="9">
        <f>'Single Exponential Smoothing'!U117</f>
        <v>217659.41933255253</v>
      </c>
      <c r="AN107" s="34">
        <f t="shared" si="4"/>
        <v>104255.91736176993</v>
      </c>
      <c r="AO107" s="34">
        <f t="shared" si="5"/>
        <v>331062.92130333511</v>
      </c>
      <c r="BB107" s="33"/>
      <c r="BC107" s="33">
        <v>45536</v>
      </c>
      <c r="BE107" s="9">
        <f>'Single Exponential Smoothing'!V117</f>
        <v>222763.65024374175</v>
      </c>
      <c r="BF107" s="34">
        <f t="shared" si="6"/>
        <v>109360.14827295915</v>
      </c>
      <c r="BG107" s="34">
        <f t="shared" si="7"/>
        <v>336167.15221452434</v>
      </c>
    </row>
    <row r="108" spans="1:59" x14ac:dyDescent="0.3">
      <c r="A108" s="33">
        <v>45566</v>
      </c>
      <c r="C108" s="9">
        <f>'Single Exponential Smoothing'!S118</f>
        <v>213954.04196426546</v>
      </c>
      <c r="D108" s="34">
        <f t="shared" si="0"/>
        <v>82963.275418276433</v>
      </c>
      <c r="E108" s="34">
        <f t="shared" si="1"/>
        <v>385936.17113773688</v>
      </c>
      <c r="R108" s="33"/>
      <c r="S108" s="33">
        <v>45566</v>
      </c>
      <c r="U108" s="9">
        <f>'Single Exponential Smoothing'!T118</f>
        <v>236355.04150442436</v>
      </c>
      <c r="V108" s="34">
        <f t="shared" si="2"/>
        <v>105364.27495843533</v>
      </c>
      <c r="W108" s="34">
        <f t="shared" si="3"/>
        <v>367345.80805041338</v>
      </c>
      <c r="AJ108" s="33"/>
      <c r="AK108" s="33">
        <v>45566</v>
      </c>
      <c r="AM108" s="9">
        <f>'Single Exponential Smoothing'!U118</f>
        <v>243775.61618607002</v>
      </c>
      <c r="AN108" s="34">
        <f t="shared" si="4"/>
        <v>112784.849640081</v>
      </c>
      <c r="AO108" s="34">
        <f t="shared" si="5"/>
        <v>374766.38273205905</v>
      </c>
      <c r="BB108" s="33"/>
      <c r="BC108" s="33">
        <v>45566</v>
      </c>
      <c r="BE108" s="9">
        <f>'Single Exponential Smoothing'!V118</f>
        <v>249492.28601523119</v>
      </c>
      <c r="BF108" s="34">
        <f t="shared" si="6"/>
        <v>118501.51946924216</v>
      </c>
      <c r="BG108" s="34">
        <f t="shared" si="7"/>
        <v>380483.05256122025</v>
      </c>
    </row>
    <row r="109" spans="1:59" x14ac:dyDescent="0.3">
      <c r="A109" s="33">
        <v>45597</v>
      </c>
      <c r="C109" s="9">
        <f>'Single Exponential Smoothing'!S119</f>
        <v>273420.44728753262</v>
      </c>
      <c r="D109" s="34">
        <f t="shared" si="0"/>
        <v>126909.69772807515</v>
      </c>
      <c r="E109" s="34">
        <f t="shared" si="1"/>
        <v>457362.43566249381</v>
      </c>
      <c r="R109" s="33"/>
      <c r="S109" s="33">
        <v>45597</v>
      </c>
      <c r="U109" s="9">
        <f>'Single Exponential Smoothing'!T119</f>
        <v>302047.58261868492</v>
      </c>
      <c r="V109" s="34">
        <f t="shared" si="2"/>
        <v>155536.83305922744</v>
      </c>
      <c r="W109" s="34">
        <f t="shared" si="3"/>
        <v>448558.33217814239</v>
      </c>
      <c r="AJ109" s="33"/>
      <c r="AK109" s="33">
        <v>45597</v>
      </c>
      <c r="AM109" s="9">
        <f>'Single Exponential Smoothing'!U119</f>
        <v>311530.63248284667</v>
      </c>
      <c r="AN109" s="34">
        <f t="shared" si="4"/>
        <v>165019.8829233892</v>
      </c>
      <c r="AO109" s="34">
        <f t="shared" si="5"/>
        <v>458041.38204230415</v>
      </c>
      <c r="BB109" s="33"/>
      <c r="BC109" s="33">
        <v>45597</v>
      </c>
      <c r="BE109" s="9">
        <f>'Single Exponential Smoothing'!V119</f>
        <v>318836.19402930932</v>
      </c>
      <c r="BF109" s="34">
        <f t="shared" si="6"/>
        <v>172325.44446985185</v>
      </c>
      <c r="BG109" s="34">
        <f t="shared" si="7"/>
        <v>465346.94358876679</v>
      </c>
    </row>
    <row r="110" spans="1:59" x14ac:dyDescent="0.3">
      <c r="A110" s="33">
        <v>45627</v>
      </c>
      <c r="C110" s="9">
        <f>'Single Exponential Smoothing'!S120</f>
        <v>325035.36880513048</v>
      </c>
      <c r="D110" s="34">
        <f t="shared" si="0"/>
        <v>164471.30281579317</v>
      </c>
      <c r="E110" s="34">
        <f t="shared" si="1"/>
        <v>520227.40983806306</v>
      </c>
      <c r="R110" s="33"/>
      <c r="S110" s="33">
        <v>45627</v>
      </c>
      <c r="U110" s="9">
        <f>'Single Exponential Smoothing'!T120</f>
        <v>359066.58915643935</v>
      </c>
      <c r="V110" s="34">
        <f t="shared" si="2"/>
        <v>198502.52316710204</v>
      </c>
      <c r="W110" s="34">
        <f t="shared" si="3"/>
        <v>519630.65514577669</v>
      </c>
      <c r="AJ110" s="33"/>
      <c r="AK110" s="33">
        <v>45627</v>
      </c>
      <c r="AM110" s="9">
        <f>'Single Exponential Smoothing'!U120</f>
        <v>370339.80094646272</v>
      </c>
      <c r="AN110" s="34">
        <f t="shared" si="4"/>
        <v>209775.73495712542</v>
      </c>
      <c r="AO110" s="34">
        <f t="shared" si="5"/>
        <v>530903.86693580006</v>
      </c>
      <c r="BB110" s="33"/>
      <c r="BC110" s="33">
        <v>45627</v>
      </c>
      <c r="BE110" s="9">
        <f>'Single Exponential Smoothing'!V120</f>
        <v>379024.46924812021</v>
      </c>
      <c r="BF110" s="34">
        <f t="shared" si="6"/>
        <v>218460.4032587829</v>
      </c>
      <c r="BG110" s="34">
        <f t="shared" si="7"/>
        <v>539588.53523745749</v>
      </c>
    </row>
    <row r="111" spans="1:59" x14ac:dyDescent="0.3">
      <c r="A111" s="33">
        <v>45658</v>
      </c>
      <c r="C111" s="9">
        <f>'Single Exponential Smoothing'!S121</f>
        <v>355076.86793691729</v>
      </c>
      <c r="D111" s="34">
        <f t="shared" si="0"/>
        <v>181569.3806308803</v>
      </c>
      <c r="E111" s="34">
        <f t="shared" si="1"/>
        <v>560925.58561557217</v>
      </c>
      <c r="R111" s="33"/>
      <c r="S111" s="33">
        <v>45658</v>
      </c>
      <c r="U111" s="9">
        <f>'Single Exponential Smoothing'!T121</f>
        <v>392253.43484049762</v>
      </c>
      <c r="V111" s="34">
        <f t="shared" si="2"/>
        <v>218745.94753446063</v>
      </c>
      <c r="W111" s="34">
        <f t="shared" si="3"/>
        <v>565760.92214653455</v>
      </c>
      <c r="AJ111" s="33"/>
      <c r="AK111" s="33">
        <v>45658</v>
      </c>
      <c r="AM111" s="9">
        <f>'Single Exponential Smoothing'!U121</f>
        <v>404568.57687782735</v>
      </c>
      <c r="AN111" s="34">
        <f t="shared" si="4"/>
        <v>231061.08957179036</v>
      </c>
      <c r="AO111" s="34">
        <f t="shared" si="5"/>
        <v>578076.06418386428</v>
      </c>
      <c r="BB111" s="33"/>
      <c r="BC111" s="33">
        <v>45658</v>
      </c>
      <c r="BE111" s="9">
        <f>'Single Exponential Smoothing'!V121</f>
        <v>414055.92845731764</v>
      </c>
      <c r="BF111" s="34">
        <f t="shared" si="6"/>
        <v>240548.44115128065</v>
      </c>
      <c r="BG111" s="34">
        <f t="shared" si="7"/>
        <v>587563.41576335463</v>
      </c>
    </row>
    <row r="112" spans="1:59" x14ac:dyDescent="0.3">
      <c r="A112" s="33">
        <v>45689</v>
      </c>
      <c r="C112" s="9">
        <f>'Single Exponential Smoothing'!S122</f>
        <v>265282.74187274493</v>
      </c>
      <c r="D112" s="34">
        <f t="shared" si="0"/>
        <v>79709.319992241857</v>
      </c>
      <c r="E112" s="34">
        <f t="shared" si="1"/>
        <v>481282.62284139462</v>
      </c>
      <c r="R112" s="33"/>
      <c r="S112" s="33">
        <v>45689</v>
      </c>
      <c r="U112" s="9">
        <f>'Single Exponential Smoothing'!T122</f>
        <v>293057.85901540675</v>
      </c>
      <c r="V112" s="34">
        <f t="shared" si="2"/>
        <v>107484.43713490368</v>
      </c>
      <c r="W112" s="34">
        <f t="shared" si="3"/>
        <v>478631.28089590982</v>
      </c>
      <c r="AJ112" s="33"/>
      <c r="AK112" s="33">
        <v>45689</v>
      </c>
      <c r="AM112" s="9">
        <f>'Single Exponential Smoothing'!U122</f>
        <v>302258.66858995648</v>
      </c>
      <c r="AN112" s="34">
        <f t="shared" si="4"/>
        <v>116685.24670945341</v>
      </c>
      <c r="AO112" s="34">
        <f t="shared" si="5"/>
        <v>487832.09047045955</v>
      </c>
      <c r="BB112" s="33"/>
      <c r="BC112" s="33">
        <v>45689</v>
      </c>
      <c r="BE112" s="9">
        <f>'Single Exponential Smoothing'!V122</f>
        <v>309346.79757662158</v>
      </c>
      <c r="BF112" s="34">
        <f t="shared" si="6"/>
        <v>123773.37569611851</v>
      </c>
      <c r="BG112" s="34">
        <f t="shared" si="7"/>
        <v>494920.21945712465</v>
      </c>
    </row>
    <row r="113" spans="1:59" x14ac:dyDescent="0.3">
      <c r="A113" s="33">
        <v>45717</v>
      </c>
      <c r="C113" s="9">
        <f>'Single Exponential Smoothing'!S123</f>
        <v>266726.88118875021</v>
      </c>
      <c r="D113" s="34">
        <f t="shared" si="0"/>
        <v>69803.626752235752</v>
      </c>
      <c r="E113" s="34">
        <f t="shared" si="1"/>
        <v>492440.64536204503</v>
      </c>
      <c r="R113" s="33"/>
      <c r="S113" s="33">
        <v>45717</v>
      </c>
      <c r="U113" s="9">
        <f>'Single Exponential Smoothing'!T123</f>
        <v>294653.19979438395</v>
      </c>
      <c r="V113" s="34">
        <f t="shared" si="2"/>
        <v>97729.945357869496</v>
      </c>
      <c r="W113" s="34">
        <f t="shared" si="3"/>
        <v>491576.45423089841</v>
      </c>
      <c r="AJ113" s="33"/>
      <c r="AK113" s="33">
        <v>45717</v>
      </c>
      <c r="AM113" s="9">
        <f>'Single Exponential Smoothing'!U123</f>
        <v>303904.0964976775</v>
      </c>
      <c r="AN113" s="34">
        <f t="shared" si="4"/>
        <v>106980.84206116304</v>
      </c>
      <c r="AO113" s="34">
        <f t="shared" si="5"/>
        <v>500827.35093419196</v>
      </c>
      <c r="BB113" s="33"/>
      <c r="BC113" s="33">
        <v>45717</v>
      </c>
      <c r="BE113" s="9">
        <f>'Single Exponential Smoothing'!V123</f>
        <v>311030.81165724737</v>
      </c>
      <c r="BF113" s="34">
        <f t="shared" si="6"/>
        <v>114107.55722073291</v>
      </c>
      <c r="BG113" s="34">
        <f t="shared" si="7"/>
        <v>507954.06609376182</v>
      </c>
    </row>
    <row r="114" spans="1:59" x14ac:dyDescent="0.3">
      <c r="A114" s="33">
        <v>45748</v>
      </c>
      <c r="C114" s="9">
        <f>'Single Exponential Smoothing'!S124</f>
        <v>208106.82070916673</v>
      </c>
      <c r="D114" s="34">
        <f t="shared" si="0"/>
        <v>432.37254852312617</v>
      </c>
      <c r="E114" s="34">
        <f t="shared" si="1"/>
        <v>443151.42769998929</v>
      </c>
      <c r="R114" s="33"/>
      <c r="S114" s="33">
        <v>45748</v>
      </c>
      <c r="U114" s="9">
        <f>'Single Exponential Smoothing'!T124</f>
        <v>229895.61587382451</v>
      </c>
      <c r="V114" s="34">
        <f t="shared" si="2"/>
        <v>22221.167713180912</v>
      </c>
      <c r="W114" s="34">
        <f t="shared" si="3"/>
        <v>437570.06403446815</v>
      </c>
      <c r="AJ114" s="33"/>
      <c r="AK114" s="33">
        <v>45748</v>
      </c>
      <c r="AM114" s="9">
        <f>'Single Exponential Smoothing'!U124</f>
        <v>237113.39119909806</v>
      </c>
      <c r="AN114" s="34">
        <f t="shared" si="4"/>
        <v>29438.943038454454</v>
      </c>
      <c r="AO114" s="34">
        <f t="shared" si="5"/>
        <v>444787.83935974166</v>
      </c>
      <c r="BB114" s="33"/>
      <c r="BC114" s="33">
        <v>45748</v>
      </c>
      <c r="BE114" s="9">
        <f>'Single Exponential Smoothing'!V124</f>
        <v>242673.8282549656</v>
      </c>
      <c r="BF114" s="34">
        <f t="shared" si="6"/>
        <v>34999.380094321998</v>
      </c>
      <c r="BG114" s="34">
        <f t="shared" si="7"/>
        <v>450348.27641560917</v>
      </c>
    </row>
    <row r="115" spans="1:59" x14ac:dyDescent="0.3">
      <c r="A115" s="33">
        <v>45778</v>
      </c>
      <c r="C115" s="9">
        <f>'Single Exponential Smoothing'!S125</f>
        <v>169816.62611413506</v>
      </c>
      <c r="D115" s="34">
        <f t="shared" si="0"/>
        <v>-48099.018874021538</v>
      </c>
      <c r="E115" s="34">
        <f t="shared" si="1"/>
        <v>413852.9939410456</v>
      </c>
      <c r="R115" s="33"/>
      <c r="S115" s="33">
        <v>45778</v>
      </c>
      <c r="U115" s="9">
        <f>'Single Exponential Smoothing'!T125</f>
        <v>187596.43587407138</v>
      </c>
      <c r="V115" s="34">
        <f t="shared" si="2"/>
        <v>-30319.209114085214</v>
      </c>
      <c r="W115" s="34">
        <f t="shared" si="3"/>
        <v>405512.08086222794</v>
      </c>
      <c r="AJ115" s="33"/>
      <c r="AK115" s="33">
        <v>45778</v>
      </c>
      <c r="AM115" s="9">
        <f>'Single Exponential Smoothing'!U125</f>
        <v>193486.19119112918</v>
      </c>
      <c r="AN115" s="34">
        <f t="shared" si="4"/>
        <v>-24429.45379702741</v>
      </c>
      <c r="AO115" s="34">
        <f t="shared" si="5"/>
        <v>411401.83617928578</v>
      </c>
      <c r="BB115" s="33"/>
      <c r="BC115" s="33">
        <v>45778</v>
      </c>
      <c r="BE115" s="9">
        <f>'Single Exponential Smoothing'!V125</f>
        <v>198023.54684977458</v>
      </c>
      <c r="BF115" s="34">
        <f t="shared" si="6"/>
        <v>-19892.098138382018</v>
      </c>
      <c r="BG115" s="34">
        <f t="shared" si="7"/>
        <v>415939.19183793117</v>
      </c>
    </row>
    <row r="116" spans="1:59" x14ac:dyDescent="0.3">
      <c r="A116" s="33">
        <v>45809</v>
      </c>
      <c r="C116" s="9">
        <f>'Single Exponential Smoothing'!S126</f>
        <v>157353.75683865874</v>
      </c>
      <c r="D116" s="34">
        <f t="shared" si="0"/>
        <v>-70361.926530940749</v>
      </c>
      <c r="E116" s="34">
        <f t="shared" si="1"/>
        <v>410079.01558107953</v>
      </c>
      <c r="R116" s="33"/>
      <c r="S116" s="33">
        <v>45809</v>
      </c>
      <c r="U116" s="9">
        <f>'Single Exponential Smoothing'!T126</f>
        <v>173828.70352451658</v>
      </c>
      <c r="V116" s="34">
        <f t="shared" si="2"/>
        <v>-53886.979845082911</v>
      </c>
      <c r="W116" s="34">
        <f t="shared" si="3"/>
        <v>401544.38689411606</v>
      </c>
      <c r="AJ116" s="33"/>
      <c r="AK116" s="33">
        <v>45809</v>
      </c>
      <c r="AM116" s="9">
        <f>'Single Exponential Smoothing'!U126</f>
        <v>179286.208759467</v>
      </c>
      <c r="AN116" s="34">
        <f t="shared" si="4"/>
        <v>-48429.474610132485</v>
      </c>
      <c r="AO116" s="34">
        <f t="shared" si="5"/>
        <v>407001.89212906652</v>
      </c>
      <c r="BB116" s="33"/>
      <c r="BC116" s="33">
        <v>45809</v>
      </c>
      <c r="BE116" s="9">
        <f>'Single Exponential Smoothing'!V126</f>
        <v>183490.56716263734</v>
      </c>
      <c r="BF116" s="34">
        <f t="shared" si="6"/>
        <v>-44225.11620696215</v>
      </c>
      <c r="BG116" s="34">
        <f t="shared" si="7"/>
        <v>411206.25053223682</v>
      </c>
    </row>
    <row r="117" spans="1:59" x14ac:dyDescent="0.3">
      <c r="A117" s="33">
        <v>45839</v>
      </c>
      <c r="C117" s="9">
        <f>'Single Exponential Smoothing'!S127</f>
        <v>199900.99793720825</v>
      </c>
      <c r="D117" s="34">
        <f t="shared" si="0"/>
        <v>-37228.286133216578</v>
      </c>
      <c r="E117" s="34">
        <f t="shared" si="1"/>
        <v>461042.5274904184</v>
      </c>
      <c r="R117" s="33"/>
      <c r="S117" s="33">
        <v>45839</v>
      </c>
      <c r="U117" s="9">
        <f>'Single Exponential Smoothing'!T127</f>
        <v>220830.64302246735</v>
      </c>
      <c r="V117" s="34">
        <f t="shared" si="2"/>
        <v>-16298.64104795747</v>
      </c>
      <c r="W117" s="34">
        <f t="shared" si="3"/>
        <v>457959.92709289218</v>
      </c>
      <c r="AJ117" s="33"/>
      <c r="AK117" s="33">
        <v>45839</v>
      </c>
      <c r="AM117" s="9">
        <f>'Single Exponential Smoothing'!U127</f>
        <v>227763.81554171472</v>
      </c>
      <c r="AN117" s="34">
        <f t="shared" si="4"/>
        <v>-9365.468528710102</v>
      </c>
      <c r="AO117" s="34">
        <f t="shared" si="5"/>
        <v>464893.09961213951</v>
      </c>
      <c r="BB117" s="33"/>
      <c r="BC117" s="33">
        <v>45839</v>
      </c>
      <c r="BE117" s="9">
        <f>'Single Exponential Smoothing'!V127</f>
        <v>233104.99999999997</v>
      </c>
      <c r="BF117" s="34">
        <f t="shared" si="6"/>
        <v>-4024.284070424852</v>
      </c>
      <c r="BG117" s="34">
        <f t="shared" si="7"/>
        <v>470234.28407042479</v>
      </c>
    </row>
    <row r="118" spans="1:59" x14ac:dyDescent="0.3">
      <c r="A118" s="33">
        <v>45870</v>
      </c>
      <c r="C118" s="9">
        <f>'Single Exponential Smoothing'!S128</f>
        <v>176608.78789642052</v>
      </c>
      <c r="D118" s="34">
        <f t="shared" si="0"/>
        <v>-69592.007479419117</v>
      </c>
      <c r="E118" s="34">
        <f t="shared" si="1"/>
        <v>445919.54409482033</v>
      </c>
      <c r="R118" s="33"/>
      <c r="S118" s="33">
        <v>45870</v>
      </c>
      <c r="U118" s="9">
        <f>'Single Exponential Smoothing'!T128</f>
        <v>195099.7373551669</v>
      </c>
      <c r="V118" s="34">
        <f t="shared" si="2"/>
        <v>-51101.058020672732</v>
      </c>
      <c r="W118" s="34">
        <f t="shared" si="3"/>
        <v>441300.5327310065</v>
      </c>
      <c r="AJ118" s="33"/>
      <c r="AK118" s="33">
        <v>45870</v>
      </c>
      <c r="AM118" s="9">
        <f>'Single Exponential Smoothing'!U128</f>
        <v>201225.06543024571</v>
      </c>
      <c r="AN118" s="34">
        <f t="shared" si="4"/>
        <v>-44975.729945593921</v>
      </c>
      <c r="AO118" s="34">
        <f t="shared" si="5"/>
        <v>447425.86080608534</v>
      </c>
      <c r="BB118" s="33"/>
      <c r="BC118" s="33">
        <v>45870</v>
      </c>
      <c r="BE118" s="9">
        <f>'Single Exponential Smoothing'!V128</f>
        <v>205943.90186849731</v>
      </c>
      <c r="BF118" s="34">
        <f t="shared" si="6"/>
        <v>-40256.89350734232</v>
      </c>
      <c r="BG118" s="34">
        <f t="shared" si="7"/>
        <v>452144.69724433695</v>
      </c>
    </row>
    <row r="119" spans="1:59" x14ac:dyDescent="0.3">
      <c r="A119" s="33">
        <v>45901</v>
      </c>
      <c r="C119" s="9">
        <f>'Single Exponential Smoothing'!S129</f>
        <v>191032.69336933657</v>
      </c>
      <c r="D119" s="34">
        <f t="shared" si="0"/>
        <v>-63934.057152376277</v>
      </c>
      <c r="E119" s="34">
        <f t="shared" si="1"/>
        <v>468287.48534923699</v>
      </c>
      <c r="R119" s="33"/>
      <c r="S119" s="33">
        <v>45901</v>
      </c>
      <c r="U119" s="9">
        <f>'Single Exponential Smoothing'!T129</f>
        <v>211033.82649603186</v>
      </c>
      <c r="V119" s="34">
        <f t="shared" si="2"/>
        <v>-43932.924025680986</v>
      </c>
      <c r="W119" s="34">
        <f t="shared" si="3"/>
        <v>466000.57701774471</v>
      </c>
      <c r="AJ119" s="33"/>
      <c r="AK119" s="33">
        <v>45901</v>
      </c>
      <c r="AM119" s="9">
        <f>'Single Exponential Smoothing'!U129</f>
        <v>217659.41933255253</v>
      </c>
      <c r="AN119" s="34">
        <f t="shared" si="4"/>
        <v>-37307.331189160323</v>
      </c>
      <c r="AO119" s="34">
        <f t="shared" si="5"/>
        <v>472626.1698542654</v>
      </c>
      <c r="BB119" s="33"/>
      <c r="BC119" s="33">
        <v>45901</v>
      </c>
      <c r="BE119" s="9">
        <f>'Single Exponential Smoothing'!V129</f>
        <v>222763.65024374175</v>
      </c>
      <c r="BF119" s="34">
        <f t="shared" si="6"/>
        <v>-32203.100277971098</v>
      </c>
      <c r="BG119" s="34">
        <f t="shared" si="7"/>
        <v>477730.40076545463</v>
      </c>
    </row>
    <row r="120" spans="1:59" x14ac:dyDescent="0.3">
      <c r="A120" s="33">
        <v>45931</v>
      </c>
      <c r="C120" s="9">
        <f>'Single Exponential Smoothing'!S130</f>
        <v>213954.04196426546</v>
      </c>
      <c r="D120" s="34">
        <f t="shared" si="0"/>
        <v>-49503.625653806201</v>
      </c>
      <c r="E120" s="34">
        <f t="shared" si="1"/>
        <v>498946.5255519643</v>
      </c>
      <c r="R120" s="33"/>
      <c r="S120" s="33">
        <v>45931</v>
      </c>
      <c r="U120" s="9">
        <f>'Single Exponential Smoothing'!T130</f>
        <v>236355.04150442436</v>
      </c>
      <c r="V120" s="34">
        <f t="shared" si="2"/>
        <v>-27102.626113647304</v>
      </c>
      <c r="W120" s="34">
        <f t="shared" si="3"/>
        <v>499812.70912249602</v>
      </c>
      <c r="AJ120" s="33"/>
      <c r="AK120" s="33">
        <v>45931</v>
      </c>
      <c r="AM120" s="9">
        <f>'Single Exponential Smoothing'!U130</f>
        <v>243775.61618607002</v>
      </c>
      <c r="AN120" s="34">
        <f t="shared" si="4"/>
        <v>-19682.051432001637</v>
      </c>
      <c r="AO120" s="34">
        <f t="shared" si="5"/>
        <v>507233.28380414168</v>
      </c>
      <c r="BB120" s="33"/>
      <c r="BC120" s="33">
        <v>45931</v>
      </c>
      <c r="BE120" s="9">
        <f>'Single Exponential Smoothing'!V130</f>
        <v>249492.28601523119</v>
      </c>
      <c r="BF120" s="34">
        <f t="shared" si="6"/>
        <v>-13965.381602840469</v>
      </c>
      <c r="BG120" s="34">
        <f t="shared" si="7"/>
        <v>512949.95363330282</v>
      </c>
    </row>
    <row r="121" spans="1:59" x14ac:dyDescent="0.3">
      <c r="A121" s="33">
        <v>45962</v>
      </c>
      <c r="C121" s="9">
        <f>'Single Exponential Smoothing'!S131</f>
        <v>273420.44728753262</v>
      </c>
      <c r="D121" s="34">
        <f t="shared" si="0"/>
        <v>1721.0978432598058</v>
      </c>
      <c r="E121" s="34">
        <f t="shared" si="1"/>
        <v>565960.66659123381</v>
      </c>
      <c r="R121" s="33"/>
      <c r="S121" s="33">
        <v>45962</v>
      </c>
      <c r="U121" s="9">
        <f>'Single Exponential Smoothing'!T131</f>
        <v>302047.58261868492</v>
      </c>
      <c r="V121" s="34">
        <f t="shared" si="2"/>
        <v>30348.233174412104</v>
      </c>
      <c r="W121" s="34">
        <f t="shared" si="3"/>
        <v>573746.93206295767</v>
      </c>
      <c r="AJ121" s="33"/>
      <c r="AK121" s="33">
        <v>45962</v>
      </c>
      <c r="AM121" s="9">
        <f>'Single Exponential Smoothing'!U131</f>
        <v>311530.63248284667</v>
      </c>
      <c r="AN121" s="34">
        <f t="shared" si="4"/>
        <v>39831.283038573863</v>
      </c>
      <c r="AO121" s="34">
        <f t="shared" si="5"/>
        <v>583229.98192711943</v>
      </c>
      <c r="BB121" s="33"/>
      <c r="BC121" s="33">
        <v>45962</v>
      </c>
      <c r="BE121" s="9">
        <f>'Single Exponential Smoothing'!V131</f>
        <v>318836.19402930932</v>
      </c>
      <c r="BF121" s="34">
        <f t="shared" si="6"/>
        <v>47136.84458503651</v>
      </c>
      <c r="BG121" s="34">
        <f t="shared" si="7"/>
        <v>590535.54347358213</v>
      </c>
    </row>
    <row r="122" spans="1:59" x14ac:dyDescent="0.3">
      <c r="A122" s="33">
        <v>45992</v>
      </c>
      <c r="C122" s="9">
        <f>'Single Exponential Smoothing'!S132</f>
        <v>325035.36880513048</v>
      </c>
      <c r="D122" s="34">
        <f t="shared" si="0"/>
        <v>45321.5256797896</v>
      </c>
      <c r="E122" s="34">
        <f t="shared" si="1"/>
        <v>624947.72388781002</v>
      </c>
      <c r="R122" s="33"/>
      <c r="S122" s="33">
        <v>45992</v>
      </c>
      <c r="U122" s="9">
        <f>'Single Exponential Smoothing'!T132</f>
        <v>359066.58915643935</v>
      </c>
      <c r="V122" s="34">
        <f t="shared" si="2"/>
        <v>79352.746031098475</v>
      </c>
      <c r="W122" s="34">
        <f t="shared" si="3"/>
        <v>638780.43228178029</v>
      </c>
      <c r="AJ122" s="33"/>
      <c r="AK122" s="33">
        <v>45992</v>
      </c>
      <c r="AM122" s="9">
        <f>'Single Exponential Smoothing'!U132</f>
        <v>370339.80094646272</v>
      </c>
      <c r="AN122" s="34">
        <f t="shared" si="4"/>
        <v>90625.957821121847</v>
      </c>
      <c r="AO122" s="34">
        <f t="shared" si="5"/>
        <v>650053.64407180366</v>
      </c>
      <c r="BB122" s="33"/>
      <c r="BC122" s="33">
        <v>45992</v>
      </c>
      <c r="BE122" s="9">
        <f>'Single Exponential Smoothing'!V132</f>
        <v>379024.46924812021</v>
      </c>
      <c r="BF122" s="34">
        <f t="shared" si="6"/>
        <v>99310.626122779329</v>
      </c>
      <c r="BG122" s="34">
        <f t="shared" si="7"/>
        <v>658738.31237346109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L139"/>
  <sheetViews>
    <sheetView topLeftCell="AH1" workbookViewId="0">
      <selection activeCell="AN10" sqref="AJ2:AN10"/>
    </sheetView>
  </sheetViews>
  <sheetFormatPr baseColWidth="10" defaultColWidth="9.5703125" defaultRowHeight="13.2" x14ac:dyDescent="0.3"/>
  <cols>
    <col min="2" max="28" width="9.5703125" customWidth="1"/>
    <col min="29" max="34" width="24.28515625" customWidth="1"/>
    <col min="35" max="35" width="16.85546875" customWidth="1"/>
    <col min="36" max="36" width="33.28515625" bestFit="1" customWidth="1"/>
    <col min="37" max="41" width="16.85546875" customWidth="1"/>
    <col min="42" max="42" width="17.85546875" customWidth="1"/>
    <col min="44" max="44" width="10.28515625" customWidth="1"/>
    <col min="45" max="45" width="8.7109375" customWidth="1"/>
    <col min="46" max="46" width="9.85546875" customWidth="1"/>
    <col min="47" max="48" width="8.7109375" customWidth="1"/>
    <col min="52" max="53" width="12.140625" bestFit="1" customWidth="1"/>
    <col min="54" max="54" width="11.42578125" bestFit="1" customWidth="1"/>
  </cols>
  <sheetData>
    <row r="1" spans="1:64" ht="15.6" x14ac:dyDescent="0.3">
      <c r="A1" s="8" t="s">
        <v>29</v>
      </c>
    </row>
    <row r="2" spans="1:64" ht="15.6" x14ac:dyDescent="0.3">
      <c r="A2" s="8" t="s">
        <v>30</v>
      </c>
      <c r="S2" s="129" t="s">
        <v>104</v>
      </c>
      <c r="T2" s="130"/>
      <c r="U2" s="130"/>
      <c r="V2" s="131"/>
      <c r="X2" s="132" t="s">
        <v>171</v>
      </c>
      <c r="Y2" s="133"/>
      <c r="Z2" s="133"/>
      <c r="AA2" s="133"/>
      <c r="AJ2" s="61"/>
      <c r="AK2" s="126" t="s">
        <v>122</v>
      </c>
      <c r="AL2" s="127"/>
      <c r="AM2" s="127"/>
      <c r="AN2" s="128"/>
      <c r="BG2" s="125" t="s">
        <v>89</v>
      </c>
      <c r="BH2" s="125"/>
      <c r="BI2" s="125"/>
      <c r="BJ2" s="125"/>
      <c r="BK2" s="125"/>
      <c r="BL2" s="125"/>
    </row>
    <row r="3" spans="1:64" ht="15.6" x14ac:dyDescent="0.3">
      <c r="A3" s="8" t="s">
        <v>38</v>
      </c>
      <c r="R3" s="60" t="s">
        <v>32</v>
      </c>
      <c r="S3" s="53">
        <v>0.1</v>
      </c>
      <c r="T3" s="54">
        <v>0.4</v>
      </c>
      <c r="U3" s="54">
        <v>0.7</v>
      </c>
      <c r="V3" s="55">
        <v>1</v>
      </c>
      <c r="X3" s="92">
        <f>AVERAGE(X13:X132)</f>
        <v>49855.130959884344</v>
      </c>
      <c r="Y3" s="92">
        <f>AVERAGE(Y13:Y132)</f>
        <v>26024.932340608586</v>
      </c>
      <c r="Z3" s="92">
        <f>AVERAGE(Z13:Z132)</f>
        <v>19393.827313282636</v>
      </c>
      <c r="AA3" s="92">
        <f>AVERAGE(AA13:AA132)</f>
        <v>16383.308507078553</v>
      </c>
      <c r="AJ3" s="41" t="s">
        <v>123</v>
      </c>
      <c r="AK3" s="57">
        <f>S3</f>
        <v>0.1</v>
      </c>
      <c r="AL3" s="57">
        <f>T3</f>
        <v>0.4</v>
      </c>
      <c r="AM3" s="57">
        <f>U3</f>
        <v>0.7</v>
      </c>
      <c r="AN3" s="68">
        <f>V3</f>
        <v>1</v>
      </c>
    </row>
    <row r="4" spans="1:64" ht="15.6" x14ac:dyDescent="0.3">
      <c r="A4" s="8" t="s">
        <v>33</v>
      </c>
      <c r="AJ4" s="59" t="s">
        <v>189</v>
      </c>
      <c r="AK4" s="92">
        <f>X115</f>
        <v>36893.335625324165</v>
      </c>
      <c r="AL4" s="92">
        <f>Y115</f>
        <v>20457.261629221117</v>
      </c>
      <c r="AM4" s="92">
        <f>Z115</f>
        <v>17803.948194284283</v>
      </c>
      <c r="AN4" s="92">
        <f>AA115</f>
        <v>17332.682396843011</v>
      </c>
    </row>
    <row r="5" spans="1:64" ht="15.6" x14ac:dyDescent="0.3">
      <c r="A5" s="8" t="s">
        <v>48</v>
      </c>
      <c r="AJ5" s="59" t="s">
        <v>121</v>
      </c>
      <c r="AK5" s="58">
        <f>AVERAGE(AK13:AK114)</f>
        <v>0.19410136237646633</v>
      </c>
      <c r="AL5" s="58">
        <f>AVERAGE(AL13:AL114)</f>
        <v>0.16841122022822166</v>
      </c>
      <c r="AM5" s="58">
        <f>AVERAGE(AM13:AM114)</f>
        <v>0.13753853187208828</v>
      </c>
      <c r="AN5" s="58">
        <f>AVERAGE(AN13:AN114)</f>
        <v>0.1297116204029802</v>
      </c>
      <c r="AT5" s="49">
        <f>MIN(AQ13:AQ111)</f>
        <v>-2.8526811825704063E-2</v>
      </c>
      <c r="AU5" s="50">
        <f>MIN(AX13:AX111)</f>
        <v>0</v>
      </c>
    </row>
    <row r="6" spans="1:64" ht="15.6" x14ac:dyDescent="0.3">
      <c r="A6" s="8" t="s">
        <v>42</v>
      </c>
      <c r="R6" t="s">
        <v>162</v>
      </c>
      <c r="AJ6" s="59" t="s">
        <v>175</v>
      </c>
      <c r="AK6" s="92">
        <f>AVERAGE(X13:X114)</f>
        <v>49982.207384732974</v>
      </c>
      <c r="AL6" s="92">
        <f t="shared" ref="AL6:AN6" si="0">AVERAGE(Y13:Y114)</f>
        <v>26079.517347582972</v>
      </c>
      <c r="AM6" s="92">
        <f t="shared" si="0"/>
        <v>19409.414363468895</v>
      </c>
      <c r="AN6" s="92">
        <f t="shared" si="0"/>
        <v>16374.000919923999</v>
      </c>
      <c r="AT6" s="51">
        <f>MAX(AQ13:AQ111)</f>
        <v>4.0340409133457461E-2</v>
      </c>
      <c r="AU6" s="44">
        <f>MAX(AX13:AX111)</f>
        <v>0.48408490960148953</v>
      </c>
      <c r="AZ6" s="1"/>
      <c r="BH6" t="s">
        <v>91</v>
      </c>
      <c r="BI6" t="s">
        <v>93</v>
      </c>
      <c r="BJ6" t="s">
        <v>92</v>
      </c>
      <c r="BK6" s="35" t="s">
        <v>106</v>
      </c>
    </row>
    <row r="7" spans="1:64" x14ac:dyDescent="0.3">
      <c r="AT7" s="35" t="s">
        <v>100</v>
      </c>
      <c r="AU7" s="42" t="s">
        <v>99</v>
      </c>
      <c r="BH7" s="1">
        <v>190092.64698277207</v>
      </c>
      <c r="BI7" s="1">
        <v>208644.08010001687</v>
      </c>
      <c r="BJ7" s="1">
        <v>211358.16429498018</v>
      </c>
      <c r="BK7" s="1">
        <v>211358.16429498018</v>
      </c>
    </row>
    <row r="8" spans="1:64" ht="15.6" x14ac:dyDescent="0.3">
      <c r="B8" s="7" t="s">
        <v>31</v>
      </c>
      <c r="C8" s="7"/>
      <c r="D8" s="7"/>
      <c r="E8" s="7"/>
      <c r="F8" s="7"/>
      <c r="AJ8" s="41" t="s">
        <v>129</v>
      </c>
      <c r="AK8" s="67">
        <f>MIN(AK4:AN4)</f>
        <v>17332.682396843011</v>
      </c>
      <c r="AM8" s="41" t="s">
        <v>130</v>
      </c>
      <c r="AN8" s="96">
        <f>MAX(AK4:AN4)</f>
        <v>36893.335625324165</v>
      </c>
      <c r="AT8" s="61">
        <f>SUM(AT13:AT132)</f>
        <v>415180172082.09308</v>
      </c>
      <c r="AU8" s="61">
        <f>SUM(AU13:AU132)</f>
        <v>937493927402.427</v>
      </c>
    </row>
    <row r="9" spans="1:64" ht="15.6" x14ac:dyDescent="0.3">
      <c r="B9" s="7"/>
      <c r="C9" s="7"/>
      <c r="D9" s="7"/>
      <c r="E9" s="7"/>
      <c r="F9" s="7"/>
      <c r="AJ9" s="91" t="s">
        <v>127</v>
      </c>
      <c r="AK9" s="97">
        <f>MIN(AK5:AN5)</f>
        <v>0.1297116204029802</v>
      </c>
      <c r="AM9" s="91" t="s">
        <v>131</v>
      </c>
      <c r="AN9" s="97">
        <f>MAX(AK5:AN5)</f>
        <v>0.19410136237646633</v>
      </c>
      <c r="AT9" s="61"/>
      <c r="AU9" s="61"/>
    </row>
    <row r="10" spans="1:64" x14ac:dyDescent="0.3">
      <c r="B10" t="s">
        <v>0</v>
      </c>
      <c r="C10" t="s">
        <v>0</v>
      </c>
      <c r="F10" s="2"/>
      <c r="H10" s="2"/>
      <c r="J10" s="2"/>
      <c r="L10" s="2"/>
      <c r="AB10" s="69"/>
      <c r="AG10" s="124"/>
      <c r="AH10" s="124"/>
      <c r="AI10" s="125"/>
      <c r="AJ10" s="43" t="s">
        <v>176</v>
      </c>
      <c r="AK10" s="98">
        <f>MIN((AK6:AN6))</f>
        <v>16374.000919923999</v>
      </c>
      <c r="AM10" s="43" t="s">
        <v>176</v>
      </c>
      <c r="AN10" s="98">
        <f>MAX(AK6:AN6)</f>
        <v>49982.207384732974</v>
      </c>
      <c r="AO10" s="70"/>
      <c r="AT10" s="59" t="s">
        <v>102</v>
      </c>
      <c r="AU10" s="61">
        <f>(1-AT8/AU8)</f>
        <v>0.55713828117003517</v>
      </c>
      <c r="AV10" s="35" t="s">
        <v>103</v>
      </c>
    </row>
    <row r="11" spans="1:64" x14ac:dyDescent="0.3">
      <c r="S11" s="132" t="s">
        <v>170</v>
      </c>
      <c r="T11" s="133"/>
      <c r="U11" s="133"/>
      <c r="V11" s="133"/>
      <c r="X11" s="126" t="s">
        <v>124</v>
      </c>
      <c r="Y11" s="127"/>
      <c r="Z11" s="127"/>
      <c r="AA11" s="128"/>
      <c r="AB11" s="69"/>
      <c r="AG11" s="71"/>
      <c r="AH11" s="71"/>
      <c r="AI11" s="70"/>
      <c r="AJ11" s="66"/>
      <c r="AK11" s="90"/>
      <c r="AM11" s="66"/>
      <c r="AN11" s="90"/>
      <c r="AO11" s="70"/>
      <c r="AT11" s="66"/>
      <c r="AU11" s="16"/>
      <c r="AV11" s="35"/>
      <c r="AZ11" s="124" t="s">
        <v>169</v>
      </c>
      <c r="BA11" s="125"/>
      <c r="BB11" s="125"/>
      <c r="BC11" s="125"/>
      <c r="BD11" s="125"/>
      <c r="BE11" s="125"/>
    </row>
    <row r="12" spans="1:64" x14ac:dyDescent="0.3">
      <c r="B12" t="s">
        <v>90</v>
      </c>
      <c r="C12" t="s">
        <v>0</v>
      </c>
      <c r="D12" s="35" t="s">
        <v>95</v>
      </c>
      <c r="E12" s="35"/>
      <c r="F12" s="35" t="s">
        <v>120</v>
      </c>
      <c r="G12" s="35" t="s">
        <v>165</v>
      </c>
      <c r="H12" s="35" t="s">
        <v>120</v>
      </c>
      <c r="I12" s="35" t="s">
        <v>166</v>
      </c>
      <c r="J12" s="35" t="s">
        <v>120</v>
      </c>
      <c r="K12" s="35" t="s">
        <v>167</v>
      </c>
      <c r="L12" s="35" t="s">
        <v>119</v>
      </c>
      <c r="M12" s="35" t="s">
        <v>168</v>
      </c>
      <c r="O12" s="35" t="s">
        <v>47</v>
      </c>
      <c r="Q12" t="s">
        <v>75</v>
      </c>
      <c r="R12" s="35" t="s">
        <v>96</v>
      </c>
      <c r="S12" s="61" t="s">
        <v>91</v>
      </c>
      <c r="T12" s="61" t="s">
        <v>93</v>
      </c>
      <c r="U12" s="61" t="s">
        <v>92</v>
      </c>
      <c r="V12" s="59" t="s">
        <v>106</v>
      </c>
      <c r="W12" s="35"/>
      <c r="X12" s="46" t="s">
        <v>91</v>
      </c>
      <c r="Y12" s="95" t="s">
        <v>172</v>
      </c>
      <c r="Z12" s="95" t="s">
        <v>173</v>
      </c>
      <c r="AA12" s="63" t="s">
        <v>174</v>
      </c>
      <c r="AB12" s="66"/>
      <c r="AC12" s="38" t="s">
        <v>107</v>
      </c>
      <c r="AD12" s="38" t="s">
        <v>112</v>
      </c>
      <c r="AE12" s="38" t="s">
        <v>113</v>
      </c>
      <c r="AF12" s="38" t="s">
        <v>114</v>
      </c>
      <c r="AG12" s="38" t="s">
        <v>105</v>
      </c>
      <c r="AH12" s="38" t="s">
        <v>105</v>
      </c>
      <c r="AI12" s="38" t="s">
        <v>105</v>
      </c>
      <c r="AJ12" s="38" t="s">
        <v>105</v>
      </c>
      <c r="AK12" s="38" t="s">
        <v>108</v>
      </c>
      <c r="AL12" s="38" t="s">
        <v>111</v>
      </c>
      <c r="AM12" s="38" t="s">
        <v>110</v>
      </c>
      <c r="AN12" s="38" t="s">
        <v>109</v>
      </c>
      <c r="AP12" s="35" t="s">
        <v>125</v>
      </c>
      <c r="AQ12" s="35" t="s">
        <v>97</v>
      </c>
      <c r="AR12" s="35" t="s">
        <v>126</v>
      </c>
      <c r="AS12" s="35" t="s">
        <v>98</v>
      </c>
      <c r="AT12" s="35" t="s">
        <v>100</v>
      </c>
      <c r="AU12" s="35" t="s">
        <v>99</v>
      </c>
      <c r="AV12" s="35" t="s">
        <v>101</v>
      </c>
      <c r="AZ12" s="35" t="s">
        <v>164</v>
      </c>
      <c r="BB12" s="35" t="s">
        <v>164</v>
      </c>
      <c r="BD12" s="35" t="s">
        <v>164</v>
      </c>
      <c r="BF12" s="35" t="s">
        <v>164</v>
      </c>
    </row>
    <row r="13" spans="1:64" x14ac:dyDescent="0.3">
      <c r="A13">
        <v>1</v>
      </c>
      <c r="B13">
        <v>1</v>
      </c>
      <c r="C13" s="30">
        <v>42370</v>
      </c>
      <c r="D13" s="10">
        <f>Decomposition!I11</f>
        <v>163554.05993523935</v>
      </c>
      <c r="E13" s="10"/>
      <c r="F13" s="10">
        <v>192889.63472763138</v>
      </c>
      <c r="G13" s="10">
        <f t="shared" ref="G13:G44" si="1">ABS(I13-S13)</f>
        <v>192889.63472763196</v>
      </c>
      <c r="H13" s="10">
        <v>192889.634727631</v>
      </c>
      <c r="I13" s="10">
        <f t="shared" ref="I13:I44" si="2">ABS(F13-T13)</f>
        <v>100399.11604749309</v>
      </c>
      <c r="J13" s="10">
        <v>192889.634727631</v>
      </c>
      <c r="K13" s="10">
        <f t="shared" ref="K13:K44" si="3">ABS(H13-U13)</f>
        <v>100399.11604749347</v>
      </c>
      <c r="L13" s="10">
        <v>192889.634727631</v>
      </c>
      <c r="M13" s="10">
        <f t="shared" ref="M13:M44" si="4">ABS(L13-U13)</f>
        <v>100399.11604749347</v>
      </c>
      <c r="O13">
        <f>Decomposition!H11</f>
        <v>1.5205003171334823</v>
      </c>
      <c r="Q13" s="118">
        <f>Decomposition!C11</f>
        <v>248684</v>
      </c>
      <c r="R13" s="31">
        <f t="shared" ref="R13:R44" si="5">D13*O13</f>
        <v>248684</v>
      </c>
      <c r="S13" s="119">
        <f t="shared" ref="S13:S44" si="6">F13*O13</f>
        <v>293288.75077512505</v>
      </c>
      <c r="T13" s="36">
        <f t="shared" ref="T13:T44" si="7">H13*O13</f>
        <v>293288.75077512447</v>
      </c>
      <c r="U13" s="36">
        <f t="shared" ref="U13:U44" si="8">J13*O13</f>
        <v>293288.75077512447</v>
      </c>
      <c r="V13" s="93">
        <f t="shared" ref="V13:V44" si="9">L13*O13</f>
        <v>293288.75077512447</v>
      </c>
      <c r="W13" s="10"/>
      <c r="X13" s="10">
        <f>ABS($Q13-S13)</f>
        <v>44604.750775125052</v>
      </c>
      <c r="Y13" s="10">
        <f t="shared" ref="Y13:AA13" si="10">ABS($Q13-T13)</f>
        <v>44604.75077512447</v>
      </c>
      <c r="Z13" s="10">
        <f t="shared" si="10"/>
        <v>44604.75077512447</v>
      </c>
      <c r="AA13" s="10">
        <f t="shared" si="10"/>
        <v>44604.75077512447</v>
      </c>
      <c r="AB13" s="10">
        <f>IF(X13&lt;Y13&lt;Z13&lt;AA13,1,0)</f>
        <v>0</v>
      </c>
      <c r="AC13" s="39">
        <f>IF($Q13=0,0,(ABS(($Q13-S13)/$Q13))*100/COUNT($A$13:$A$133))</f>
        <v>0.17413900080753261</v>
      </c>
      <c r="AD13" s="39">
        <f>IF($Q13=0,0,(ABS(($Q13-T13)/$Q13))*100/COUNT($A$13:$A$133))</f>
        <v>0.17413900080753034</v>
      </c>
      <c r="AE13" s="39">
        <f>IF($Q13=0,0,(ABS(($Q13-U13)/$Q13))*100/COUNT($A$13:$A$133))</f>
        <v>0.17413900080753034</v>
      </c>
      <c r="AF13" s="39">
        <f>IF($Q13=0,0,(ABS(($Q13-V13)/$Q13))*100/COUNT($A$13:$A$133))</f>
        <v>0.17413900080753034</v>
      </c>
      <c r="AG13" s="47">
        <f t="shared" ref="AG13:AG44" si="11">IF(AC13&gt;1,1,0)</f>
        <v>0</v>
      </c>
      <c r="AH13" s="47">
        <f t="shared" ref="AH13:AH44" si="12">IF(AD13&gt;1,1,0)</f>
        <v>0</v>
      </c>
      <c r="AI13" s="47">
        <f t="shared" ref="AI13:AJ28" si="13">IF(AE13&gt;1,1,0)</f>
        <v>0</v>
      </c>
      <c r="AJ13" s="47">
        <f t="shared" si="13"/>
        <v>0</v>
      </c>
      <c r="AK13" s="48">
        <f>IF(AG13=1,AVERAGE(AC$13:AC$66,AC$88:AC$115),AC13)</f>
        <v>0.17413900080753261</v>
      </c>
      <c r="AL13" s="48">
        <f>IF(AH13=1,AVERAGE(AD$13:AD$66,AD$88:AD$115),AD13)</f>
        <v>0.17413900080753034</v>
      </c>
      <c r="AM13" s="48">
        <f>IF(AI13=1,AVERAGE(AE$13:AE$66,AE$88:AE$115),AE13)</f>
        <v>0.17413900080753034</v>
      </c>
      <c r="AN13" s="48">
        <f>IF(AJ13=1,AVERAGE(AF$13:AF$66,AF$88:AF$115),AF13)</f>
        <v>0.17413900080753034</v>
      </c>
      <c r="AO13" s="48"/>
      <c r="AP13" s="1">
        <f t="shared" ref="AP13:AP44" si="14">D13-Q13</f>
        <v>-85129.940064760653</v>
      </c>
      <c r="AQ13">
        <f t="shared" ref="AQ13:AQ44" si="15">((1/12)*AP13)/Q13</f>
        <v>-2.8526811825704056E-2</v>
      </c>
      <c r="AR13" s="1">
        <f>1/SUM($A$13:$A$133)*(SUM(Q13-S13))^2</f>
        <v>19316347.492339987</v>
      </c>
      <c r="AS13" s="1">
        <f>SQRT(AR13)</f>
        <v>4395.0366883952156</v>
      </c>
      <c r="AT13" s="1">
        <f t="shared" ref="AT13:AT44" si="16">(Q13-S13)^2</f>
        <v>1989583791.711019</v>
      </c>
      <c r="AU13" s="2">
        <f>(Q13-AVERAGE($Q$13:$Q$115))^2</f>
        <v>6186873247.5298357</v>
      </c>
      <c r="AV13">
        <f>1-(AT13/AU13)</f>
        <v>0.67841853031248411</v>
      </c>
      <c r="AW13">
        <f t="shared" ref="AW13:AW76" si="17">((AP13)^2)/AVERAGE($Q$13:$Q$115)</f>
        <v>42623.189490236313</v>
      </c>
      <c r="AX13">
        <f t="shared" ref="AX13:AX44" si="18">ABS(AP13)/ABS(Q13)</f>
        <v>0.34232174190844866</v>
      </c>
      <c r="AZ13" s="1">
        <f t="shared" ref="AZ13:AZ76" si="19">G13/COUNT($A$13:$A$115)</f>
        <v>1872.7149002682713</v>
      </c>
      <c r="BA13">
        <f t="shared" ref="BA13:BA44" si="20">IF($BA$116=AZ13,1,0)</f>
        <v>0</v>
      </c>
      <c r="BB13" s="1">
        <f t="shared" ref="BB13:BB76" si="21">I13/SUM($A$13:$A$115)</f>
        <v>974.74869949022423</v>
      </c>
      <c r="BC13">
        <f t="shared" ref="BC13:BC44" si="22">IF($BC$116=BB13,1,0)</f>
        <v>0</v>
      </c>
      <c r="BD13" s="1">
        <f t="shared" ref="BD13:BD76" si="23">K13/SUM($A$13:$A$115)</f>
        <v>974.74869949022786</v>
      </c>
      <c r="BE13">
        <f t="shared" ref="BE13:BE44" si="24">IF($BE$116=BD13,1,0)</f>
        <v>0</v>
      </c>
    </row>
    <row r="14" spans="1:64" x14ac:dyDescent="0.3">
      <c r="A14">
        <v>1</v>
      </c>
      <c r="B14">
        <v>2</v>
      </c>
      <c r="C14" s="30">
        <v>42401</v>
      </c>
      <c r="D14" s="10">
        <f>Decomposition!I12</f>
        <v>186385.1538066793</v>
      </c>
      <c r="E14" s="10"/>
      <c r="F14" s="9">
        <f t="shared" ref="F14:F45" si="25">$S$3*D13+(1-$S$3)*F13</f>
        <v>189956.07724839216</v>
      </c>
      <c r="G14" s="10">
        <f t="shared" si="1"/>
        <v>199953.52145386333</v>
      </c>
      <c r="H14" s="9">
        <f t="shared" ref="H14:H45" si="26">$T$3*D13+(1-$T$3)*H13</f>
        <v>181155.40481067431</v>
      </c>
      <c r="I14" s="10">
        <f t="shared" si="2"/>
        <v>15833.99901354211</v>
      </c>
      <c r="J14" s="9">
        <f t="shared" ref="J14:J45" si="27">$U$3*D13+(1-$U$3)*J13</f>
        <v>172354.73237295685</v>
      </c>
      <c r="K14" s="10">
        <f t="shared" si="3"/>
        <v>14637.227245789225</v>
      </c>
      <c r="L14" s="9">
        <f t="shared" ref="L14:L45" si="28">$V$3*D13+(1-$V$3)*L13</f>
        <v>163554.05993523935</v>
      </c>
      <c r="M14" s="10">
        <f t="shared" si="4"/>
        <v>32238.572121224192</v>
      </c>
      <c r="O14">
        <f>Decomposition!H12</f>
        <v>1.1359864006100491</v>
      </c>
      <c r="Q14" s="118">
        <f>Decomposition!C12</f>
        <v>211731</v>
      </c>
      <c r="R14" s="31">
        <f t="shared" si="5"/>
        <v>211731</v>
      </c>
      <c r="S14" s="119">
        <f t="shared" si="6"/>
        <v>215787.52046740544</v>
      </c>
      <c r="T14" s="36">
        <f t="shared" si="7"/>
        <v>205790.07626193427</v>
      </c>
      <c r="U14" s="36">
        <f t="shared" si="8"/>
        <v>195792.63205646354</v>
      </c>
      <c r="V14" s="93">
        <f t="shared" si="9"/>
        <v>185795.18785099278</v>
      </c>
      <c r="W14" s="10"/>
      <c r="X14" s="10">
        <f t="shared" ref="X14:X77" si="29">ABS($Q14-S14)</f>
        <v>4056.5204674054403</v>
      </c>
      <c r="Y14" s="10">
        <f t="shared" ref="Y14:Y77" si="30">ABS($Q14-T14)</f>
        <v>5940.9237380657287</v>
      </c>
      <c r="Z14" s="10">
        <f t="shared" ref="Z14:Z77" si="31">ABS($Q14-U14)</f>
        <v>15938.367943536461</v>
      </c>
      <c r="AA14" s="10">
        <f t="shared" ref="AA14:AA77" si="32">ABS($Q14-V14)</f>
        <v>25935.812149007223</v>
      </c>
      <c r="AB14" s="10">
        <f t="shared" ref="AB14:AB77" si="33">IF(X14&lt;Y14&lt;Z14&lt;AA14,1,0)</f>
        <v>0</v>
      </c>
      <c r="AC14" s="39">
        <f t="shared" ref="AC14:AC77" si="34">IF($Q14=0,0,(ABS(($Q14-S14)/$Q14))*100/COUNT($A$13:$A$133))</f>
        <v>1.8600816062978611E-2</v>
      </c>
      <c r="AD14" s="39">
        <f t="shared" ref="AD14:AD77" si="35">IF($Q14=0,0,(ABS(($Q14-T14)/$Q14))*100/COUNT($A$13:$A$133))</f>
        <v>2.724158070540289E-2</v>
      </c>
      <c r="AE14" s="39">
        <f t="shared" ref="AE14:AE77" si="36">IF($Q14=0,0,(ABS(($Q14-U14)/$Q14))*100/COUNT($A$13:$A$133))</f>
        <v>7.3083977473782383E-2</v>
      </c>
      <c r="AF14" s="39">
        <f t="shared" ref="AF14:AF77" si="37">IF($Q14=0,0,(ABS(($Q14-V14)/$Q14))*100/COUNT($A$13:$A$133))</f>
        <v>0.11892637424216201</v>
      </c>
      <c r="AG14" s="47">
        <f t="shared" si="11"/>
        <v>0</v>
      </c>
      <c r="AH14" s="47">
        <f t="shared" si="12"/>
        <v>0</v>
      </c>
      <c r="AI14" s="47">
        <f t="shared" si="13"/>
        <v>0</v>
      </c>
      <c r="AJ14" s="47">
        <f t="shared" si="13"/>
        <v>0</v>
      </c>
      <c r="AK14" s="48">
        <f t="shared" ref="AK14:AK77" si="38">IF(AG14=1,AVERAGE(AC$13:AC$66,AC$88:AC$115),AC14)</f>
        <v>1.8600816062978611E-2</v>
      </c>
      <c r="AL14" s="48">
        <f t="shared" ref="AL14:AL77" si="39">IF(AH14=1,AVERAGE(AD$13:AD$66,AD$88:AD$115),AD14)</f>
        <v>2.724158070540289E-2</v>
      </c>
      <c r="AM14" s="48">
        <f t="shared" ref="AM14:AM77" si="40">IF(AI14=1,AVERAGE(AE$13:AE$66,AE$88:AE$115),AE14)</f>
        <v>7.3083977473782383E-2</v>
      </c>
      <c r="AN14" s="48">
        <f t="shared" ref="AN14:AN77" si="41">IF(AJ14=1,AVERAGE(AF$13:AF$66,AF$88:AF$115),AF14)</f>
        <v>0.11892637424216201</v>
      </c>
      <c r="AO14" s="48"/>
      <c r="AP14" s="1">
        <f t="shared" si="14"/>
        <v>-25345.8461933207</v>
      </c>
      <c r="AQ14">
        <f t="shared" si="15"/>
        <v>-9.9756476351757269E-3</v>
      </c>
      <c r="AR14" s="1">
        <f>1/SUM($A$13:$A$133)*(SUM(Q14-S14))^2</f>
        <v>159760.76021824515</v>
      </c>
      <c r="AS14" s="1">
        <f t="shared" ref="AS14:AS77" si="42">SQRT(AR14)</f>
        <v>399.70083840072834</v>
      </c>
      <c r="AT14" s="1">
        <f t="shared" si="16"/>
        <v>16455358.302479252</v>
      </c>
      <c r="AU14" s="2">
        <f>(Q14-AVERAGE($Q$13:$Q$115))^2</f>
        <v>1739196893.1511936</v>
      </c>
      <c r="AV14">
        <f t="shared" ref="AV14:AV77" si="43">1-(AT14/AU14)</f>
        <v>0.99053853053252394</v>
      </c>
      <c r="AW14">
        <f t="shared" si="17"/>
        <v>3778.2864411917672</v>
      </c>
      <c r="AX14">
        <f t="shared" si="18"/>
        <v>0.11970777162210872</v>
      </c>
      <c r="AZ14" s="1">
        <f t="shared" si="19"/>
        <v>1941.2963247947896</v>
      </c>
      <c r="BA14">
        <f t="shared" si="20"/>
        <v>0</v>
      </c>
      <c r="BB14" s="1">
        <f t="shared" si="21"/>
        <v>153.72814576254476</v>
      </c>
      <c r="BC14">
        <f t="shared" si="22"/>
        <v>0</v>
      </c>
      <c r="BD14" s="1">
        <f t="shared" si="23"/>
        <v>142.10900238630316</v>
      </c>
      <c r="BE14">
        <f t="shared" si="24"/>
        <v>0</v>
      </c>
    </row>
    <row r="15" spans="1:64" x14ac:dyDescent="0.3">
      <c r="A15">
        <v>1</v>
      </c>
      <c r="B15">
        <v>3</v>
      </c>
      <c r="C15" s="30">
        <v>42430</v>
      </c>
      <c r="D15" s="10">
        <f>Decomposition!I13</f>
        <v>184615.17654602198</v>
      </c>
      <c r="E15" s="10"/>
      <c r="F15" s="9">
        <f t="shared" si="25"/>
        <v>189598.98490422088</v>
      </c>
      <c r="G15" s="10">
        <f t="shared" si="1"/>
        <v>196853.68669864949</v>
      </c>
      <c r="H15" s="9">
        <f t="shared" si="26"/>
        <v>183247.30440907629</v>
      </c>
      <c r="I15" s="10">
        <f t="shared" si="2"/>
        <v>19700.671956190374</v>
      </c>
      <c r="J15" s="9">
        <f t="shared" si="27"/>
        <v>182176.02737656256</v>
      </c>
      <c r="K15" s="10">
        <f t="shared" si="3"/>
        <v>24828.77147681202</v>
      </c>
      <c r="L15" s="9">
        <f t="shared" si="28"/>
        <v>186385.1538066793</v>
      </c>
      <c r="M15" s="10">
        <f t="shared" si="4"/>
        <v>21690.922079209005</v>
      </c>
      <c r="O15">
        <f>Decomposition!H13</f>
        <v>1.1421704539411746</v>
      </c>
      <c r="Q15" s="118">
        <f>Decomposition!C13</f>
        <v>210862</v>
      </c>
      <c r="R15" s="31">
        <f t="shared" si="5"/>
        <v>210862</v>
      </c>
      <c r="S15" s="119">
        <f t="shared" si="6"/>
        <v>216554.35865483986</v>
      </c>
      <c r="T15" s="36">
        <f t="shared" si="7"/>
        <v>209299.65686041125</v>
      </c>
      <c r="U15" s="36">
        <f t="shared" si="8"/>
        <v>208076.07588588831</v>
      </c>
      <c r="V15" s="93">
        <f t="shared" si="9"/>
        <v>212883.61573127055</v>
      </c>
      <c r="W15" s="10"/>
      <c r="X15" s="10">
        <f t="shared" si="29"/>
        <v>5692.3586548398598</v>
      </c>
      <c r="Y15" s="10">
        <f t="shared" si="30"/>
        <v>1562.3431395887455</v>
      </c>
      <c r="Z15" s="10">
        <f t="shared" si="31"/>
        <v>2785.9241141116945</v>
      </c>
      <c r="AA15" s="10">
        <f t="shared" si="32"/>
        <v>2021.6157312705473</v>
      </c>
      <c r="AB15" s="10">
        <f t="shared" si="33"/>
        <v>0</v>
      </c>
      <c r="AC15" s="39">
        <f t="shared" si="34"/>
        <v>2.6209377701128692E-2</v>
      </c>
      <c r="AD15" s="39">
        <f t="shared" si="35"/>
        <v>7.1935104456977731E-3</v>
      </c>
      <c r="AE15" s="39">
        <f t="shared" si="36"/>
        <v>1.2827255234761716E-2</v>
      </c>
      <c r="AF15" s="39">
        <f t="shared" si="37"/>
        <v>9.3081433339347198E-3</v>
      </c>
      <c r="AG15" s="47">
        <f t="shared" si="11"/>
        <v>0</v>
      </c>
      <c r="AH15" s="47">
        <f t="shared" si="12"/>
        <v>0</v>
      </c>
      <c r="AI15" s="47">
        <f t="shared" si="13"/>
        <v>0</v>
      </c>
      <c r="AJ15" s="47">
        <f t="shared" si="13"/>
        <v>0</v>
      </c>
      <c r="AK15" s="48">
        <f t="shared" si="38"/>
        <v>2.6209377701128692E-2</v>
      </c>
      <c r="AL15" s="48">
        <f t="shared" si="39"/>
        <v>7.1935104456977731E-3</v>
      </c>
      <c r="AM15" s="48">
        <f t="shared" si="40"/>
        <v>1.2827255234761716E-2</v>
      </c>
      <c r="AN15" s="48">
        <f t="shared" si="41"/>
        <v>9.3081433339347198E-3</v>
      </c>
      <c r="AO15" s="48"/>
      <c r="AP15" s="1">
        <f t="shared" si="14"/>
        <v>-26246.823453978024</v>
      </c>
      <c r="AQ15">
        <f t="shared" si="15"/>
        <v>-1.0372828142726057E-2</v>
      </c>
      <c r="AR15" s="1">
        <f t="shared" ref="AR15:AR78" si="44">1/SUM($A$13:$A$133)*(SUM(Q15-S15))^2</f>
        <v>314591.71898378886</v>
      </c>
      <c r="AS15" s="1">
        <f t="shared" si="42"/>
        <v>560.88476444256253</v>
      </c>
      <c r="AT15" s="1">
        <f t="shared" si="16"/>
        <v>32402947.055330258</v>
      </c>
      <c r="AU15" s="2">
        <f t="shared" ref="AU15:AU78" si="45">(Q15-AVERAGE($Q$13:$Q$115))^2</f>
        <v>1667471058.986145</v>
      </c>
      <c r="AV15">
        <f t="shared" si="43"/>
        <v>0.98056761052570718</v>
      </c>
      <c r="AW15">
        <f t="shared" si="17"/>
        <v>4051.6767531878068</v>
      </c>
      <c r="AX15">
        <f t="shared" si="18"/>
        <v>0.1244739377127127</v>
      </c>
      <c r="AZ15" s="1">
        <f t="shared" si="19"/>
        <v>1911.2008417344609</v>
      </c>
      <c r="BA15">
        <f t="shared" si="20"/>
        <v>0</v>
      </c>
      <c r="BB15" s="1">
        <f t="shared" si="21"/>
        <v>191.26865976883857</v>
      </c>
      <c r="BC15">
        <f t="shared" si="22"/>
        <v>0</v>
      </c>
      <c r="BD15" s="1">
        <f t="shared" si="23"/>
        <v>241.0560337554565</v>
      </c>
      <c r="BE15">
        <f t="shared" si="24"/>
        <v>0</v>
      </c>
    </row>
    <row r="16" spans="1:64" x14ac:dyDescent="0.3">
      <c r="A16">
        <v>1</v>
      </c>
      <c r="B16">
        <v>4</v>
      </c>
      <c r="C16" s="30">
        <v>42461</v>
      </c>
      <c r="D16" s="10">
        <f>Decomposition!I14</f>
        <v>204700.83844635609</v>
      </c>
      <c r="E16" s="10"/>
      <c r="F16" s="9">
        <f t="shared" si="25"/>
        <v>189100.60406840098</v>
      </c>
      <c r="G16" s="10">
        <f t="shared" si="1"/>
        <v>143204.54905054369</v>
      </c>
      <c r="H16" s="9">
        <f t="shared" si="26"/>
        <v>183794.45326385455</v>
      </c>
      <c r="I16" s="10">
        <f t="shared" si="2"/>
        <v>25312.313681279164</v>
      </c>
      <c r="J16" s="9">
        <f t="shared" si="27"/>
        <v>183883.43179518415</v>
      </c>
      <c r="K16" s="10">
        <f t="shared" si="3"/>
        <v>19926.869724687975</v>
      </c>
      <c r="L16" s="9">
        <f t="shared" si="28"/>
        <v>184615.17654602198</v>
      </c>
      <c r="M16" s="10">
        <f t="shared" si="4"/>
        <v>20747.593006855401</v>
      </c>
      <c r="O16">
        <f>Decomposition!H14</f>
        <v>0.89114925656645383</v>
      </c>
      <c r="Q16" s="118">
        <f>Decomposition!C14</f>
        <v>182419</v>
      </c>
      <c r="R16" s="31">
        <f t="shared" si="5"/>
        <v>182419</v>
      </c>
      <c r="S16" s="119">
        <f t="shared" si="6"/>
        <v>168516.86273182285</v>
      </c>
      <c r="T16" s="36">
        <f t="shared" si="7"/>
        <v>163788.29038712182</v>
      </c>
      <c r="U16" s="36">
        <f t="shared" si="8"/>
        <v>163867.58353916658</v>
      </c>
      <c r="V16" s="93">
        <f t="shared" si="9"/>
        <v>164519.67732987209</v>
      </c>
      <c r="W16" s="10"/>
      <c r="X16" s="10">
        <f t="shared" si="29"/>
        <v>13902.137268177146</v>
      </c>
      <c r="Y16" s="10">
        <f t="shared" si="30"/>
        <v>18630.709612878185</v>
      </c>
      <c r="Z16" s="10">
        <f t="shared" si="31"/>
        <v>18551.416460833425</v>
      </c>
      <c r="AA16" s="10">
        <f t="shared" si="32"/>
        <v>17899.322670127905</v>
      </c>
      <c r="AB16" s="10">
        <f t="shared" si="33"/>
        <v>0</v>
      </c>
      <c r="AC16" s="39">
        <f t="shared" si="34"/>
        <v>7.399021290937717E-2</v>
      </c>
      <c r="AD16" s="39">
        <f t="shared" si="35"/>
        <v>9.9156708376422556E-2</v>
      </c>
      <c r="AE16" s="39">
        <f t="shared" si="36"/>
        <v>9.873469289140234E-2</v>
      </c>
      <c r="AF16" s="39">
        <f t="shared" si="37"/>
        <v>9.5264107219541067E-2</v>
      </c>
      <c r="AG16" s="47">
        <f t="shared" si="11"/>
        <v>0</v>
      </c>
      <c r="AH16" s="47">
        <f t="shared" si="12"/>
        <v>0</v>
      </c>
      <c r="AI16" s="47">
        <f t="shared" si="13"/>
        <v>0</v>
      </c>
      <c r="AJ16" s="47">
        <f t="shared" si="13"/>
        <v>0</v>
      </c>
      <c r="AK16" s="48">
        <f t="shared" si="38"/>
        <v>7.399021290937717E-2</v>
      </c>
      <c r="AL16" s="48">
        <f t="shared" si="39"/>
        <v>9.9156708376422556E-2</v>
      </c>
      <c r="AM16" s="48">
        <f t="shared" si="40"/>
        <v>9.873469289140234E-2</v>
      </c>
      <c r="AN16" s="48">
        <f t="shared" si="41"/>
        <v>9.5264107219541067E-2</v>
      </c>
      <c r="AO16" s="48"/>
      <c r="AP16" s="1">
        <f t="shared" si="14"/>
        <v>22281.838446356094</v>
      </c>
      <c r="AQ16">
        <f t="shared" si="15"/>
        <v>1.0178873201419121E-2</v>
      </c>
      <c r="AR16" s="1">
        <f t="shared" si="44"/>
        <v>1876402.141973203</v>
      </c>
      <c r="AS16" s="1">
        <f t="shared" si="42"/>
        <v>1369.8182879393905</v>
      </c>
      <c r="AT16" s="1">
        <f t="shared" si="16"/>
        <v>193269420.62323993</v>
      </c>
      <c r="AU16" s="2">
        <f t="shared" si="45"/>
        <v>153553723.59779468</v>
      </c>
      <c r="AV16">
        <f t="shared" si="43"/>
        <v>-0.25864365965799108</v>
      </c>
      <c r="AW16">
        <f t="shared" si="17"/>
        <v>2920.0032289842056</v>
      </c>
      <c r="AX16">
        <f t="shared" si="18"/>
        <v>0.12214647841702944</v>
      </c>
      <c r="AZ16" s="1">
        <f t="shared" si="19"/>
        <v>1390.3354276751816</v>
      </c>
      <c r="BA16">
        <f t="shared" si="20"/>
        <v>0</v>
      </c>
      <c r="BB16" s="1">
        <f t="shared" si="21"/>
        <v>245.75061826484625</v>
      </c>
      <c r="BC16">
        <f t="shared" si="22"/>
        <v>0</v>
      </c>
      <c r="BD16" s="1">
        <f t="shared" si="23"/>
        <v>193.46475460862112</v>
      </c>
      <c r="BE16">
        <f t="shared" si="24"/>
        <v>0</v>
      </c>
    </row>
    <row r="17" spans="1:57" x14ac:dyDescent="0.3">
      <c r="A17">
        <v>1</v>
      </c>
      <c r="B17">
        <v>5</v>
      </c>
      <c r="C17" s="30">
        <v>42491</v>
      </c>
      <c r="D17" s="10">
        <f>Decomposition!I15</f>
        <v>242583.70449869026</v>
      </c>
      <c r="E17" s="10"/>
      <c r="F17" s="9">
        <f t="shared" si="25"/>
        <v>190660.6275061965</v>
      </c>
      <c r="G17" s="10">
        <f t="shared" si="1"/>
        <v>87718.249503588188</v>
      </c>
      <c r="H17" s="9">
        <f t="shared" si="26"/>
        <v>192157.00733685517</v>
      </c>
      <c r="I17" s="10">
        <f t="shared" si="2"/>
        <v>50927.117230668984</v>
      </c>
      <c r="J17" s="9">
        <f t="shared" si="27"/>
        <v>198455.61645100449</v>
      </c>
      <c r="K17" s="10">
        <f t="shared" si="3"/>
        <v>47843.248994544265</v>
      </c>
      <c r="L17" s="9">
        <f t="shared" si="28"/>
        <v>204700.83844635609</v>
      </c>
      <c r="M17" s="10">
        <f t="shared" si="4"/>
        <v>60387.080104045192</v>
      </c>
      <c r="O17">
        <f>Decomposition!H15</f>
        <v>0.72718404710878848</v>
      </c>
      <c r="Q17" s="118">
        <f>Decomposition!C15</f>
        <v>176403</v>
      </c>
      <c r="R17" s="31">
        <f t="shared" si="5"/>
        <v>176403</v>
      </c>
      <c r="S17" s="119">
        <f t="shared" si="6"/>
        <v>138645.36673425717</v>
      </c>
      <c r="T17" s="36">
        <f t="shared" si="7"/>
        <v>139733.51027552751</v>
      </c>
      <c r="U17" s="36">
        <f t="shared" si="8"/>
        <v>144313.7583423109</v>
      </c>
      <c r="V17" s="93">
        <f t="shared" si="9"/>
        <v>148855.1841479835</v>
      </c>
      <c r="W17" s="10"/>
      <c r="X17" s="10">
        <f t="shared" si="29"/>
        <v>37757.633265742828</v>
      </c>
      <c r="Y17" s="10">
        <f t="shared" si="30"/>
        <v>36669.489724472485</v>
      </c>
      <c r="Z17" s="10">
        <f t="shared" si="31"/>
        <v>32089.241657689097</v>
      </c>
      <c r="AA17" s="10">
        <f t="shared" si="32"/>
        <v>27547.815852016502</v>
      </c>
      <c r="AB17" s="10">
        <f t="shared" si="33"/>
        <v>0</v>
      </c>
      <c r="AC17" s="39">
        <f t="shared" si="34"/>
        <v>0.20780766979307383</v>
      </c>
      <c r="AD17" s="39">
        <f t="shared" si="35"/>
        <v>0.20181882583878563</v>
      </c>
      <c r="AE17" s="39">
        <f t="shared" si="36"/>
        <v>0.17661039523791811</v>
      </c>
      <c r="AF17" s="39">
        <f t="shared" si="37"/>
        <v>0.151615631726848</v>
      </c>
      <c r="AG17" s="47">
        <f t="shared" si="11"/>
        <v>0</v>
      </c>
      <c r="AH17" s="47">
        <f t="shared" si="12"/>
        <v>0</v>
      </c>
      <c r="AI17" s="47">
        <f t="shared" si="13"/>
        <v>0</v>
      </c>
      <c r="AJ17" s="47">
        <f t="shared" si="13"/>
        <v>0</v>
      </c>
      <c r="AK17" s="48">
        <f t="shared" si="38"/>
        <v>0.20780766979307383</v>
      </c>
      <c r="AL17" s="48">
        <f t="shared" si="39"/>
        <v>0.20181882583878563</v>
      </c>
      <c r="AM17" s="48">
        <f t="shared" si="40"/>
        <v>0.17661039523791811</v>
      </c>
      <c r="AN17" s="48">
        <f t="shared" si="41"/>
        <v>0.151615631726848</v>
      </c>
      <c r="AO17" s="48"/>
      <c r="AP17" s="1">
        <f t="shared" si="14"/>
        <v>66180.704498690262</v>
      </c>
      <c r="AQ17">
        <f t="shared" si="15"/>
        <v>3.1263973448434484E-2</v>
      </c>
      <c r="AR17" s="1">
        <f t="shared" si="44"/>
        <v>13841154.076022614</v>
      </c>
      <c r="AS17" s="1">
        <f t="shared" si="42"/>
        <v>3720.3701530926483</v>
      </c>
      <c r="AT17" s="1">
        <f t="shared" si="16"/>
        <v>1425638869.8303294</v>
      </c>
      <c r="AU17" s="2">
        <f t="shared" si="45"/>
        <v>40649290.51041586</v>
      </c>
      <c r="AV17">
        <f t="shared" si="43"/>
        <v>-34.071679036194439</v>
      </c>
      <c r="AW17">
        <f t="shared" si="17"/>
        <v>25759.893397949931</v>
      </c>
      <c r="AX17">
        <f t="shared" si="18"/>
        <v>0.37516768138121381</v>
      </c>
      <c r="AZ17" s="1">
        <f t="shared" si="19"/>
        <v>851.63349032609892</v>
      </c>
      <c r="BA17">
        <f t="shared" si="20"/>
        <v>0</v>
      </c>
      <c r="BB17" s="1">
        <f t="shared" si="21"/>
        <v>494.4380313657183</v>
      </c>
      <c r="BC17">
        <f t="shared" si="22"/>
        <v>0</v>
      </c>
      <c r="BD17" s="1">
        <f t="shared" si="23"/>
        <v>464.49756305382783</v>
      </c>
      <c r="BE17">
        <f t="shared" si="24"/>
        <v>0</v>
      </c>
    </row>
    <row r="18" spans="1:57" x14ac:dyDescent="0.3">
      <c r="A18">
        <v>1</v>
      </c>
      <c r="B18">
        <v>6</v>
      </c>
      <c r="C18" s="30">
        <v>42522</v>
      </c>
      <c r="D18" s="10">
        <f>Decomposition!I16</f>
        <v>238323.25929326477</v>
      </c>
      <c r="E18" s="10"/>
      <c r="F18" s="9">
        <f t="shared" si="25"/>
        <v>195852.93520544589</v>
      </c>
      <c r="G18" s="10">
        <f t="shared" si="1"/>
        <v>79185.655084270664</v>
      </c>
      <c r="H18" s="9">
        <f t="shared" si="26"/>
        <v>212327.68620158921</v>
      </c>
      <c r="I18" s="10">
        <f t="shared" si="2"/>
        <v>52783.165525890276</v>
      </c>
      <c r="J18" s="9">
        <f t="shared" si="27"/>
        <v>229345.27808438451</v>
      </c>
      <c r="K18" s="10">
        <f t="shared" si="3"/>
        <v>57791.192635349173</v>
      </c>
      <c r="L18" s="9">
        <f t="shared" si="28"/>
        <v>242583.70449869026</v>
      </c>
      <c r="M18" s="10">
        <f t="shared" si="4"/>
        <v>88047.210932450223</v>
      </c>
      <c r="O18">
        <f>Decomposition!H16</f>
        <v>0.67381589390901009</v>
      </c>
      <c r="Q18" s="118">
        <f>Decomposition!C16</f>
        <v>160586</v>
      </c>
      <c r="R18" s="31">
        <f t="shared" si="5"/>
        <v>160586</v>
      </c>
      <c r="S18" s="119">
        <f t="shared" si="6"/>
        <v>131968.82061016094</v>
      </c>
      <c r="T18" s="36">
        <f t="shared" si="7"/>
        <v>143069.76967955561</v>
      </c>
      <c r="U18" s="36">
        <f t="shared" si="8"/>
        <v>154536.49356624004</v>
      </c>
      <c r="V18" s="93">
        <f t="shared" si="9"/>
        <v>163456.75569454412</v>
      </c>
      <c r="W18" s="10"/>
      <c r="X18" s="10">
        <f t="shared" si="29"/>
        <v>28617.179389839061</v>
      </c>
      <c r="Y18" s="10">
        <f t="shared" si="30"/>
        <v>17516.230320444389</v>
      </c>
      <c r="Z18" s="10">
        <f t="shared" si="31"/>
        <v>6049.5064337599615</v>
      </c>
      <c r="AA18" s="10">
        <f t="shared" si="32"/>
        <v>2870.7556945441174</v>
      </c>
      <c r="AB18" s="10">
        <f t="shared" si="33"/>
        <v>0</v>
      </c>
      <c r="AC18" s="39">
        <f t="shared" si="34"/>
        <v>0.17301426843263645</v>
      </c>
      <c r="AD18" s="39">
        <f t="shared" si="35"/>
        <v>0.10589994678739353</v>
      </c>
      <c r="AE18" s="39">
        <f t="shared" si="36"/>
        <v>3.6574217037865578E-2</v>
      </c>
      <c r="AF18" s="39">
        <f t="shared" si="37"/>
        <v>1.7356067471720488E-2</v>
      </c>
      <c r="AG18" s="47">
        <f t="shared" si="11"/>
        <v>0</v>
      </c>
      <c r="AH18" s="47">
        <f t="shared" si="12"/>
        <v>0</v>
      </c>
      <c r="AI18" s="47">
        <f t="shared" si="13"/>
        <v>0</v>
      </c>
      <c r="AJ18" s="47">
        <f t="shared" si="13"/>
        <v>0</v>
      </c>
      <c r="AK18" s="48">
        <f t="shared" si="38"/>
        <v>0.17301426843263645</v>
      </c>
      <c r="AL18" s="48">
        <f t="shared" si="39"/>
        <v>0.10589994678739353</v>
      </c>
      <c r="AM18" s="48">
        <f t="shared" si="40"/>
        <v>3.6574217037865578E-2</v>
      </c>
      <c r="AN18" s="48">
        <f t="shared" si="41"/>
        <v>1.7356067471720488E-2</v>
      </c>
      <c r="AO18" s="48"/>
      <c r="AP18" s="1">
        <f t="shared" si="14"/>
        <v>77737.259293264768</v>
      </c>
      <c r="AQ18">
        <f t="shared" si="15"/>
        <v>4.0340409133457447E-2</v>
      </c>
      <c r="AR18" s="1">
        <f t="shared" si="44"/>
        <v>7950902.4876721306</v>
      </c>
      <c r="AS18" s="1">
        <f t="shared" si="42"/>
        <v>2819.7344711288206</v>
      </c>
      <c r="AT18" s="1">
        <f t="shared" si="16"/>
        <v>818942956.2302295</v>
      </c>
      <c r="AU18" s="2">
        <f t="shared" si="45"/>
        <v>89138530.675463974</v>
      </c>
      <c r="AV18">
        <f t="shared" si="43"/>
        <v>-8.1873059834454889</v>
      </c>
      <c r="AW18">
        <f t="shared" si="17"/>
        <v>35541.826270187812</v>
      </c>
      <c r="AX18">
        <f t="shared" si="18"/>
        <v>0.48408490960148937</v>
      </c>
      <c r="AZ18" s="1">
        <f t="shared" si="19"/>
        <v>768.79276780845305</v>
      </c>
      <c r="BA18">
        <f t="shared" si="20"/>
        <v>0</v>
      </c>
      <c r="BB18" s="1">
        <f t="shared" si="21"/>
        <v>512.45791772709003</v>
      </c>
      <c r="BC18">
        <f t="shared" si="22"/>
        <v>0</v>
      </c>
      <c r="BD18" s="1">
        <f t="shared" si="23"/>
        <v>561.07954014902111</v>
      </c>
      <c r="BE18">
        <f t="shared" si="24"/>
        <v>0</v>
      </c>
    </row>
    <row r="19" spans="1:57" x14ac:dyDescent="0.3">
      <c r="A19">
        <v>1</v>
      </c>
      <c r="B19">
        <v>7</v>
      </c>
      <c r="C19" s="30">
        <v>42552</v>
      </c>
      <c r="D19" s="10">
        <f>Decomposition!I17</f>
        <v>239932.80180152546</v>
      </c>
      <c r="E19" s="10"/>
      <c r="F19" s="9">
        <f t="shared" si="25"/>
        <v>200099.96761422776</v>
      </c>
      <c r="G19" s="10">
        <f t="shared" si="1"/>
        <v>161843.43211555004</v>
      </c>
      <c r="H19" s="9">
        <f t="shared" si="26"/>
        <v>222725.91543825943</v>
      </c>
      <c r="I19" s="10">
        <f t="shared" si="2"/>
        <v>9444.2431829879642</v>
      </c>
      <c r="J19" s="9">
        <f t="shared" si="27"/>
        <v>235629.86493060068</v>
      </c>
      <c r="K19" s="10">
        <f t="shared" si="3"/>
        <v>21024.274622994562</v>
      </c>
      <c r="L19" s="9">
        <f t="shared" si="28"/>
        <v>238323.25929326477</v>
      </c>
      <c r="M19" s="10">
        <f t="shared" si="4"/>
        <v>36621.618477999902</v>
      </c>
      <c r="O19">
        <f>Decomposition!H17</f>
        <v>0.85601050985057181</v>
      </c>
      <c r="Q19" s="118">
        <f>Decomposition!C17</f>
        <v>205385</v>
      </c>
      <c r="R19" s="31">
        <f t="shared" si="5"/>
        <v>205385</v>
      </c>
      <c r="S19" s="119">
        <f t="shared" si="6"/>
        <v>171287.675298538</v>
      </c>
      <c r="T19" s="36">
        <f t="shared" si="7"/>
        <v>190655.7244312398</v>
      </c>
      <c r="U19" s="36">
        <f t="shared" si="8"/>
        <v>201701.64081526487</v>
      </c>
      <c r="V19" s="93">
        <f t="shared" si="9"/>
        <v>204007.21469687761</v>
      </c>
      <c r="W19" s="10"/>
      <c r="X19" s="10">
        <f t="shared" si="29"/>
        <v>34097.324701461999</v>
      </c>
      <c r="Y19" s="10">
        <f t="shared" si="30"/>
        <v>14729.275568760204</v>
      </c>
      <c r="Z19" s="10">
        <f t="shared" si="31"/>
        <v>3683.3591847351345</v>
      </c>
      <c r="AA19" s="10">
        <f t="shared" si="32"/>
        <v>1377.7853031223931</v>
      </c>
      <c r="AB19" s="10">
        <f t="shared" si="33"/>
        <v>0</v>
      </c>
      <c r="AC19" s="39">
        <f t="shared" si="34"/>
        <v>0.16118119015158602</v>
      </c>
      <c r="AD19" s="39">
        <f t="shared" si="35"/>
        <v>6.9626640419142752E-2</v>
      </c>
      <c r="AE19" s="39">
        <f t="shared" si="36"/>
        <v>1.7411577663332893E-2</v>
      </c>
      <c r="AF19" s="39">
        <f t="shared" si="37"/>
        <v>6.5129178571921558E-3</v>
      </c>
      <c r="AG19" s="47">
        <f t="shared" si="11"/>
        <v>0</v>
      </c>
      <c r="AH19" s="47">
        <f t="shared" si="12"/>
        <v>0</v>
      </c>
      <c r="AI19" s="47">
        <f t="shared" si="13"/>
        <v>0</v>
      </c>
      <c r="AJ19" s="47">
        <f t="shared" si="13"/>
        <v>0</v>
      </c>
      <c r="AK19" s="48">
        <f t="shared" si="38"/>
        <v>0.16118119015158602</v>
      </c>
      <c r="AL19" s="48">
        <f t="shared" si="39"/>
        <v>6.9626640419142752E-2</v>
      </c>
      <c r="AM19" s="48">
        <f t="shared" si="40"/>
        <v>1.7411577663332893E-2</v>
      </c>
      <c r="AN19" s="48">
        <f t="shared" si="41"/>
        <v>6.5129178571921558E-3</v>
      </c>
      <c r="AO19" s="48"/>
      <c r="AP19" s="1">
        <f t="shared" si="14"/>
        <v>34547.801801525464</v>
      </c>
      <c r="AQ19">
        <f t="shared" si="15"/>
        <v>1.4017496328653288E-2</v>
      </c>
      <c r="AR19" s="1">
        <f t="shared" si="44"/>
        <v>11287646.133950781</v>
      </c>
      <c r="AS19" s="1">
        <f t="shared" si="42"/>
        <v>3359.7092335425073</v>
      </c>
      <c r="AT19" s="1">
        <f t="shared" si="16"/>
        <v>1162627551.7969306</v>
      </c>
      <c r="AU19" s="2">
        <f t="shared" si="45"/>
        <v>1250165507.5201254</v>
      </c>
      <c r="AV19">
        <f t="shared" si="43"/>
        <v>7.0021093364540432E-2</v>
      </c>
      <c r="AW19">
        <f t="shared" si="17"/>
        <v>7019.7578047537691</v>
      </c>
      <c r="AX19">
        <f t="shared" si="18"/>
        <v>0.16820995594383945</v>
      </c>
      <c r="AZ19" s="1">
        <f t="shared" si="19"/>
        <v>1571.2954574325247</v>
      </c>
      <c r="BA19">
        <f t="shared" si="20"/>
        <v>0</v>
      </c>
      <c r="BB19" s="1">
        <f t="shared" si="21"/>
        <v>91.691681388232666</v>
      </c>
      <c r="BC19">
        <f t="shared" si="22"/>
        <v>0</v>
      </c>
      <c r="BD19" s="1">
        <f t="shared" si="23"/>
        <v>204.11917109703458</v>
      </c>
      <c r="BE19">
        <f t="shared" si="24"/>
        <v>0</v>
      </c>
    </row>
    <row r="20" spans="1:57" x14ac:dyDescent="0.3">
      <c r="A20">
        <v>1</v>
      </c>
      <c r="B20">
        <v>8</v>
      </c>
      <c r="C20" s="30">
        <v>42583</v>
      </c>
      <c r="D20" s="10">
        <f>Decomposition!I18</f>
        <v>249056.79957154609</v>
      </c>
      <c r="E20" s="10"/>
      <c r="F20" s="9">
        <f t="shared" si="25"/>
        <v>204083.25103295752</v>
      </c>
      <c r="G20" s="10">
        <f t="shared" si="1"/>
        <v>123904.61451286951</v>
      </c>
      <c r="H20" s="9">
        <f t="shared" si="26"/>
        <v>229608.66998356584</v>
      </c>
      <c r="I20" s="10">
        <f t="shared" si="2"/>
        <v>30437.273486936436</v>
      </c>
      <c r="J20" s="9">
        <f t="shared" si="27"/>
        <v>238641.92074024802</v>
      </c>
      <c r="K20" s="10">
        <f t="shared" si="3"/>
        <v>49131.122627159639</v>
      </c>
      <c r="L20" s="9">
        <f t="shared" si="28"/>
        <v>239932.80180152546</v>
      </c>
      <c r="M20" s="10">
        <f t="shared" si="4"/>
        <v>59455.254445119266</v>
      </c>
      <c r="O20">
        <f>Decomposition!H18</f>
        <v>0.756269253937361</v>
      </c>
      <c r="Q20" s="118">
        <f>Decomposition!C18</f>
        <v>188354</v>
      </c>
      <c r="R20" s="31">
        <f t="shared" si="5"/>
        <v>188354</v>
      </c>
      <c r="S20" s="119">
        <f t="shared" si="6"/>
        <v>154341.88799980594</v>
      </c>
      <c r="T20" s="36">
        <f t="shared" si="7"/>
        <v>173645.97754602108</v>
      </c>
      <c r="U20" s="36">
        <f t="shared" si="8"/>
        <v>180477.5473564062</v>
      </c>
      <c r="V20" s="93">
        <f t="shared" si="9"/>
        <v>181453.80101354036</v>
      </c>
      <c r="W20" s="10"/>
      <c r="X20" s="10">
        <f t="shared" si="29"/>
        <v>34012.112000194058</v>
      </c>
      <c r="Y20" s="10">
        <f t="shared" si="30"/>
        <v>14708.02245397892</v>
      </c>
      <c r="Z20" s="10">
        <f t="shared" si="31"/>
        <v>7876.4526435938023</v>
      </c>
      <c r="AA20" s="10">
        <f t="shared" si="32"/>
        <v>6900.1989864596399</v>
      </c>
      <c r="AB20" s="10">
        <f t="shared" si="33"/>
        <v>0</v>
      </c>
      <c r="AC20" s="39">
        <f t="shared" si="34"/>
        <v>0.17531598989856045</v>
      </c>
      <c r="AD20" s="39">
        <f t="shared" si="35"/>
        <v>7.5812743294355167E-2</v>
      </c>
      <c r="AE20" s="39">
        <f t="shared" si="36"/>
        <v>4.0599304509314274E-2</v>
      </c>
      <c r="AF20" s="39">
        <f t="shared" si="37"/>
        <v>3.5567189000239474E-2</v>
      </c>
      <c r="AG20" s="47">
        <f t="shared" si="11"/>
        <v>0</v>
      </c>
      <c r="AH20" s="47">
        <f t="shared" si="12"/>
        <v>0</v>
      </c>
      <c r="AI20" s="47">
        <f t="shared" si="13"/>
        <v>0</v>
      </c>
      <c r="AJ20" s="47">
        <f t="shared" si="13"/>
        <v>0</v>
      </c>
      <c r="AK20" s="48">
        <f t="shared" si="38"/>
        <v>0.17531598989856045</v>
      </c>
      <c r="AL20" s="48">
        <f t="shared" si="39"/>
        <v>7.5812743294355167E-2</v>
      </c>
      <c r="AM20" s="48">
        <f t="shared" si="40"/>
        <v>4.0599304509314274E-2</v>
      </c>
      <c r="AN20" s="48">
        <f t="shared" si="41"/>
        <v>3.5567189000239474E-2</v>
      </c>
      <c r="AO20" s="48"/>
      <c r="AP20" s="1">
        <f t="shared" si="14"/>
        <v>60702.799571546086</v>
      </c>
      <c r="AQ20">
        <f t="shared" si="15"/>
        <v>2.6856698721355394E-2</v>
      </c>
      <c r="AR20" s="1">
        <f t="shared" si="44"/>
        <v>11231298.667123733</v>
      </c>
      <c r="AS20" s="1">
        <f t="shared" si="42"/>
        <v>3351.3129765994304</v>
      </c>
      <c r="AT20" s="1">
        <f t="shared" si="16"/>
        <v>1156823762.7137446</v>
      </c>
      <c r="AU20" s="2">
        <f t="shared" si="45"/>
        <v>335867185.58808607</v>
      </c>
      <c r="AV20">
        <f t="shared" si="43"/>
        <v>-2.4442893273071795</v>
      </c>
      <c r="AW20">
        <f t="shared" si="17"/>
        <v>21671.986992484446</v>
      </c>
      <c r="AX20">
        <f t="shared" si="18"/>
        <v>0.32228038465626474</v>
      </c>
      <c r="AZ20" s="1">
        <f t="shared" si="19"/>
        <v>1202.9574224550438</v>
      </c>
      <c r="BA20">
        <f t="shared" si="20"/>
        <v>0</v>
      </c>
      <c r="BB20" s="1">
        <f t="shared" si="21"/>
        <v>295.50750958190713</v>
      </c>
      <c r="BC20">
        <f t="shared" si="22"/>
        <v>0</v>
      </c>
      <c r="BD20" s="1">
        <f t="shared" si="23"/>
        <v>477.00119055494793</v>
      </c>
      <c r="BE20">
        <f t="shared" si="24"/>
        <v>0</v>
      </c>
    </row>
    <row r="21" spans="1:57" x14ac:dyDescent="0.3">
      <c r="A21">
        <v>1</v>
      </c>
      <c r="B21">
        <v>9</v>
      </c>
      <c r="C21" s="30">
        <v>42614</v>
      </c>
      <c r="D21" s="10">
        <f>Decomposition!I19</f>
        <v>229806.82064988138</v>
      </c>
      <c r="E21" s="10"/>
      <c r="F21" s="9">
        <f t="shared" si="25"/>
        <v>208580.6058868164</v>
      </c>
      <c r="G21" s="10">
        <f t="shared" si="1"/>
        <v>156237.21495193249</v>
      </c>
      <c r="H21" s="9">
        <f t="shared" si="26"/>
        <v>237387.92181875795</v>
      </c>
      <c r="I21" s="10">
        <f t="shared" si="2"/>
        <v>14389.00053538775</v>
      </c>
      <c r="J21" s="9">
        <f t="shared" si="27"/>
        <v>245932.33592215666</v>
      </c>
      <c r="K21" s="10">
        <f t="shared" si="3"/>
        <v>36206.687513952318</v>
      </c>
      <c r="L21" s="9">
        <f t="shared" si="28"/>
        <v>249056.79957154609</v>
      </c>
      <c r="M21" s="10">
        <f t="shared" si="4"/>
        <v>47875.56526674045</v>
      </c>
      <c r="O21">
        <f>Decomposition!H19</f>
        <v>0.81803490195971706</v>
      </c>
      <c r="Q21" s="118">
        <f>Decomposition!C19</f>
        <v>187990</v>
      </c>
      <c r="R21" s="31">
        <f t="shared" si="5"/>
        <v>187990</v>
      </c>
      <c r="S21" s="119">
        <f t="shared" si="6"/>
        <v>170626.21548732024</v>
      </c>
      <c r="T21" s="36">
        <f t="shared" si="7"/>
        <v>194191.60535142865</v>
      </c>
      <c r="U21" s="36">
        <f t="shared" si="8"/>
        <v>201181.23430480564</v>
      </c>
      <c r="V21" s="93">
        <f t="shared" si="9"/>
        <v>203737.15461991061</v>
      </c>
      <c r="W21" s="10"/>
      <c r="X21" s="10">
        <f t="shared" si="29"/>
        <v>17363.784512679762</v>
      </c>
      <c r="Y21" s="10">
        <f t="shared" si="30"/>
        <v>6201.6053514286468</v>
      </c>
      <c r="Z21" s="10">
        <f t="shared" si="31"/>
        <v>13191.234304805635</v>
      </c>
      <c r="AA21" s="10">
        <f t="shared" si="32"/>
        <v>15747.154619910609</v>
      </c>
      <c r="AB21" s="10">
        <f t="shared" si="33"/>
        <v>0</v>
      </c>
      <c r="AC21" s="39">
        <f t="shared" si="34"/>
        <v>8.9675212597446374E-2</v>
      </c>
      <c r="AD21" s="39">
        <f t="shared" si="35"/>
        <v>3.2028172080154273E-2</v>
      </c>
      <c r="AE21" s="39">
        <f t="shared" si="36"/>
        <v>6.8126089669124285E-2</v>
      </c>
      <c r="AF21" s="39">
        <f t="shared" si="37"/>
        <v>8.1326132405878909E-2</v>
      </c>
      <c r="AG21" s="47">
        <f t="shared" si="11"/>
        <v>0</v>
      </c>
      <c r="AH21" s="47">
        <f t="shared" si="12"/>
        <v>0</v>
      </c>
      <c r="AI21" s="47">
        <f t="shared" si="13"/>
        <v>0</v>
      </c>
      <c r="AJ21" s="47">
        <f t="shared" si="13"/>
        <v>0</v>
      </c>
      <c r="AK21" s="48">
        <f t="shared" si="38"/>
        <v>8.9675212597446374E-2</v>
      </c>
      <c r="AL21" s="48">
        <f t="shared" si="39"/>
        <v>3.2028172080154273E-2</v>
      </c>
      <c r="AM21" s="48">
        <f t="shared" si="40"/>
        <v>6.8126089669124285E-2</v>
      </c>
      <c r="AN21" s="48">
        <f t="shared" si="41"/>
        <v>8.1326132405878909E-2</v>
      </c>
      <c r="AO21" s="48"/>
      <c r="AP21" s="1">
        <f t="shared" si="14"/>
        <v>41816.820649881382</v>
      </c>
      <c r="AQ21">
        <f t="shared" si="15"/>
        <v>1.853681075672526E-2</v>
      </c>
      <c r="AR21" s="1">
        <f t="shared" si="44"/>
        <v>2927194.2971143448</v>
      </c>
      <c r="AS21" s="1">
        <f t="shared" si="42"/>
        <v>1710.9045260079081</v>
      </c>
      <c r="AT21" s="1">
        <f t="shared" si="16"/>
        <v>301501012.60277754</v>
      </c>
      <c r="AU21" s="2">
        <f t="shared" si="45"/>
        <v>322657858.83080453</v>
      </c>
      <c r="AV21">
        <f t="shared" si="43"/>
        <v>6.5570528189493826E-2</v>
      </c>
      <c r="AW21">
        <f t="shared" si="17"/>
        <v>10284.503015576345</v>
      </c>
      <c r="AX21">
        <f t="shared" si="18"/>
        <v>0.22244172908070314</v>
      </c>
      <c r="AZ21" s="1">
        <f t="shared" si="19"/>
        <v>1516.8661645818688</v>
      </c>
      <c r="BA21">
        <f t="shared" si="20"/>
        <v>0</v>
      </c>
      <c r="BB21" s="1">
        <f t="shared" si="21"/>
        <v>139.6990343241529</v>
      </c>
      <c r="BC21">
        <f t="shared" si="22"/>
        <v>0</v>
      </c>
      <c r="BD21" s="1">
        <f t="shared" si="23"/>
        <v>351.52123799953705</v>
      </c>
      <c r="BE21">
        <f t="shared" si="24"/>
        <v>0</v>
      </c>
    </row>
    <row r="22" spans="1:57" x14ac:dyDescent="0.3">
      <c r="A22">
        <v>1</v>
      </c>
      <c r="B22">
        <v>10</v>
      </c>
      <c r="C22" s="30">
        <v>42644</v>
      </c>
      <c r="D22" s="10">
        <f>Decomposition!I20</f>
        <v>222930.21241106166</v>
      </c>
      <c r="E22" s="10"/>
      <c r="F22" s="9">
        <f t="shared" si="25"/>
        <v>210703.22736312292</v>
      </c>
      <c r="G22" s="10">
        <f t="shared" si="1"/>
        <v>189033.31454241191</v>
      </c>
      <c r="H22" s="9">
        <f t="shared" si="26"/>
        <v>234355.48135120733</v>
      </c>
      <c r="I22" s="10">
        <f t="shared" si="2"/>
        <v>4010.4676823836344</v>
      </c>
      <c r="J22" s="9">
        <f t="shared" si="27"/>
        <v>234644.47523156396</v>
      </c>
      <c r="K22" s="10">
        <f t="shared" si="3"/>
        <v>19377.013561580825</v>
      </c>
      <c r="L22" s="9">
        <f t="shared" si="28"/>
        <v>229806.82064988138</v>
      </c>
      <c r="M22" s="10">
        <f t="shared" si="4"/>
        <v>14828.352860254876</v>
      </c>
      <c r="O22">
        <f>Decomposition!H20</f>
        <v>0.91618806527394414</v>
      </c>
      <c r="Q22" s="118">
        <f>Decomposition!C20</f>
        <v>204246</v>
      </c>
      <c r="R22" s="31">
        <f t="shared" si="5"/>
        <v>204246</v>
      </c>
      <c r="S22" s="119">
        <f t="shared" si="6"/>
        <v>193043.78222479555</v>
      </c>
      <c r="T22" s="36">
        <f t="shared" si="7"/>
        <v>214713.69504550655</v>
      </c>
      <c r="U22" s="36">
        <f t="shared" si="8"/>
        <v>214978.46778962651</v>
      </c>
      <c r="V22" s="93">
        <f t="shared" si="9"/>
        <v>210546.26639797111</v>
      </c>
      <c r="W22" s="10"/>
      <c r="X22" s="10">
        <f t="shared" si="29"/>
        <v>11202.217775204452</v>
      </c>
      <c r="Y22" s="10">
        <f t="shared" si="30"/>
        <v>10467.695045506553</v>
      </c>
      <c r="Z22" s="10">
        <f t="shared" si="31"/>
        <v>10732.467789626506</v>
      </c>
      <c r="AA22" s="10">
        <f t="shared" si="32"/>
        <v>6300.2663979711069</v>
      </c>
      <c r="AB22" s="10">
        <f t="shared" si="33"/>
        <v>0</v>
      </c>
      <c r="AC22" s="39">
        <f t="shared" si="34"/>
        <v>5.3249217059708087E-2</v>
      </c>
      <c r="AD22" s="39">
        <f t="shared" si="35"/>
        <v>4.9757697696859525E-2</v>
      </c>
      <c r="AE22" s="39">
        <f t="shared" si="36"/>
        <v>5.1016282524084106E-2</v>
      </c>
      <c r="AF22" s="39">
        <f t="shared" si="37"/>
        <v>2.994802098046391E-2</v>
      </c>
      <c r="AG22" s="47">
        <f t="shared" si="11"/>
        <v>0</v>
      </c>
      <c r="AH22" s="47">
        <f t="shared" si="12"/>
        <v>0</v>
      </c>
      <c r="AI22" s="47">
        <f t="shared" si="13"/>
        <v>0</v>
      </c>
      <c r="AJ22" s="47">
        <f t="shared" si="13"/>
        <v>0</v>
      </c>
      <c r="AK22" s="48">
        <f t="shared" si="38"/>
        <v>5.3249217059708087E-2</v>
      </c>
      <c r="AL22" s="48">
        <f t="shared" si="39"/>
        <v>4.9757697696859525E-2</v>
      </c>
      <c r="AM22" s="48">
        <f t="shared" si="40"/>
        <v>5.1016282524084106E-2</v>
      </c>
      <c r="AN22" s="48">
        <f t="shared" si="41"/>
        <v>2.994802098046391E-2</v>
      </c>
      <c r="AO22" s="48"/>
      <c r="AP22" s="1">
        <f t="shared" si="14"/>
        <v>18684.212411061657</v>
      </c>
      <c r="AQ22">
        <f t="shared" si="15"/>
        <v>7.6232469714060721E-3</v>
      </c>
      <c r="AR22" s="1">
        <f t="shared" si="44"/>
        <v>1218346.4377000637</v>
      </c>
      <c r="AS22" s="1">
        <f t="shared" si="42"/>
        <v>1103.7873154281415</v>
      </c>
      <c r="AT22" s="1">
        <f t="shared" si="16"/>
        <v>125489683.08310658</v>
      </c>
      <c r="AU22" s="2">
        <f t="shared" si="45"/>
        <v>1170918034.3647857</v>
      </c>
      <c r="AV22">
        <f t="shared" si="43"/>
        <v>0.89282795259773773</v>
      </c>
      <c r="AW22">
        <f t="shared" si="17"/>
        <v>2053.1982308743791</v>
      </c>
      <c r="AX22">
        <f t="shared" si="18"/>
        <v>9.1478963656872872E-2</v>
      </c>
      <c r="AZ22" s="1">
        <f t="shared" si="19"/>
        <v>1835.2748984700186</v>
      </c>
      <c r="BA22">
        <f t="shared" si="20"/>
        <v>0</v>
      </c>
      <c r="BB22" s="1">
        <f t="shared" si="21"/>
        <v>38.936579440617813</v>
      </c>
      <c r="BC22">
        <f t="shared" si="22"/>
        <v>0</v>
      </c>
      <c r="BD22" s="1">
        <f t="shared" si="23"/>
        <v>188.12634525806627</v>
      </c>
      <c r="BE22">
        <f t="shared" si="24"/>
        <v>0</v>
      </c>
    </row>
    <row r="23" spans="1:57" x14ac:dyDescent="0.3">
      <c r="A23">
        <v>1</v>
      </c>
      <c r="B23">
        <v>11</v>
      </c>
      <c r="C23" s="30">
        <v>42675</v>
      </c>
      <c r="D23" s="10">
        <f>Decomposition!I21</f>
        <v>197050.22828587753</v>
      </c>
      <c r="E23" s="10"/>
      <c r="F23" s="9">
        <f t="shared" si="25"/>
        <v>211925.92586791678</v>
      </c>
      <c r="G23" s="10">
        <f t="shared" si="1"/>
        <v>191015.48673336551</v>
      </c>
      <c r="H23" s="9">
        <f t="shared" si="26"/>
        <v>229785.37377514906</v>
      </c>
      <c r="I23" s="10">
        <f t="shared" si="2"/>
        <v>57114.477692912158</v>
      </c>
      <c r="J23" s="9">
        <f t="shared" si="27"/>
        <v>226444.49125721236</v>
      </c>
      <c r="K23" s="10">
        <f t="shared" si="3"/>
        <v>35343.412757545942</v>
      </c>
      <c r="L23" s="9">
        <f t="shared" si="28"/>
        <v>222930.21241106166</v>
      </c>
      <c r="M23" s="10">
        <f t="shared" si="4"/>
        <v>42198.574121633341</v>
      </c>
      <c r="O23">
        <f>Decomposition!H21</f>
        <v>1.1708334570680377</v>
      </c>
      <c r="Q23" s="118">
        <f>Decomposition!C21</f>
        <v>230713</v>
      </c>
      <c r="R23" s="31">
        <f t="shared" si="5"/>
        <v>230713</v>
      </c>
      <c r="S23" s="119">
        <f t="shared" si="6"/>
        <v>248129.96442627767</v>
      </c>
      <c r="T23" s="36">
        <f t="shared" si="7"/>
        <v>269040.40356082894</v>
      </c>
      <c r="U23" s="36">
        <f t="shared" si="8"/>
        <v>265128.786532695</v>
      </c>
      <c r="V23" s="93">
        <f t="shared" si="9"/>
        <v>261014.15128215528</v>
      </c>
      <c r="W23" s="10"/>
      <c r="X23" s="10">
        <f t="shared" si="29"/>
        <v>17416.964426277671</v>
      </c>
      <c r="Y23" s="10">
        <f t="shared" si="30"/>
        <v>38327.403560828941</v>
      </c>
      <c r="Z23" s="10">
        <f t="shared" si="31"/>
        <v>34415.786532694998</v>
      </c>
      <c r="AA23" s="10">
        <f t="shared" si="32"/>
        <v>30301.151282155275</v>
      </c>
      <c r="AB23" s="10">
        <f t="shared" si="33"/>
        <v>0</v>
      </c>
      <c r="AC23" s="39">
        <f t="shared" si="34"/>
        <v>7.329311395660229E-2</v>
      </c>
      <c r="AD23" s="39">
        <f t="shared" si="35"/>
        <v>0.16128727647891766</v>
      </c>
      <c r="AE23" s="39">
        <f t="shared" si="36"/>
        <v>0.14482662434799523</v>
      </c>
      <c r="AF23" s="39">
        <f t="shared" si="37"/>
        <v>0.1275116420740082</v>
      </c>
      <c r="AG23" s="47">
        <f t="shared" si="11"/>
        <v>0</v>
      </c>
      <c r="AH23" s="47">
        <f t="shared" si="12"/>
        <v>0</v>
      </c>
      <c r="AI23" s="47">
        <f t="shared" si="13"/>
        <v>0</v>
      </c>
      <c r="AJ23" s="47">
        <f t="shared" si="13"/>
        <v>0</v>
      </c>
      <c r="AK23" s="48">
        <f t="shared" si="38"/>
        <v>7.329311395660229E-2</v>
      </c>
      <c r="AL23" s="48">
        <f t="shared" si="39"/>
        <v>0.16128727647891766</v>
      </c>
      <c r="AM23" s="48">
        <f t="shared" si="40"/>
        <v>0.14482662434799523</v>
      </c>
      <c r="AN23" s="48">
        <f t="shared" si="41"/>
        <v>0.1275116420740082</v>
      </c>
      <c r="AO23" s="48"/>
      <c r="AP23" s="1">
        <f t="shared" si="14"/>
        <v>-33662.771714122471</v>
      </c>
      <c r="AQ23">
        <f t="shared" si="15"/>
        <v>-1.2158963630904511E-2</v>
      </c>
      <c r="AR23" s="1">
        <f t="shared" si="44"/>
        <v>2945151.9400604065</v>
      </c>
      <c r="AS23" s="1">
        <f t="shared" si="42"/>
        <v>1716.1444985957348</v>
      </c>
      <c r="AT23" s="1">
        <f t="shared" si="16"/>
        <v>303350649.82622188</v>
      </c>
      <c r="AU23" s="2">
        <f t="shared" si="45"/>
        <v>3682751709.9278932</v>
      </c>
      <c r="AV23">
        <f t="shared" si="43"/>
        <v>0.91762935062701756</v>
      </c>
      <c r="AW23">
        <f t="shared" si="17"/>
        <v>6664.7065712080184</v>
      </c>
      <c r="AX23">
        <f t="shared" si="18"/>
        <v>0.14590756357085413</v>
      </c>
      <c r="AZ23" s="1">
        <f t="shared" si="19"/>
        <v>1854.5192886734517</v>
      </c>
      <c r="BA23">
        <f t="shared" si="20"/>
        <v>0</v>
      </c>
      <c r="BB23" s="1">
        <f t="shared" si="21"/>
        <v>554.50949216419576</v>
      </c>
      <c r="BC23">
        <f t="shared" si="22"/>
        <v>0</v>
      </c>
      <c r="BD23" s="1">
        <f t="shared" si="23"/>
        <v>343.13992968491209</v>
      </c>
      <c r="BE23">
        <f t="shared" si="24"/>
        <v>0</v>
      </c>
    </row>
    <row r="24" spans="1:57" x14ac:dyDescent="0.3">
      <c r="A24">
        <v>1</v>
      </c>
      <c r="B24">
        <v>12</v>
      </c>
      <c r="C24" s="30">
        <v>42705</v>
      </c>
      <c r="D24" s="10">
        <f>Decomposition!I22</f>
        <v>174169.41747995917</v>
      </c>
      <c r="E24" s="10"/>
      <c r="F24" s="9">
        <f t="shared" si="25"/>
        <v>210438.35610971285</v>
      </c>
      <c r="G24" s="10">
        <f t="shared" si="1"/>
        <v>201735.12793323747</v>
      </c>
      <c r="H24" s="9">
        <f t="shared" si="26"/>
        <v>216691.31557944044</v>
      </c>
      <c r="I24" s="10">
        <f t="shared" si="2"/>
        <v>91165.064235289756</v>
      </c>
      <c r="J24" s="9">
        <f t="shared" si="27"/>
        <v>205868.50717727799</v>
      </c>
      <c r="K24" s="10">
        <f t="shared" si="3"/>
        <v>69848.298340730369</v>
      </c>
      <c r="L24" s="9">
        <f t="shared" si="28"/>
        <v>197050.22828587753</v>
      </c>
      <c r="M24" s="10">
        <f t="shared" si="4"/>
        <v>89489.385634293285</v>
      </c>
      <c r="O24">
        <f>Decomposition!H22</f>
        <v>1.3918574426414096</v>
      </c>
      <c r="Q24" s="118">
        <f>Decomposition!C22</f>
        <v>242419</v>
      </c>
      <c r="R24" s="31">
        <f t="shared" si="5"/>
        <v>242419</v>
      </c>
      <c r="S24" s="119">
        <f t="shared" si="6"/>
        <v>292900.19216852722</v>
      </c>
      <c r="T24" s="36">
        <f t="shared" si="7"/>
        <v>301603.42034500261</v>
      </c>
      <c r="U24" s="36">
        <f t="shared" si="8"/>
        <v>286539.61392017081</v>
      </c>
      <c r="V24" s="93">
        <f t="shared" si="9"/>
        <v>274265.82681388746</v>
      </c>
      <c r="W24" s="10"/>
      <c r="X24" s="10">
        <f t="shared" si="29"/>
        <v>50481.192168527225</v>
      </c>
      <c r="Y24" s="10">
        <f t="shared" si="30"/>
        <v>59184.420345002611</v>
      </c>
      <c r="Z24" s="10">
        <f t="shared" si="31"/>
        <v>44120.613920170814</v>
      </c>
      <c r="AA24" s="10">
        <f t="shared" si="32"/>
        <v>31846.826813887456</v>
      </c>
      <c r="AB24" s="10">
        <f t="shared" si="33"/>
        <v>0</v>
      </c>
      <c r="AC24" s="39">
        <f t="shared" si="34"/>
        <v>0.20217419502199144</v>
      </c>
      <c r="AD24" s="39">
        <f t="shared" si="35"/>
        <v>0.23703011016752631</v>
      </c>
      <c r="AE24" s="39">
        <f t="shared" si="36"/>
        <v>0.1767004545654898</v>
      </c>
      <c r="AF24" s="39">
        <f t="shared" si="37"/>
        <v>0.12754466165552747</v>
      </c>
      <c r="AG24" s="47">
        <f t="shared" si="11"/>
        <v>0</v>
      </c>
      <c r="AH24" s="47">
        <f t="shared" si="12"/>
        <v>0</v>
      </c>
      <c r="AI24" s="47">
        <f t="shared" si="13"/>
        <v>0</v>
      </c>
      <c r="AJ24" s="47">
        <f t="shared" si="13"/>
        <v>0</v>
      </c>
      <c r="AK24" s="48">
        <f t="shared" si="38"/>
        <v>0.20217419502199144</v>
      </c>
      <c r="AL24" s="48">
        <f t="shared" si="39"/>
        <v>0.23703011016752631</v>
      </c>
      <c r="AM24" s="48">
        <f t="shared" si="40"/>
        <v>0.1767004545654898</v>
      </c>
      <c r="AN24" s="48">
        <f t="shared" si="41"/>
        <v>0.12754466165552747</v>
      </c>
      <c r="AO24" s="48"/>
      <c r="AP24" s="1">
        <f t="shared" si="14"/>
        <v>-68249.582520040829</v>
      </c>
      <c r="AQ24">
        <f t="shared" si="15"/>
        <v>-2.3461301341905553E-2</v>
      </c>
      <c r="AR24" s="1">
        <f t="shared" si="44"/>
        <v>24741269.541318197</v>
      </c>
      <c r="AS24" s="1">
        <f t="shared" si="42"/>
        <v>4974.0596640287895</v>
      </c>
      <c r="AT24" s="1">
        <f t="shared" si="16"/>
        <v>2548350762.7557745</v>
      </c>
      <c r="AU24" s="2">
        <f t="shared" si="45"/>
        <v>5240555276.9958544</v>
      </c>
      <c r="AV24">
        <f t="shared" si="43"/>
        <v>0.51372504857603274</v>
      </c>
      <c r="AW24">
        <f t="shared" si="17"/>
        <v>27395.629734802522</v>
      </c>
      <c r="AX24">
        <f t="shared" si="18"/>
        <v>0.28153561610286665</v>
      </c>
      <c r="AZ24" s="1">
        <f t="shared" si="19"/>
        <v>1958.5934750799754</v>
      </c>
      <c r="BA24">
        <f t="shared" si="20"/>
        <v>0</v>
      </c>
      <c r="BB24" s="1">
        <f t="shared" si="21"/>
        <v>885.09771102223067</v>
      </c>
      <c r="BC24">
        <f t="shared" si="22"/>
        <v>0</v>
      </c>
      <c r="BD24" s="1">
        <f t="shared" si="23"/>
        <v>678.13881884204238</v>
      </c>
      <c r="BE24">
        <f t="shared" si="24"/>
        <v>0</v>
      </c>
    </row>
    <row r="25" spans="1:57" x14ac:dyDescent="0.3">
      <c r="A25">
        <v>1</v>
      </c>
      <c r="B25">
        <v>13</v>
      </c>
      <c r="C25" s="30">
        <v>42736</v>
      </c>
      <c r="D25" s="10">
        <f>Decomposition!I23</f>
        <v>162232.78431473341</v>
      </c>
      <c r="E25" s="10"/>
      <c r="F25" s="9">
        <f t="shared" si="25"/>
        <v>206811.46224673747</v>
      </c>
      <c r="G25" s="10">
        <f t="shared" si="1"/>
        <v>217650.96593928189</v>
      </c>
      <c r="H25" s="9">
        <f t="shared" si="26"/>
        <v>199682.55633964794</v>
      </c>
      <c r="I25" s="10">
        <f t="shared" si="2"/>
        <v>96805.927993721649</v>
      </c>
      <c r="J25" s="9">
        <f t="shared" si="27"/>
        <v>183679.14438915483</v>
      </c>
      <c r="K25" s="10">
        <f t="shared" si="3"/>
        <v>79601.640954868664</v>
      </c>
      <c r="L25" s="9">
        <f t="shared" si="28"/>
        <v>174169.41747995917</v>
      </c>
      <c r="M25" s="10">
        <f t="shared" si="4"/>
        <v>105114.77981455743</v>
      </c>
      <c r="O25">
        <f>Decomposition!H23</f>
        <v>1.5205003171334823</v>
      </c>
      <c r="Q25" s="118">
        <f>Decomposition!C23</f>
        <v>246675</v>
      </c>
      <c r="R25" s="31">
        <f t="shared" si="5"/>
        <v>246674.99999999997</v>
      </c>
      <c r="S25" s="119">
        <f t="shared" si="6"/>
        <v>314456.89393300354</v>
      </c>
      <c r="T25" s="36">
        <f t="shared" si="7"/>
        <v>303617.39024045912</v>
      </c>
      <c r="U25" s="36">
        <f t="shared" si="8"/>
        <v>279284.19729451661</v>
      </c>
      <c r="V25" s="93">
        <f t="shared" si="9"/>
        <v>264824.65451323183</v>
      </c>
      <c r="W25" s="10"/>
      <c r="X25" s="10">
        <f t="shared" si="29"/>
        <v>67781.893933003535</v>
      </c>
      <c r="Y25" s="10">
        <f t="shared" si="30"/>
        <v>56942.390240459121</v>
      </c>
      <c r="Z25" s="10">
        <f t="shared" si="31"/>
        <v>32609.197294516605</v>
      </c>
      <c r="AA25" s="10">
        <f t="shared" si="32"/>
        <v>18149.654513231828</v>
      </c>
      <c r="AB25" s="10">
        <f t="shared" si="33"/>
        <v>0</v>
      </c>
      <c r="AC25" s="39">
        <f t="shared" si="34"/>
        <v>0.26677881428042888</v>
      </c>
      <c r="AD25" s="39">
        <f t="shared" si="35"/>
        <v>0.22411624209937456</v>
      </c>
      <c r="AE25" s="39">
        <f t="shared" si="36"/>
        <v>0.12834464315007701</v>
      </c>
      <c r="AF25" s="39">
        <f t="shared" si="37"/>
        <v>7.1434169653407112E-2</v>
      </c>
      <c r="AG25" s="47">
        <f t="shared" si="11"/>
        <v>0</v>
      </c>
      <c r="AH25" s="47">
        <f t="shared" si="12"/>
        <v>0</v>
      </c>
      <c r="AI25" s="47">
        <f t="shared" si="13"/>
        <v>0</v>
      </c>
      <c r="AJ25" s="47">
        <f t="shared" si="13"/>
        <v>0</v>
      </c>
      <c r="AK25" s="48">
        <f t="shared" si="38"/>
        <v>0.26677881428042888</v>
      </c>
      <c r="AL25" s="48">
        <f t="shared" si="39"/>
        <v>0.22411624209937456</v>
      </c>
      <c r="AM25" s="48">
        <f t="shared" si="40"/>
        <v>0.12834464315007701</v>
      </c>
      <c r="AN25" s="48">
        <f t="shared" si="41"/>
        <v>7.1434169653407112E-2</v>
      </c>
      <c r="AO25" s="48"/>
      <c r="AP25" s="1">
        <f t="shared" si="14"/>
        <v>-84442.215685266594</v>
      </c>
      <c r="AQ25">
        <f t="shared" si="15"/>
        <v>-2.8526811825704063E-2</v>
      </c>
      <c r="AR25" s="1">
        <f t="shared" si="44"/>
        <v>44605681.020824671</v>
      </c>
      <c r="AS25" s="1">
        <f t="shared" si="42"/>
        <v>6678.7484621615049</v>
      </c>
      <c r="AT25" s="1">
        <f t="shared" si="16"/>
        <v>4594385145.1449413</v>
      </c>
      <c r="AU25" s="2">
        <f t="shared" si="45"/>
        <v>5874866789.8502235</v>
      </c>
      <c r="AV25">
        <f t="shared" si="43"/>
        <v>0.21795926452622216</v>
      </c>
      <c r="AW25">
        <f t="shared" si="17"/>
        <v>41937.30615497999</v>
      </c>
      <c r="AX25">
        <f t="shared" si="18"/>
        <v>0.34232174190844872</v>
      </c>
      <c r="AZ25" s="1">
        <f t="shared" si="19"/>
        <v>2113.1161741677852</v>
      </c>
      <c r="BA25">
        <f t="shared" si="20"/>
        <v>0</v>
      </c>
      <c r="BB25" s="1">
        <f t="shared" si="21"/>
        <v>939.86337857982187</v>
      </c>
      <c r="BC25">
        <f t="shared" si="22"/>
        <v>0</v>
      </c>
      <c r="BD25" s="1">
        <f t="shared" si="23"/>
        <v>772.83146558124918</v>
      </c>
      <c r="BE25">
        <f t="shared" si="24"/>
        <v>0</v>
      </c>
    </row>
    <row r="26" spans="1:57" x14ac:dyDescent="0.3">
      <c r="A26">
        <v>1</v>
      </c>
      <c r="B26">
        <v>14</v>
      </c>
      <c r="C26" s="30">
        <v>42767</v>
      </c>
      <c r="D26" s="10">
        <f>Decomposition!I24</f>
        <v>183393.04052242285</v>
      </c>
      <c r="E26" s="10"/>
      <c r="F26" s="9">
        <f t="shared" si="25"/>
        <v>202353.59445353705</v>
      </c>
      <c r="G26" s="10">
        <f t="shared" si="1"/>
        <v>222404.83011692605</v>
      </c>
      <c r="H26" s="9">
        <f t="shared" si="26"/>
        <v>184702.64752968212</v>
      </c>
      <c r="I26" s="10">
        <f t="shared" si="2"/>
        <v>7466.1012968530995</v>
      </c>
      <c r="J26" s="9">
        <f t="shared" si="27"/>
        <v>168666.69233705982</v>
      </c>
      <c r="K26" s="10">
        <f t="shared" si="3"/>
        <v>6900.4212010970223</v>
      </c>
      <c r="L26" s="9">
        <f t="shared" si="28"/>
        <v>162232.78431473341</v>
      </c>
      <c r="M26" s="10">
        <f t="shared" si="4"/>
        <v>29370.284416045732</v>
      </c>
      <c r="O26">
        <f>Decomposition!H24</f>
        <v>1.1359864006100491</v>
      </c>
      <c r="Q26" s="118">
        <f>Decomposition!C24</f>
        <v>208332</v>
      </c>
      <c r="R26" s="31">
        <f t="shared" si="5"/>
        <v>208332</v>
      </c>
      <c r="S26" s="119">
        <f t="shared" si="6"/>
        <v>229870.93141377915</v>
      </c>
      <c r="T26" s="36">
        <f t="shared" si="7"/>
        <v>209819.69575039015</v>
      </c>
      <c r="U26" s="36">
        <f t="shared" si="8"/>
        <v>191603.06873077914</v>
      </c>
      <c r="V26" s="93">
        <f t="shared" si="9"/>
        <v>184294.23671464043</v>
      </c>
      <c r="W26" s="10"/>
      <c r="X26" s="10">
        <f t="shared" si="29"/>
        <v>21538.931413779152</v>
      </c>
      <c r="Y26" s="10">
        <f t="shared" si="30"/>
        <v>1487.6957503901504</v>
      </c>
      <c r="Z26" s="10">
        <f t="shared" si="31"/>
        <v>16728.931269220862</v>
      </c>
      <c r="AA26" s="10">
        <f t="shared" si="32"/>
        <v>24037.763285359571</v>
      </c>
      <c r="AB26" s="10">
        <f t="shared" si="33"/>
        <v>0</v>
      </c>
      <c r="AC26" s="39">
        <f t="shared" si="34"/>
        <v>0.10037624511295895</v>
      </c>
      <c r="AD26" s="39">
        <f t="shared" si="35"/>
        <v>6.9329954409501635E-3</v>
      </c>
      <c r="AE26" s="39">
        <f t="shared" si="36"/>
        <v>7.7960566998366801E-2</v>
      </c>
      <c r="AF26" s="39">
        <f t="shared" si="37"/>
        <v>0.11202136137333993</v>
      </c>
      <c r="AG26" s="47">
        <f t="shared" si="11"/>
        <v>0</v>
      </c>
      <c r="AH26" s="47">
        <f t="shared" si="12"/>
        <v>0</v>
      </c>
      <c r="AI26" s="47">
        <f t="shared" si="13"/>
        <v>0</v>
      </c>
      <c r="AJ26" s="47">
        <f t="shared" si="13"/>
        <v>0</v>
      </c>
      <c r="AK26" s="48">
        <f t="shared" si="38"/>
        <v>0.10037624511295895</v>
      </c>
      <c r="AL26" s="48">
        <f t="shared" si="39"/>
        <v>6.9329954409501635E-3</v>
      </c>
      <c r="AM26" s="48">
        <f t="shared" si="40"/>
        <v>7.7960566998366801E-2</v>
      </c>
      <c r="AN26" s="48">
        <f t="shared" si="41"/>
        <v>0.11202136137333993</v>
      </c>
      <c r="AO26" s="48"/>
      <c r="AP26" s="1">
        <f t="shared" si="14"/>
        <v>-24938.959477577155</v>
      </c>
      <c r="AQ26">
        <f t="shared" si="15"/>
        <v>-9.9756476351757252E-3</v>
      </c>
      <c r="AR26" s="1">
        <f t="shared" si="44"/>
        <v>4504131.7130823527</v>
      </c>
      <c r="AS26" s="1">
        <f t="shared" si="42"/>
        <v>2122.2939742369231</v>
      </c>
      <c r="AT26" s="1">
        <f t="shared" si="16"/>
        <v>463925566.44748235</v>
      </c>
      <c r="AU26" s="2">
        <f t="shared" si="45"/>
        <v>1467248480.1511934</v>
      </c>
      <c r="AV26">
        <f t="shared" si="43"/>
        <v>0.68381254250835766</v>
      </c>
      <c r="AW26">
        <f t="shared" si="17"/>
        <v>3657.9515480434075</v>
      </c>
      <c r="AX26">
        <f t="shared" si="18"/>
        <v>0.11970777162210873</v>
      </c>
      <c r="AZ26" s="1">
        <f t="shared" si="19"/>
        <v>2159.2701953099618</v>
      </c>
      <c r="BA26">
        <f t="shared" si="20"/>
        <v>0</v>
      </c>
      <c r="BB26" s="1">
        <f t="shared" si="21"/>
        <v>72.486420357797087</v>
      </c>
      <c r="BC26">
        <f t="shared" si="22"/>
        <v>0</v>
      </c>
      <c r="BD26" s="1">
        <f t="shared" si="23"/>
        <v>66.994380593174967</v>
      </c>
      <c r="BE26">
        <f t="shared" si="24"/>
        <v>0</v>
      </c>
    </row>
    <row r="27" spans="1:57" x14ac:dyDescent="0.3">
      <c r="A27">
        <v>1</v>
      </c>
      <c r="B27">
        <v>15</v>
      </c>
      <c r="C27" s="30">
        <v>42795</v>
      </c>
      <c r="D27" s="10">
        <f>Decomposition!I25</f>
        <v>189075.9818333757</v>
      </c>
      <c r="E27" s="10"/>
      <c r="F27" s="9">
        <f t="shared" si="25"/>
        <v>200457.53906042562</v>
      </c>
      <c r="G27" s="10">
        <f t="shared" si="1"/>
        <v>219050.62844387523</v>
      </c>
      <c r="H27" s="9">
        <f t="shared" si="26"/>
        <v>184178.80472677841</v>
      </c>
      <c r="I27" s="10">
        <f t="shared" si="2"/>
        <v>9906.049940701836</v>
      </c>
      <c r="J27" s="9">
        <f t="shared" si="27"/>
        <v>178975.13606681395</v>
      </c>
      <c r="K27" s="10">
        <f t="shared" si="3"/>
        <v>20241.307678837969</v>
      </c>
      <c r="L27" s="9">
        <f t="shared" si="28"/>
        <v>183393.04052242285</v>
      </c>
      <c r="M27" s="10">
        <f t="shared" si="4"/>
        <v>21027.071883193537</v>
      </c>
      <c r="O27">
        <f>Decomposition!H25</f>
        <v>1.1421704539411746</v>
      </c>
      <c r="Q27" s="118">
        <f>Decomposition!C25</f>
        <v>215957</v>
      </c>
      <c r="R27" s="31">
        <f t="shared" si="5"/>
        <v>215957</v>
      </c>
      <c r="S27" s="119">
        <f t="shared" si="6"/>
        <v>228956.67838457707</v>
      </c>
      <c r="T27" s="36">
        <f t="shared" si="7"/>
        <v>210363.58900112746</v>
      </c>
      <c r="U27" s="36">
        <f t="shared" si="8"/>
        <v>204420.11240561638</v>
      </c>
      <c r="V27" s="93">
        <f t="shared" si="9"/>
        <v>209466.11234314792</v>
      </c>
      <c r="W27" s="10"/>
      <c r="X27" s="10">
        <f t="shared" si="29"/>
        <v>12999.67838457707</v>
      </c>
      <c r="Y27" s="10">
        <f t="shared" si="30"/>
        <v>5593.4109988725395</v>
      </c>
      <c r="Z27" s="10">
        <f t="shared" si="31"/>
        <v>11536.887594383617</v>
      </c>
      <c r="AA27" s="10">
        <f t="shared" si="32"/>
        <v>6490.8876568520791</v>
      </c>
      <c r="AB27" s="10">
        <f t="shared" si="33"/>
        <v>0</v>
      </c>
      <c r="AC27" s="39">
        <f t="shared" si="34"/>
        <v>5.8442407402017733E-2</v>
      </c>
      <c r="AD27" s="39">
        <f t="shared" si="35"/>
        <v>2.5146191674315869E-2</v>
      </c>
      <c r="AE27" s="39">
        <f t="shared" si="36"/>
        <v>5.1866166607797005E-2</v>
      </c>
      <c r="AF27" s="39">
        <f t="shared" si="37"/>
        <v>2.918096045303193E-2</v>
      </c>
      <c r="AG27" s="47">
        <f t="shared" si="11"/>
        <v>0</v>
      </c>
      <c r="AH27" s="47">
        <f t="shared" si="12"/>
        <v>0</v>
      </c>
      <c r="AI27" s="47">
        <f t="shared" si="13"/>
        <v>0</v>
      </c>
      <c r="AJ27" s="47">
        <f t="shared" si="13"/>
        <v>0</v>
      </c>
      <c r="AK27" s="48">
        <f t="shared" si="38"/>
        <v>5.8442407402017733E-2</v>
      </c>
      <c r="AL27" s="48">
        <f t="shared" si="39"/>
        <v>2.5146191674315869E-2</v>
      </c>
      <c r="AM27" s="48">
        <f t="shared" si="40"/>
        <v>5.1866166607797005E-2</v>
      </c>
      <c r="AN27" s="48">
        <f t="shared" si="41"/>
        <v>2.918096045303193E-2</v>
      </c>
      <c r="AO27" s="48"/>
      <c r="AP27" s="1">
        <f t="shared" si="14"/>
        <v>-26881.018166624301</v>
      </c>
      <c r="AQ27">
        <f t="shared" si="15"/>
        <v>-1.0372828142726061E-2</v>
      </c>
      <c r="AR27" s="1">
        <f t="shared" si="44"/>
        <v>1640695.5155576726</v>
      </c>
      <c r="AS27" s="1">
        <f t="shared" si="42"/>
        <v>1280.8963719043288</v>
      </c>
      <c r="AT27" s="1">
        <f t="shared" si="16"/>
        <v>168991638.1024403</v>
      </c>
      <c r="AU27" s="2">
        <f t="shared" si="45"/>
        <v>2109535469.2288635</v>
      </c>
      <c r="AV27">
        <f t="shared" si="43"/>
        <v>0.91989153983544303</v>
      </c>
      <c r="AW27">
        <f t="shared" si="17"/>
        <v>4249.8413550478945</v>
      </c>
      <c r="AX27">
        <f t="shared" si="18"/>
        <v>0.12447393771271272</v>
      </c>
      <c r="AZ27" s="1">
        <f t="shared" si="19"/>
        <v>2126.7051305230607</v>
      </c>
      <c r="BA27">
        <f t="shared" si="20"/>
        <v>0</v>
      </c>
      <c r="BB27" s="1">
        <f t="shared" si="21"/>
        <v>96.175242142736266</v>
      </c>
      <c r="BC27">
        <f t="shared" si="22"/>
        <v>0</v>
      </c>
      <c r="BD27" s="1">
        <f t="shared" si="23"/>
        <v>196.5175502799803</v>
      </c>
      <c r="BE27">
        <f t="shared" si="24"/>
        <v>0</v>
      </c>
    </row>
    <row r="28" spans="1:57" x14ac:dyDescent="0.3">
      <c r="A28">
        <v>1</v>
      </c>
      <c r="B28">
        <v>16</v>
      </c>
      <c r="C28" s="30">
        <v>42826</v>
      </c>
      <c r="D28" s="10">
        <f>Decomposition!I26</f>
        <v>224907.33008321153</v>
      </c>
      <c r="E28" s="10"/>
      <c r="F28" s="9">
        <f t="shared" si="25"/>
        <v>199319.38333772065</v>
      </c>
      <c r="G28" s="10">
        <f t="shared" si="1"/>
        <v>144180.38814566715</v>
      </c>
      <c r="H28" s="9">
        <f t="shared" si="26"/>
        <v>186137.6755694173</v>
      </c>
      <c r="I28" s="10">
        <f t="shared" si="2"/>
        <v>33442.93213502664</v>
      </c>
      <c r="J28" s="9">
        <f t="shared" si="27"/>
        <v>186045.72810340719</v>
      </c>
      <c r="K28" s="10">
        <f t="shared" si="3"/>
        <v>20343.163282701367</v>
      </c>
      <c r="L28" s="9">
        <f t="shared" si="28"/>
        <v>189075.9818333757</v>
      </c>
      <c r="M28" s="10">
        <f t="shared" si="4"/>
        <v>23281.469546659762</v>
      </c>
      <c r="O28">
        <f>Decomposition!H26</f>
        <v>0.89114925656645383</v>
      </c>
      <c r="Q28" s="118">
        <f>Decomposition!C26</f>
        <v>200426</v>
      </c>
      <c r="R28" s="31">
        <f t="shared" si="5"/>
        <v>200426</v>
      </c>
      <c r="S28" s="119">
        <f t="shared" si="6"/>
        <v>177623.32028069379</v>
      </c>
      <c r="T28" s="36">
        <f t="shared" si="7"/>
        <v>165876.45120269401</v>
      </c>
      <c r="U28" s="36">
        <f t="shared" si="8"/>
        <v>165794.51228671594</v>
      </c>
      <c r="V28" s="93">
        <f t="shared" si="9"/>
        <v>168494.92064538508</v>
      </c>
      <c r="W28" s="10"/>
      <c r="X28" s="10">
        <f t="shared" si="29"/>
        <v>22802.679719306208</v>
      </c>
      <c r="Y28" s="10">
        <f t="shared" si="30"/>
        <v>34549.548797305994</v>
      </c>
      <c r="Z28" s="10">
        <f t="shared" si="31"/>
        <v>34631.487713284063</v>
      </c>
      <c r="AA28" s="10">
        <f t="shared" si="32"/>
        <v>31931.079354614922</v>
      </c>
      <c r="AB28" s="10">
        <f t="shared" si="33"/>
        <v>0</v>
      </c>
      <c r="AC28" s="39">
        <f t="shared" si="34"/>
        <v>0.11045734584997163</v>
      </c>
      <c r="AD28" s="39">
        <f t="shared" si="35"/>
        <v>0.16735977996627374</v>
      </c>
      <c r="AE28" s="39">
        <f t="shared" si="36"/>
        <v>0.16775669626261144</v>
      </c>
      <c r="AF28" s="39">
        <f t="shared" si="37"/>
        <v>0.15467578017373929</v>
      </c>
      <c r="AG28" s="47">
        <f t="shared" si="11"/>
        <v>0</v>
      </c>
      <c r="AH28" s="47">
        <f t="shared" si="12"/>
        <v>0</v>
      </c>
      <c r="AI28" s="47">
        <f t="shared" si="13"/>
        <v>0</v>
      </c>
      <c r="AJ28" s="47">
        <f t="shared" si="13"/>
        <v>0</v>
      </c>
      <c r="AK28" s="48">
        <f t="shared" si="38"/>
        <v>0.11045734584997163</v>
      </c>
      <c r="AL28" s="48">
        <f t="shared" si="39"/>
        <v>0.16735977996627374</v>
      </c>
      <c r="AM28" s="48">
        <f t="shared" si="40"/>
        <v>0.16775669626261144</v>
      </c>
      <c r="AN28" s="48">
        <f t="shared" si="41"/>
        <v>0.15467578017373929</v>
      </c>
      <c r="AO28" s="48"/>
      <c r="AP28" s="1">
        <f t="shared" si="14"/>
        <v>24481.330083211535</v>
      </c>
      <c r="AQ28">
        <f t="shared" si="15"/>
        <v>1.0178873201419116E-2</v>
      </c>
      <c r="AR28" s="1">
        <f t="shared" si="44"/>
        <v>5048176.7221481418</v>
      </c>
      <c r="AS28" s="1">
        <f t="shared" si="42"/>
        <v>2246.8147948035553</v>
      </c>
      <c r="AT28" s="1">
        <f t="shared" si="16"/>
        <v>519962202.38125867</v>
      </c>
      <c r="AU28" s="2">
        <f t="shared" si="45"/>
        <v>924079722.13177574</v>
      </c>
      <c r="AV28">
        <f t="shared" si="43"/>
        <v>0.43731889151106063</v>
      </c>
      <c r="AW28">
        <f t="shared" si="17"/>
        <v>3524.9365882744651</v>
      </c>
      <c r="AX28">
        <f t="shared" si="18"/>
        <v>0.1221464784170294</v>
      </c>
      <c r="AZ28" s="1">
        <f t="shared" si="19"/>
        <v>1399.8095936472539</v>
      </c>
      <c r="BA28">
        <f t="shared" si="20"/>
        <v>0</v>
      </c>
      <c r="BB28" s="1">
        <f t="shared" si="21"/>
        <v>324.68866150511303</v>
      </c>
      <c r="BC28">
        <f t="shared" si="22"/>
        <v>0</v>
      </c>
      <c r="BD28" s="1">
        <f t="shared" si="23"/>
        <v>197.50643963787735</v>
      </c>
      <c r="BE28">
        <f t="shared" si="24"/>
        <v>0</v>
      </c>
    </row>
    <row r="29" spans="1:57" x14ac:dyDescent="0.3">
      <c r="A29">
        <v>1</v>
      </c>
      <c r="B29">
        <v>17</v>
      </c>
      <c r="C29" s="30">
        <v>42856</v>
      </c>
      <c r="D29" s="10">
        <f>Decomposition!I27</f>
        <v>246764.21425008914</v>
      </c>
      <c r="E29" s="10"/>
      <c r="F29" s="9">
        <f t="shared" si="25"/>
        <v>201878.17801226972</v>
      </c>
      <c r="G29" s="10">
        <f t="shared" si="1"/>
        <v>91557.830447372718</v>
      </c>
      <c r="H29" s="9">
        <f t="shared" si="26"/>
        <v>201645.537374935</v>
      </c>
      <c r="I29" s="10">
        <f t="shared" si="2"/>
        <v>55244.760062538029</v>
      </c>
      <c r="J29" s="9">
        <f t="shared" si="27"/>
        <v>213248.84948927021</v>
      </c>
      <c r="K29" s="10">
        <f t="shared" si="3"/>
        <v>46574.375962034566</v>
      </c>
      <c r="L29" s="9">
        <f t="shared" si="28"/>
        <v>224907.33008321153</v>
      </c>
      <c r="M29" s="10">
        <f t="shared" si="4"/>
        <v>69836.168670311105</v>
      </c>
      <c r="O29">
        <f>Decomposition!H27</f>
        <v>0.72718404710878848</v>
      </c>
      <c r="Q29" s="118">
        <f>Decomposition!C27</f>
        <v>179443</v>
      </c>
      <c r="R29" s="31">
        <f t="shared" si="5"/>
        <v>179443</v>
      </c>
      <c r="S29" s="119">
        <f t="shared" si="6"/>
        <v>146802.59050991075</v>
      </c>
      <c r="T29" s="36">
        <f t="shared" si="7"/>
        <v>146633.41794973169</v>
      </c>
      <c r="U29" s="36">
        <f t="shared" si="8"/>
        <v>155071.16141290043</v>
      </c>
      <c r="V29" s="93">
        <f t="shared" si="9"/>
        <v>163549.02251434192</v>
      </c>
      <c r="W29" s="10"/>
      <c r="X29" s="10">
        <f t="shared" si="29"/>
        <v>32640.409490089252</v>
      </c>
      <c r="Y29" s="10">
        <f t="shared" si="30"/>
        <v>32809.582050268305</v>
      </c>
      <c r="Z29" s="10">
        <f t="shared" si="31"/>
        <v>24371.83858709957</v>
      </c>
      <c r="AA29" s="10">
        <f t="shared" si="32"/>
        <v>15893.977485658077</v>
      </c>
      <c r="AB29" s="10">
        <f t="shared" si="33"/>
        <v>0</v>
      </c>
      <c r="AC29" s="39">
        <f t="shared" si="34"/>
        <v>0.17660046895974188</v>
      </c>
      <c r="AD29" s="39">
        <f t="shared" si="35"/>
        <v>0.17751577467831173</v>
      </c>
      <c r="AE29" s="39">
        <f t="shared" si="36"/>
        <v>0.13186348428624287</v>
      </c>
      <c r="AF29" s="39">
        <f t="shared" si="37"/>
        <v>8.5994137985770741E-2</v>
      </c>
      <c r="AG29" s="47">
        <f t="shared" si="11"/>
        <v>0</v>
      </c>
      <c r="AH29" s="47">
        <f t="shared" si="12"/>
        <v>0</v>
      </c>
      <c r="AI29" s="47">
        <f t="shared" ref="AI29:AJ44" si="46">IF(AE29&gt;1,1,0)</f>
        <v>0</v>
      </c>
      <c r="AJ29" s="47">
        <f t="shared" si="46"/>
        <v>0</v>
      </c>
      <c r="AK29" s="48">
        <f t="shared" si="38"/>
        <v>0.17660046895974188</v>
      </c>
      <c r="AL29" s="48">
        <f t="shared" si="39"/>
        <v>0.17751577467831173</v>
      </c>
      <c r="AM29" s="48">
        <f t="shared" si="40"/>
        <v>0.13186348428624287</v>
      </c>
      <c r="AN29" s="48">
        <f t="shared" si="41"/>
        <v>8.5994137985770741E-2</v>
      </c>
      <c r="AO29" s="48"/>
      <c r="AP29" s="1">
        <f t="shared" si="14"/>
        <v>67321.214250089135</v>
      </c>
      <c r="AQ29">
        <f t="shared" si="15"/>
        <v>3.1263973448434471E-2</v>
      </c>
      <c r="AR29" s="1">
        <f t="shared" si="44"/>
        <v>10343653.705637947</v>
      </c>
      <c r="AS29" s="1">
        <f t="shared" si="42"/>
        <v>3216.1551121856587</v>
      </c>
      <c r="AT29" s="1">
        <f t="shared" si="16"/>
        <v>1065396331.6807085</v>
      </c>
      <c r="AU29" s="2">
        <f t="shared" si="45"/>
        <v>88655022.549250901</v>
      </c>
      <c r="AV29">
        <f t="shared" si="43"/>
        <v>-11.017326272618615</v>
      </c>
      <c r="AW29">
        <f t="shared" si="17"/>
        <v>26655.397954603966</v>
      </c>
      <c r="AX29">
        <f t="shared" si="18"/>
        <v>0.3751676813812137</v>
      </c>
      <c r="AZ29" s="1">
        <f t="shared" si="19"/>
        <v>888.91097521721088</v>
      </c>
      <c r="BA29">
        <f t="shared" si="20"/>
        <v>0</v>
      </c>
      <c r="BB29" s="1">
        <f t="shared" si="21"/>
        <v>536.35689381104885</v>
      </c>
      <c r="BC29">
        <f t="shared" si="22"/>
        <v>0</v>
      </c>
      <c r="BD29" s="1">
        <f t="shared" si="23"/>
        <v>452.17840739839386</v>
      </c>
      <c r="BE29">
        <f t="shared" si="24"/>
        <v>0</v>
      </c>
    </row>
    <row r="30" spans="1:57" x14ac:dyDescent="0.3">
      <c r="A30">
        <v>1</v>
      </c>
      <c r="B30">
        <v>18</v>
      </c>
      <c r="C30" s="30">
        <v>42887</v>
      </c>
      <c r="D30" s="10">
        <f>Decomposition!I28</f>
        <v>248978.98894420348</v>
      </c>
      <c r="E30" s="10"/>
      <c r="F30" s="9">
        <f t="shared" si="25"/>
        <v>206366.78163605166</v>
      </c>
      <c r="G30" s="10">
        <f t="shared" si="1"/>
        <v>80719.076460474025</v>
      </c>
      <c r="H30" s="9">
        <f t="shared" si="26"/>
        <v>219693.00812499665</v>
      </c>
      <c r="I30" s="10">
        <f t="shared" si="2"/>
        <v>58334.140980747616</v>
      </c>
      <c r="J30" s="9">
        <f t="shared" si="27"/>
        <v>236709.60482184347</v>
      </c>
      <c r="K30" s="10">
        <f t="shared" si="3"/>
        <v>60194.314155117667</v>
      </c>
      <c r="L30" s="9">
        <f t="shared" si="28"/>
        <v>246764.21425008914</v>
      </c>
      <c r="M30" s="10">
        <f t="shared" si="4"/>
        <v>87265.520280210156</v>
      </c>
      <c r="O30">
        <f>Decomposition!H28</f>
        <v>0.67381589390901009</v>
      </c>
      <c r="Q30" s="118">
        <f>Decomposition!C28</f>
        <v>167766</v>
      </c>
      <c r="R30" s="31">
        <f t="shared" si="5"/>
        <v>167766</v>
      </c>
      <c r="S30" s="119">
        <f t="shared" si="6"/>
        <v>139053.21744122164</v>
      </c>
      <c r="T30" s="36">
        <f t="shared" si="7"/>
        <v>148032.64065530404</v>
      </c>
      <c r="U30" s="36">
        <f t="shared" si="8"/>
        <v>159498.69396987898</v>
      </c>
      <c r="V30" s="93">
        <f t="shared" si="9"/>
        <v>166273.64960967831</v>
      </c>
      <c r="W30" s="10"/>
      <c r="X30" s="10">
        <f t="shared" si="29"/>
        <v>28712.782558778359</v>
      </c>
      <c r="Y30" s="10">
        <f t="shared" si="30"/>
        <v>19733.359344695957</v>
      </c>
      <c r="Z30" s="10">
        <f t="shared" si="31"/>
        <v>8267.3060301210207</v>
      </c>
      <c r="AA30" s="10">
        <f t="shared" si="32"/>
        <v>1492.3503903216915</v>
      </c>
      <c r="AB30" s="10">
        <f t="shared" si="33"/>
        <v>0</v>
      </c>
      <c r="AC30" s="39">
        <f t="shared" si="34"/>
        <v>0.16616291692681498</v>
      </c>
      <c r="AD30" s="39">
        <f t="shared" si="35"/>
        <v>0.1141983554804314</v>
      </c>
      <c r="AE30" s="39">
        <f t="shared" si="36"/>
        <v>4.7843488602311315E-2</v>
      </c>
      <c r="AF30" s="39">
        <f t="shared" si="37"/>
        <v>8.6363379594120958E-3</v>
      </c>
      <c r="AG30" s="47">
        <f t="shared" si="11"/>
        <v>0</v>
      </c>
      <c r="AH30" s="47">
        <f t="shared" si="12"/>
        <v>0</v>
      </c>
      <c r="AI30" s="47">
        <f t="shared" si="46"/>
        <v>0</v>
      </c>
      <c r="AJ30" s="47">
        <f t="shared" si="46"/>
        <v>0</v>
      </c>
      <c r="AK30" s="48">
        <f t="shared" si="38"/>
        <v>0.16616291692681498</v>
      </c>
      <c r="AL30" s="48">
        <f t="shared" si="39"/>
        <v>0.1141983554804314</v>
      </c>
      <c r="AM30" s="48">
        <f t="shared" si="40"/>
        <v>4.7843488602311315E-2</v>
      </c>
      <c r="AN30" s="48">
        <f t="shared" si="41"/>
        <v>8.6363379594120958E-3</v>
      </c>
      <c r="AO30" s="48"/>
      <c r="AP30" s="1">
        <f t="shared" si="14"/>
        <v>81212.988944203476</v>
      </c>
      <c r="AQ30">
        <f t="shared" si="15"/>
        <v>4.0340409133457447E-2</v>
      </c>
      <c r="AR30" s="1">
        <f t="shared" si="44"/>
        <v>8004115.3618222009</v>
      </c>
      <c r="AS30" s="1">
        <f t="shared" si="42"/>
        <v>2829.1545312729386</v>
      </c>
      <c r="AT30" s="1">
        <f t="shared" si="16"/>
        <v>824423882.26768672</v>
      </c>
      <c r="AU30" s="2">
        <f t="shared" si="45"/>
        <v>5113569.8987651365</v>
      </c>
      <c r="AV30">
        <f t="shared" si="43"/>
        <v>-160.2227658150864</v>
      </c>
      <c r="AW30">
        <f t="shared" si="17"/>
        <v>38791.116381689753</v>
      </c>
      <c r="AX30">
        <f t="shared" si="18"/>
        <v>0.48408490960148942</v>
      </c>
      <c r="AZ30" s="1">
        <f t="shared" si="19"/>
        <v>783.68035398518475</v>
      </c>
      <c r="BA30">
        <f t="shared" si="20"/>
        <v>0</v>
      </c>
      <c r="BB30" s="1">
        <f t="shared" si="21"/>
        <v>566.3508833082293</v>
      </c>
      <c r="BC30">
        <f t="shared" si="22"/>
        <v>0</v>
      </c>
      <c r="BD30" s="1">
        <f t="shared" si="23"/>
        <v>584.41081703997736</v>
      </c>
      <c r="BE30">
        <f t="shared" si="24"/>
        <v>0</v>
      </c>
    </row>
    <row r="31" spans="1:57" x14ac:dyDescent="0.3">
      <c r="A31">
        <v>1</v>
      </c>
      <c r="B31">
        <v>19</v>
      </c>
      <c r="C31" s="30">
        <v>42917</v>
      </c>
      <c r="D31" s="10">
        <f>Decomposition!I29</f>
        <v>247025.0044440605</v>
      </c>
      <c r="E31" s="10"/>
      <c r="F31" s="9">
        <f t="shared" si="25"/>
        <v>210628.00236686686</v>
      </c>
      <c r="G31" s="10">
        <f t="shared" si="1"/>
        <v>167758.94817269579</v>
      </c>
      <c r="H31" s="9">
        <f t="shared" si="26"/>
        <v>231407.40045267937</v>
      </c>
      <c r="I31" s="10">
        <f t="shared" si="2"/>
        <v>12540.835522173351</v>
      </c>
      <c r="J31" s="9">
        <f t="shared" si="27"/>
        <v>245298.1737074955</v>
      </c>
      <c r="K31" s="10">
        <f t="shared" si="3"/>
        <v>21429.585711912019</v>
      </c>
      <c r="L31" s="9">
        <f t="shared" si="28"/>
        <v>248978.98894420348</v>
      </c>
      <c r="M31" s="10">
        <f t="shared" si="4"/>
        <v>39001.174203436123</v>
      </c>
      <c r="O31">
        <f>Decomposition!H29</f>
        <v>0.85601050985057181</v>
      </c>
      <c r="Q31" s="118">
        <f>Decomposition!C29</f>
        <v>211456</v>
      </c>
      <c r="R31" s="31">
        <f t="shared" si="5"/>
        <v>211456</v>
      </c>
      <c r="S31" s="119">
        <f t="shared" si="6"/>
        <v>180299.78369486914</v>
      </c>
      <c r="T31" s="36">
        <f t="shared" si="7"/>
        <v>198087.16684469351</v>
      </c>
      <c r="U31" s="36">
        <f t="shared" si="8"/>
        <v>209977.81474076735</v>
      </c>
      <c r="V31" s="93">
        <f t="shared" si="9"/>
        <v>213128.63126820751</v>
      </c>
      <c r="W31" s="10"/>
      <c r="X31" s="10">
        <f t="shared" si="29"/>
        <v>31156.21630513086</v>
      </c>
      <c r="Y31" s="10">
        <f t="shared" si="30"/>
        <v>13368.833155306493</v>
      </c>
      <c r="Z31" s="10">
        <f t="shared" si="31"/>
        <v>1478.1852592326468</v>
      </c>
      <c r="AA31" s="10">
        <f t="shared" si="32"/>
        <v>1672.6312682075077</v>
      </c>
      <c r="AB31" s="10">
        <f t="shared" si="33"/>
        <v>0</v>
      </c>
      <c r="AC31" s="39">
        <f t="shared" si="34"/>
        <v>0.14304987181400294</v>
      </c>
      <c r="AD31" s="39">
        <f t="shared" si="35"/>
        <v>6.1381325974888906E-2</v>
      </c>
      <c r="AE31" s="39">
        <f t="shared" si="36"/>
        <v>6.7869028055167341E-3</v>
      </c>
      <c r="AF31" s="39">
        <f t="shared" si="37"/>
        <v>7.6796773448313043E-3</v>
      </c>
      <c r="AG31" s="47">
        <f t="shared" si="11"/>
        <v>0</v>
      </c>
      <c r="AH31" s="47">
        <f t="shared" si="12"/>
        <v>0</v>
      </c>
      <c r="AI31" s="47">
        <f t="shared" si="46"/>
        <v>0</v>
      </c>
      <c r="AJ31" s="47">
        <f t="shared" si="46"/>
        <v>0</v>
      </c>
      <c r="AK31" s="48">
        <f t="shared" si="38"/>
        <v>0.14304987181400294</v>
      </c>
      <c r="AL31" s="48">
        <f t="shared" si="39"/>
        <v>6.1381325974888906E-2</v>
      </c>
      <c r="AM31" s="48">
        <f t="shared" si="40"/>
        <v>6.7869028055167341E-3</v>
      </c>
      <c r="AN31" s="48">
        <f t="shared" si="41"/>
        <v>7.6796773448313043E-3</v>
      </c>
      <c r="AO31" s="48"/>
      <c r="AP31" s="1">
        <f t="shared" si="14"/>
        <v>35569.004444060498</v>
      </c>
      <c r="AQ31">
        <f t="shared" si="15"/>
        <v>1.4017496328653281E-2</v>
      </c>
      <c r="AR31" s="1">
        <f t="shared" si="44"/>
        <v>9424367.1306029316</v>
      </c>
      <c r="AS31" s="1">
        <f t="shared" si="42"/>
        <v>3069.9132122265169</v>
      </c>
      <c r="AT31" s="1">
        <f t="shared" si="16"/>
        <v>970709814.45210207</v>
      </c>
      <c r="AU31" s="2">
        <f t="shared" si="45"/>
        <v>1716335494.3647857</v>
      </c>
      <c r="AV31">
        <f t="shared" si="43"/>
        <v>0.43442886449693741</v>
      </c>
      <c r="AW31">
        <f t="shared" si="17"/>
        <v>7440.8869954071533</v>
      </c>
      <c r="AX31">
        <f t="shared" si="18"/>
        <v>0.16820995594383936</v>
      </c>
      <c r="AZ31" s="1">
        <f t="shared" si="19"/>
        <v>1628.727652162095</v>
      </c>
      <c r="BA31">
        <f t="shared" si="20"/>
        <v>0</v>
      </c>
      <c r="BB31" s="1">
        <f t="shared" si="21"/>
        <v>121.75568468129467</v>
      </c>
      <c r="BC31">
        <f t="shared" si="22"/>
        <v>0</v>
      </c>
      <c r="BD31" s="1">
        <f t="shared" si="23"/>
        <v>208.05423021273805</v>
      </c>
      <c r="BE31">
        <f t="shared" si="24"/>
        <v>0</v>
      </c>
    </row>
    <row r="32" spans="1:57" x14ac:dyDescent="0.3">
      <c r="A32">
        <v>1</v>
      </c>
      <c r="B32">
        <v>20</v>
      </c>
      <c r="C32" s="30">
        <v>42948</v>
      </c>
      <c r="D32" s="10">
        <f>Decomposition!I30</f>
        <v>255668.2014948274</v>
      </c>
      <c r="E32" s="10"/>
      <c r="F32" s="9">
        <f t="shared" si="25"/>
        <v>214267.70257458623</v>
      </c>
      <c r="G32" s="10">
        <f t="shared" si="1"/>
        <v>127507.12057784083</v>
      </c>
      <c r="H32" s="9">
        <f t="shared" si="26"/>
        <v>237654.44204923185</v>
      </c>
      <c r="I32" s="10">
        <f t="shared" si="2"/>
        <v>34536.95499111386</v>
      </c>
      <c r="J32" s="9">
        <f t="shared" si="27"/>
        <v>246506.955223091</v>
      </c>
      <c r="K32" s="10">
        <f t="shared" si="3"/>
        <v>51228.810932294349</v>
      </c>
      <c r="L32" s="9">
        <f t="shared" si="28"/>
        <v>247025.0044440605</v>
      </c>
      <c r="M32" s="10">
        <f t="shared" si="4"/>
        <v>60599.373327123001</v>
      </c>
      <c r="O32">
        <f>Decomposition!H30</f>
        <v>0.756269253937361</v>
      </c>
      <c r="Q32" s="118">
        <f>Decomposition!C30</f>
        <v>193354</v>
      </c>
      <c r="R32" s="31">
        <f t="shared" si="5"/>
        <v>193354</v>
      </c>
      <c r="S32" s="119">
        <f t="shared" si="6"/>
        <v>162044.07556895469</v>
      </c>
      <c r="T32" s="36">
        <f t="shared" si="7"/>
        <v>179730.74758347237</v>
      </c>
      <c r="U32" s="36">
        <f t="shared" si="8"/>
        <v>186425.6311169375</v>
      </c>
      <c r="V32" s="93">
        <f t="shared" si="9"/>
        <v>186817.41581478293</v>
      </c>
      <c r="W32" s="10"/>
      <c r="X32" s="10">
        <f t="shared" si="29"/>
        <v>31309.924431045307</v>
      </c>
      <c r="Y32" s="10">
        <f t="shared" si="30"/>
        <v>13623.252416527626</v>
      </c>
      <c r="Z32" s="10">
        <f t="shared" si="31"/>
        <v>6928.3688830625033</v>
      </c>
      <c r="AA32" s="10">
        <f t="shared" si="32"/>
        <v>6536.5841852170706</v>
      </c>
      <c r="AB32" s="10">
        <f t="shared" si="33"/>
        <v>0</v>
      </c>
      <c r="AC32" s="39">
        <f t="shared" si="34"/>
        <v>0.15721415064860311</v>
      </c>
      <c r="AD32" s="39">
        <f t="shared" si="35"/>
        <v>6.8405404888561588E-2</v>
      </c>
      <c r="AE32" s="39">
        <f t="shared" si="36"/>
        <v>3.4788893589626509E-2</v>
      </c>
      <c r="AF32" s="39">
        <f t="shared" si="37"/>
        <v>3.2821654778669315E-2</v>
      </c>
      <c r="AG32" s="47">
        <f t="shared" si="11"/>
        <v>0</v>
      </c>
      <c r="AH32" s="47">
        <f t="shared" si="12"/>
        <v>0</v>
      </c>
      <c r="AI32" s="47">
        <f t="shared" si="46"/>
        <v>0</v>
      </c>
      <c r="AJ32" s="47">
        <f t="shared" si="46"/>
        <v>0</v>
      </c>
      <c r="AK32" s="48">
        <f t="shared" si="38"/>
        <v>0.15721415064860311</v>
      </c>
      <c r="AL32" s="48">
        <f t="shared" si="39"/>
        <v>6.8405404888561588E-2</v>
      </c>
      <c r="AM32" s="48">
        <f t="shared" si="40"/>
        <v>3.4788893589626509E-2</v>
      </c>
      <c r="AN32" s="48">
        <f t="shared" si="41"/>
        <v>3.2821654778669315E-2</v>
      </c>
      <c r="AO32" s="48"/>
      <c r="AP32" s="1">
        <f t="shared" si="14"/>
        <v>62314.201494827401</v>
      </c>
      <c r="AQ32">
        <f t="shared" si="15"/>
        <v>2.6856698721355387E-2</v>
      </c>
      <c r="AR32" s="1">
        <f t="shared" si="44"/>
        <v>9517586.0959006567</v>
      </c>
      <c r="AS32" s="1">
        <f t="shared" si="42"/>
        <v>3085.0585239020438</v>
      </c>
      <c r="AT32" s="1">
        <f t="shared" si="16"/>
        <v>980311367.8777678</v>
      </c>
      <c r="AU32" s="2">
        <f t="shared" si="45"/>
        <v>544133981.70459104</v>
      </c>
      <c r="AV32">
        <f t="shared" si="43"/>
        <v>-0.8015992399643519</v>
      </c>
      <c r="AW32">
        <f t="shared" si="17"/>
        <v>22837.857463546912</v>
      </c>
      <c r="AX32">
        <f t="shared" si="18"/>
        <v>0.32228038465626468</v>
      </c>
      <c r="AZ32" s="1">
        <f t="shared" si="19"/>
        <v>1237.9332094936003</v>
      </c>
      <c r="BA32">
        <f t="shared" si="20"/>
        <v>0</v>
      </c>
      <c r="BB32" s="1">
        <f t="shared" si="21"/>
        <v>335.31024263217341</v>
      </c>
      <c r="BC32">
        <f t="shared" si="22"/>
        <v>0</v>
      </c>
      <c r="BD32" s="1">
        <f t="shared" si="23"/>
        <v>497.36709643004224</v>
      </c>
      <c r="BE32">
        <f t="shared" si="24"/>
        <v>0</v>
      </c>
    </row>
    <row r="33" spans="1:57" x14ac:dyDescent="0.3">
      <c r="A33">
        <v>1</v>
      </c>
      <c r="B33">
        <v>21</v>
      </c>
      <c r="C33" s="30">
        <v>42979</v>
      </c>
      <c r="D33" s="10">
        <f>Decomposition!I31</f>
        <v>243461.49476371284</v>
      </c>
      <c r="E33" s="10"/>
      <c r="F33" s="9">
        <f t="shared" si="25"/>
        <v>218407.75246661037</v>
      </c>
      <c r="G33" s="10">
        <f t="shared" si="1"/>
        <v>160561.39368849149</v>
      </c>
      <c r="H33" s="9">
        <f t="shared" si="26"/>
        <v>244859.94582747004</v>
      </c>
      <c r="I33" s="10">
        <f t="shared" si="2"/>
        <v>18103.770687774289</v>
      </c>
      <c r="J33" s="9">
        <f t="shared" si="27"/>
        <v>252919.82761330649</v>
      </c>
      <c r="K33" s="10">
        <f t="shared" si="3"/>
        <v>37962.699442150333</v>
      </c>
      <c r="L33" s="9">
        <f t="shared" si="28"/>
        <v>255668.2014948274</v>
      </c>
      <c r="M33" s="10">
        <f t="shared" si="4"/>
        <v>48770.955109507689</v>
      </c>
      <c r="O33">
        <f>Decomposition!H31</f>
        <v>0.81803490195971706</v>
      </c>
      <c r="Q33" s="118">
        <f>Decomposition!C31</f>
        <v>199160</v>
      </c>
      <c r="R33" s="31">
        <f t="shared" si="5"/>
        <v>199160</v>
      </c>
      <c r="S33" s="119">
        <f t="shared" si="6"/>
        <v>178665.16437626578</v>
      </c>
      <c r="T33" s="36">
        <f t="shared" si="7"/>
        <v>200303.98177883608</v>
      </c>
      <c r="U33" s="36">
        <f t="shared" si="8"/>
        <v>206897.24638531971</v>
      </c>
      <c r="V33" s="93">
        <f t="shared" si="9"/>
        <v>209145.51214403831</v>
      </c>
      <c r="W33" s="10"/>
      <c r="X33" s="10">
        <f t="shared" si="29"/>
        <v>20494.835623734223</v>
      </c>
      <c r="Y33" s="10">
        <f t="shared" si="30"/>
        <v>1143.9817788360815</v>
      </c>
      <c r="Z33" s="10">
        <f t="shared" si="31"/>
        <v>7737.2463853197114</v>
      </c>
      <c r="AA33" s="10">
        <f t="shared" si="32"/>
        <v>9985.5121440383082</v>
      </c>
      <c r="AB33" s="10">
        <f t="shared" si="33"/>
        <v>0</v>
      </c>
      <c r="AC33" s="39">
        <f t="shared" si="34"/>
        <v>9.9909111587766775E-2</v>
      </c>
      <c r="AD33" s="39">
        <f t="shared" si="35"/>
        <v>5.5767318798959579E-3</v>
      </c>
      <c r="AE33" s="39">
        <f t="shared" si="36"/>
        <v>3.7717863499122095E-2</v>
      </c>
      <c r="AF33" s="39">
        <f t="shared" si="37"/>
        <v>4.8677806710701002E-2</v>
      </c>
      <c r="AG33" s="47">
        <f t="shared" si="11"/>
        <v>0</v>
      </c>
      <c r="AH33" s="47">
        <f t="shared" si="12"/>
        <v>0</v>
      </c>
      <c r="AI33" s="47">
        <f t="shared" si="46"/>
        <v>0</v>
      </c>
      <c r="AJ33" s="47">
        <f t="shared" si="46"/>
        <v>0</v>
      </c>
      <c r="AK33" s="48">
        <f t="shared" si="38"/>
        <v>9.9909111587766775E-2</v>
      </c>
      <c r="AL33" s="48">
        <f t="shared" si="39"/>
        <v>5.5767318798959579E-3</v>
      </c>
      <c r="AM33" s="48">
        <f t="shared" si="40"/>
        <v>3.7717863499122095E-2</v>
      </c>
      <c r="AN33" s="48">
        <f t="shared" si="41"/>
        <v>4.8677806710701002E-2</v>
      </c>
      <c r="AO33" s="48"/>
      <c r="AP33" s="1">
        <f t="shared" si="14"/>
        <v>44301.494763712835</v>
      </c>
      <c r="AQ33">
        <f t="shared" si="15"/>
        <v>1.853681075672526E-2</v>
      </c>
      <c r="AR33" s="1">
        <f t="shared" si="44"/>
        <v>4078041.6237270418</v>
      </c>
      <c r="AS33" s="1">
        <f t="shared" si="42"/>
        <v>2019.4161591229881</v>
      </c>
      <c r="AT33" s="1">
        <f t="shared" si="16"/>
        <v>420038287.24388534</v>
      </c>
      <c r="AU33" s="2">
        <f t="shared" si="45"/>
        <v>848713021.35507667</v>
      </c>
      <c r="AV33">
        <f t="shared" si="43"/>
        <v>0.50508796651518129</v>
      </c>
      <c r="AW33">
        <f t="shared" si="17"/>
        <v>11542.982820740597</v>
      </c>
      <c r="AX33">
        <f t="shared" si="18"/>
        <v>0.22244172908070314</v>
      </c>
      <c r="AZ33" s="1">
        <f t="shared" si="19"/>
        <v>1558.8484824125387</v>
      </c>
      <c r="BA33">
        <f t="shared" si="20"/>
        <v>0</v>
      </c>
      <c r="BB33" s="1">
        <f t="shared" si="21"/>
        <v>175.76476395897367</v>
      </c>
      <c r="BC33">
        <f t="shared" si="22"/>
        <v>0</v>
      </c>
      <c r="BD33" s="1">
        <f t="shared" si="23"/>
        <v>368.56989749660517</v>
      </c>
      <c r="BE33">
        <f t="shared" si="24"/>
        <v>0</v>
      </c>
    </row>
    <row r="34" spans="1:57" x14ac:dyDescent="0.3">
      <c r="A34">
        <v>1</v>
      </c>
      <c r="B34">
        <v>22</v>
      </c>
      <c r="C34" s="30">
        <v>43009</v>
      </c>
      <c r="D34" s="10">
        <f>Decomposition!I32</f>
        <v>244753.2428104172</v>
      </c>
      <c r="E34" s="10"/>
      <c r="F34" s="9">
        <f t="shared" si="25"/>
        <v>220913.1266963206</v>
      </c>
      <c r="G34" s="10">
        <f t="shared" si="1"/>
        <v>199485.83447688134</v>
      </c>
      <c r="H34" s="9">
        <f t="shared" si="26"/>
        <v>244300.56540196715</v>
      </c>
      <c r="I34" s="10">
        <f t="shared" si="2"/>
        <v>2912.1356646383356</v>
      </c>
      <c r="J34" s="9">
        <f t="shared" si="27"/>
        <v>246298.99461859092</v>
      </c>
      <c r="K34" s="10">
        <f t="shared" si="3"/>
        <v>18644.366043442744</v>
      </c>
      <c r="L34" s="9">
        <f t="shared" si="28"/>
        <v>243461.49476371284</v>
      </c>
      <c r="M34" s="10">
        <f t="shared" si="4"/>
        <v>17805.29540518843</v>
      </c>
      <c r="O34">
        <f>Decomposition!H32</f>
        <v>0.91618806527394414</v>
      </c>
      <c r="Q34" s="118">
        <f>Decomposition!C32</f>
        <v>224240</v>
      </c>
      <c r="R34" s="31">
        <f t="shared" si="5"/>
        <v>224240</v>
      </c>
      <c r="S34" s="119">
        <f t="shared" si="6"/>
        <v>202397.97014151968</v>
      </c>
      <c r="T34" s="36">
        <f t="shared" si="7"/>
        <v>223825.26236095894</v>
      </c>
      <c r="U34" s="36">
        <f t="shared" si="8"/>
        <v>225656.19935852441</v>
      </c>
      <c r="V34" s="93">
        <f t="shared" si="9"/>
        <v>223056.51585626855</v>
      </c>
      <c r="W34" s="10"/>
      <c r="X34" s="10">
        <f t="shared" si="29"/>
        <v>21842.029858480324</v>
      </c>
      <c r="Y34" s="10">
        <f t="shared" si="30"/>
        <v>414.73763904106454</v>
      </c>
      <c r="Z34" s="10">
        <f t="shared" si="31"/>
        <v>1416.1993585244054</v>
      </c>
      <c r="AA34" s="10">
        <f t="shared" si="32"/>
        <v>1183.4841437314462</v>
      </c>
      <c r="AB34" s="10">
        <f t="shared" si="33"/>
        <v>0</v>
      </c>
      <c r="AC34" s="39">
        <f t="shared" si="34"/>
        <v>9.4567669601918911E-2</v>
      </c>
      <c r="AD34" s="39">
        <f t="shared" si="35"/>
        <v>1.795656002415341E-3</v>
      </c>
      <c r="AE34" s="39">
        <f t="shared" si="36"/>
        <v>6.1316037884357839E-3</v>
      </c>
      <c r="AF34" s="39">
        <f t="shared" si="37"/>
        <v>5.1240355502055971E-3</v>
      </c>
      <c r="AG34" s="47">
        <f t="shared" si="11"/>
        <v>0</v>
      </c>
      <c r="AH34" s="47">
        <f t="shared" si="12"/>
        <v>0</v>
      </c>
      <c r="AI34" s="47">
        <f t="shared" si="46"/>
        <v>0</v>
      </c>
      <c r="AJ34" s="47">
        <f t="shared" si="46"/>
        <v>0</v>
      </c>
      <c r="AK34" s="48">
        <f t="shared" si="38"/>
        <v>9.4567669601918911E-2</v>
      </c>
      <c r="AL34" s="48">
        <f t="shared" si="39"/>
        <v>1.795656002415341E-3</v>
      </c>
      <c r="AM34" s="48">
        <f t="shared" si="40"/>
        <v>6.1316037884357839E-3</v>
      </c>
      <c r="AN34" s="48">
        <f t="shared" si="41"/>
        <v>5.1240355502055971E-3</v>
      </c>
      <c r="AO34" s="48"/>
      <c r="AP34" s="1">
        <f t="shared" si="14"/>
        <v>20513.2428104172</v>
      </c>
      <c r="AQ34">
        <f t="shared" si="15"/>
        <v>7.6232469714060825E-3</v>
      </c>
      <c r="AR34" s="1">
        <f t="shared" si="44"/>
        <v>4631789.0129975341</v>
      </c>
      <c r="AS34" s="1">
        <f t="shared" si="42"/>
        <v>2152.1591514099355</v>
      </c>
      <c r="AT34" s="1">
        <f t="shared" si="16"/>
        <v>477074268.33874601</v>
      </c>
      <c r="AU34" s="2">
        <f t="shared" si="45"/>
        <v>2939014630.6754656</v>
      </c>
      <c r="AV34">
        <f t="shared" si="43"/>
        <v>0.83767543605963568</v>
      </c>
      <c r="AW34">
        <f t="shared" si="17"/>
        <v>2474.8559798391452</v>
      </c>
      <c r="AX34">
        <f t="shared" si="18"/>
        <v>9.1478963656872997E-2</v>
      </c>
      <c r="AZ34" s="1">
        <f t="shared" si="19"/>
        <v>1936.7556745328286</v>
      </c>
      <c r="BA34">
        <f t="shared" si="20"/>
        <v>0</v>
      </c>
      <c r="BB34" s="1">
        <f t="shared" si="21"/>
        <v>28.273161792605201</v>
      </c>
      <c r="BC34">
        <f t="shared" si="22"/>
        <v>0</v>
      </c>
      <c r="BD34" s="1">
        <f t="shared" si="23"/>
        <v>181.01326255769655</v>
      </c>
      <c r="BE34">
        <f t="shared" si="24"/>
        <v>0</v>
      </c>
    </row>
    <row r="35" spans="1:57" x14ac:dyDescent="0.3">
      <c r="A35">
        <v>1</v>
      </c>
      <c r="B35">
        <v>23</v>
      </c>
      <c r="C35" s="30">
        <v>43040</v>
      </c>
      <c r="D35" s="10">
        <f>Decomposition!I33</f>
        <v>208158.55451407499</v>
      </c>
      <c r="E35" s="10"/>
      <c r="F35" s="9">
        <f t="shared" si="25"/>
        <v>223297.13830773026</v>
      </c>
      <c r="G35" s="10">
        <f t="shared" si="1"/>
        <v>198493.61921067952</v>
      </c>
      <c r="H35" s="9">
        <f t="shared" si="26"/>
        <v>244481.63636534716</v>
      </c>
      <c r="I35" s="10">
        <f t="shared" si="2"/>
        <v>62950.141187560046</v>
      </c>
      <c r="J35" s="9">
        <f t="shared" si="27"/>
        <v>245216.96835286933</v>
      </c>
      <c r="K35" s="10">
        <f t="shared" si="3"/>
        <v>42626.594422986411</v>
      </c>
      <c r="L35" s="9">
        <f t="shared" si="28"/>
        <v>244753.2428104172</v>
      </c>
      <c r="M35" s="10">
        <f t="shared" si="4"/>
        <v>42354.987977916375</v>
      </c>
      <c r="O35">
        <f>Decomposition!H33</f>
        <v>1.1708334570680377</v>
      </c>
      <c r="Q35" s="118">
        <f>Decomposition!C33</f>
        <v>243719</v>
      </c>
      <c r="R35" s="31">
        <f t="shared" si="5"/>
        <v>243719</v>
      </c>
      <c r="S35" s="119">
        <f t="shared" si="6"/>
        <v>261443.76039823957</v>
      </c>
      <c r="T35" s="36">
        <f t="shared" si="7"/>
        <v>286247.27949529031</v>
      </c>
      <c r="U35" s="36">
        <f t="shared" si="8"/>
        <v>287108.23078833357</v>
      </c>
      <c r="V35" s="93">
        <f t="shared" si="9"/>
        <v>286565.28540833358</v>
      </c>
      <c r="W35" s="10"/>
      <c r="X35" s="10">
        <f t="shared" si="29"/>
        <v>17724.760398239567</v>
      </c>
      <c r="Y35" s="10">
        <f t="shared" si="30"/>
        <v>42528.279495290306</v>
      </c>
      <c r="Z35" s="10">
        <f t="shared" si="31"/>
        <v>43389.230788333574</v>
      </c>
      <c r="AA35" s="10">
        <f t="shared" si="32"/>
        <v>42846.285408333584</v>
      </c>
      <c r="AB35" s="10">
        <f t="shared" si="33"/>
        <v>0</v>
      </c>
      <c r="AC35" s="39">
        <f t="shared" si="34"/>
        <v>7.0607975746697166E-2</v>
      </c>
      <c r="AD35" s="39">
        <f t="shared" si="35"/>
        <v>0.16941474297449233</v>
      </c>
      <c r="AE35" s="39">
        <f t="shared" si="36"/>
        <v>0.17284441009847357</v>
      </c>
      <c r="AF35" s="39">
        <f t="shared" si="37"/>
        <v>0.17068154451600689</v>
      </c>
      <c r="AG35" s="47">
        <f t="shared" si="11"/>
        <v>0</v>
      </c>
      <c r="AH35" s="47">
        <f t="shared" si="12"/>
        <v>0</v>
      </c>
      <c r="AI35" s="47">
        <f t="shared" si="46"/>
        <v>0</v>
      </c>
      <c r="AJ35" s="47">
        <f t="shared" si="46"/>
        <v>0</v>
      </c>
      <c r="AK35" s="48">
        <f t="shared" si="38"/>
        <v>7.0607975746697166E-2</v>
      </c>
      <c r="AL35" s="48">
        <f t="shared" si="39"/>
        <v>0.16941474297449233</v>
      </c>
      <c r="AM35" s="48">
        <f t="shared" si="40"/>
        <v>0.17284441009847357</v>
      </c>
      <c r="AN35" s="48">
        <f t="shared" si="41"/>
        <v>0.17068154451600689</v>
      </c>
      <c r="AO35" s="48"/>
      <c r="AP35" s="1">
        <f t="shared" si="14"/>
        <v>-35560.445485925011</v>
      </c>
      <c r="AQ35">
        <f t="shared" si="15"/>
        <v>-1.2158963630904516E-2</v>
      </c>
      <c r="AR35" s="1">
        <f t="shared" si="44"/>
        <v>3050166.3220873941</v>
      </c>
      <c r="AS35" s="1">
        <f t="shared" si="42"/>
        <v>1746.4725368832439</v>
      </c>
      <c r="AT35" s="1">
        <f t="shared" si="16"/>
        <v>314167131.17500162</v>
      </c>
      <c r="AU35" s="2">
        <f t="shared" si="45"/>
        <v>5430463643.986146</v>
      </c>
      <c r="AV35">
        <f t="shared" si="43"/>
        <v>0.94214727290865496</v>
      </c>
      <c r="AW35">
        <f t="shared" si="17"/>
        <v>7437.3064297500559</v>
      </c>
      <c r="AX35">
        <f t="shared" si="18"/>
        <v>0.14590756357085419</v>
      </c>
      <c r="AZ35" s="1">
        <f t="shared" si="19"/>
        <v>1927.1225166085389</v>
      </c>
      <c r="BA35">
        <f t="shared" si="20"/>
        <v>0</v>
      </c>
      <c r="BB35" s="1">
        <f t="shared" si="21"/>
        <v>611.16641929669947</v>
      </c>
      <c r="BC35">
        <f t="shared" si="22"/>
        <v>0</v>
      </c>
      <c r="BD35" s="1">
        <f t="shared" si="23"/>
        <v>413.85043129113018</v>
      </c>
      <c r="BE35">
        <f t="shared" si="24"/>
        <v>0</v>
      </c>
    </row>
    <row r="36" spans="1:57" x14ac:dyDescent="0.3">
      <c r="A36">
        <v>1</v>
      </c>
      <c r="B36">
        <v>24</v>
      </c>
      <c r="C36" s="30">
        <v>43070</v>
      </c>
      <c r="D36" s="10">
        <f>Decomposition!I34</f>
        <v>183502.98829116684</v>
      </c>
      <c r="E36" s="10"/>
      <c r="F36" s="9">
        <f t="shared" si="25"/>
        <v>221783.27992836473</v>
      </c>
      <c r="G36" s="10">
        <f t="shared" si="1"/>
        <v>210413.02431156964</v>
      </c>
      <c r="H36" s="9">
        <f t="shared" si="26"/>
        <v>229952.40362483831</v>
      </c>
      <c r="I36" s="10">
        <f t="shared" si="2"/>
        <v>98277.684510147956</v>
      </c>
      <c r="J36" s="9">
        <f t="shared" si="27"/>
        <v>219276.07866571328</v>
      </c>
      <c r="K36" s="10">
        <f t="shared" si="3"/>
        <v>75248.638459257927</v>
      </c>
      <c r="L36" s="9">
        <f t="shared" si="28"/>
        <v>208158.55451407499</v>
      </c>
      <c r="M36" s="10">
        <f t="shared" si="4"/>
        <v>97042.487570021243</v>
      </c>
      <c r="O36">
        <f>Decomposition!H34</f>
        <v>1.3918574426414096</v>
      </c>
      <c r="Q36" s="118">
        <f>Decomposition!C34</f>
        <v>255410</v>
      </c>
      <c r="R36" s="31">
        <f t="shared" si="5"/>
        <v>255410.00000000003</v>
      </c>
      <c r="S36" s="119">
        <f t="shared" si="6"/>
        <v>308690.70882171759</v>
      </c>
      <c r="T36" s="36">
        <f t="shared" si="7"/>
        <v>320060.96443851269</v>
      </c>
      <c r="U36" s="36">
        <f t="shared" si="8"/>
        <v>305201.04208409623</v>
      </c>
      <c r="V36" s="93">
        <f t="shared" si="9"/>
        <v>289727.03334989288</v>
      </c>
      <c r="W36" s="10"/>
      <c r="X36" s="10">
        <f t="shared" si="29"/>
        <v>53280.708821717591</v>
      </c>
      <c r="Y36" s="10">
        <f t="shared" si="30"/>
        <v>64650.964438512689</v>
      </c>
      <c r="Z36" s="10">
        <f t="shared" si="31"/>
        <v>49791.042084096232</v>
      </c>
      <c r="AA36" s="10">
        <f t="shared" si="32"/>
        <v>34317.033349892881</v>
      </c>
      <c r="AB36" s="10">
        <f t="shared" si="33"/>
        <v>0</v>
      </c>
      <c r="AC36" s="39">
        <f t="shared" si="34"/>
        <v>0.20253256926600632</v>
      </c>
      <c r="AD36" s="39">
        <f t="shared" si="35"/>
        <v>0.24575359868185545</v>
      </c>
      <c r="AE36" s="39">
        <f t="shared" si="36"/>
        <v>0.18926752107347003</v>
      </c>
      <c r="AF36" s="39">
        <f t="shared" si="37"/>
        <v>0.13044715597154424</v>
      </c>
      <c r="AG36" s="47">
        <f t="shared" si="11"/>
        <v>0</v>
      </c>
      <c r="AH36" s="47">
        <f t="shared" si="12"/>
        <v>0</v>
      </c>
      <c r="AI36" s="47">
        <f t="shared" si="46"/>
        <v>0</v>
      </c>
      <c r="AJ36" s="47">
        <f t="shared" si="46"/>
        <v>0</v>
      </c>
      <c r="AK36" s="48">
        <f t="shared" si="38"/>
        <v>0.20253256926600632</v>
      </c>
      <c r="AL36" s="48">
        <f t="shared" si="39"/>
        <v>0.24575359868185545</v>
      </c>
      <c r="AM36" s="48">
        <f t="shared" si="40"/>
        <v>0.18926752107347003</v>
      </c>
      <c r="AN36" s="48">
        <f t="shared" si="41"/>
        <v>0.13044715597154424</v>
      </c>
      <c r="AO36" s="48"/>
      <c r="AP36" s="1">
        <f t="shared" si="14"/>
        <v>-71907.011708833161</v>
      </c>
      <c r="AQ36">
        <f t="shared" si="15"/>
        <v>-2.3461301341905549E-2</v>
      </c>
      <c r="AR36" s="1">
        <f t="shared" si="44"/>
        <v>27561494.490724802</v>
      </c>
      <c r="AS36" s="1">
        <f t="shared" si="42"/>
        <v>5249.9042363384879</v>
      </c>
      <c r="AT36" s="1">
        <f t="shared" si="16"/>
        <v>2838833932.5446548</v>
      </c>
      <c r="AU36" s="2">
        <f t="shared" si="45"/>
        <v>7290201977.6657581</v>
      </c>
      <c r="AV36">
        <f t="shared" si="43"/>
        <v>0.61059598331545573</v>
      </c>
      <c r="AW36">
        <f t="shared" si="17"/>
        <v>30410.514740127415</v>
      </c>
      <c r="AX36">
        <f t="shared" si="18"/>
        <v>0.28153561610286659</v>
      </c>
      <c r="AZ36" s="1">
        <f t="shared" si="19"/>
        <v>2042.8448962288314</v>
      </c>
      <c r="BA36">
        <f t="shared" si="20"/>
        <v>0</v>
      </c>
      <c r="BB36" s="1">
        <f t="shared" si="21"/>
        <v>954.15227679755299</v>
      </c>
      <c r="BC36">
        <f t="shared" si="22"/>
        <v>0</v>
      </c>
      <c r="BD36" s="1">
        <f t="shared" si="23"/>
        <v>730.5693054296886</v>
      </c>
      <c r="BE36">
        <f t="shared" si="24"/>
        <v>0</v>
      </c>
    </row>
    <row r="37" spans="1:57" x14ac:dyDescent="0.3">
      <c r="A37">
        <v>1</v>
      </c>
      <c r="B37">
        <v>25</v>
      </c>
      <c r="C37" s="30">
        <v>43101</v>
      </c>
      <c r="D37" s="10">
        <f>Decomposition!I35</f>
        <v>181262.70471261247</v>
      </c>
      <c r="E37" s="10"/>
      <c r="F37" s="9">
        <f t="shared" si="25"/>
        <v>217955.25076464494</v>
      </c>
      <c r="G37" s="10">
        <f t="shared" si="1"/>
        <v>227964.11633422697</v>
      </c>
      <c r="H37" s="9">
        <f t="shared" si="26"/>
        <v>211372.63749136971</v>
      </c>
      <c r="I37" s="10">
        <f t="shared" si="2"/>
        <v>103436.91157432331</v>
      </c>
      <c r="J37" s="9">
        <f t="shared" si="27"/>
        <v>194234.91540353076</v>
      </c>
      <c r="K37" s="10">
        <f t="shared" si="3"/>
        <v>83961.612978093937</v>
      </c>
      <c r="L37" s="9">
        <f t="shared" si="28"/>
        <v>183502.98829116684</v>
      </c>
      <c r="M37" s="10">
        <f t="shared" si="4"/>
        <v>111831.26217829681</v>
      </c>
      <c r="O37">
        <f>Decomposition!H35</f>
        <v>1.5205003171334823</v>
      </c>
      <c r="Q37" s="118">
        <f>Decomposition!C35</f>
        <v>275610</v>
      </c>
      <c r="R37" s="31">
        <f t="shared" si="5"/>
        <v>275610</v>
      </c>
      <c r="S37" s="119">
        <f t="shared" si="6"/>
        <v>331401.02790855028</v>
      </c>
      <c r="T37" s="36">
        <f t="shared" si="7"/>
        <v>321392.16233896825</v>
      </c>
      <c r="U37" s="36">
        <f t="shared" si="8"/>
        <v>295334.25046946364</v>
      </c>
      <c r="V37" s="93">
        <f t="shared" si="9"/>
        <v>279016.35189166089</v>
      </c>
      <c r="W37" s="10"/>
      <c r="X37" s="10">
        <f t="shared" si="29"/>
        <v>55791.027908550284</v>
      </c>
      <c r="Y37" s="10">
        <f t="shared" si="30"/>
        <v>45782.16233896825</v>
      </c>
      <c r="Z37" s="10">
        <f t="shared" si="31"/>
        <v>19724.250469463645</v>
      </c>
      <c r="AA37" s="10">
        <f t="shared" si="32"/>
        <v>3406.3518916608882</v>
      </c>
      <c r="AB37" s="10">
        <f t="shared" si="33"/>
        <v>0</v>
      </c>
      <c r="AC37" s="39">
        <f t="shared" si="34"/>
        <v>0.19653149926764493</v>
      </c>
      <c r="AD37" s="39">
        <f t="shared" si="35"/>
        <v>0.16127390624421892</v>
      </c>
      <c r="AE37" s="39">
        <f t="shared" si="36"/>
        <v>6.9481360390926838E-2</v>
      </c>
      <c r="AF37" s="39">
        <f t="shared" si="37"/>
        <v>1.1999338771793716E-2</v>
      </c>
      <c r="AG37" s="47">
        <f t="shared" si="11"/>
        <v>0</v>
      </c>
      <c r="AH37" s="47">
        <f t="shared" si="12"/>
        <v>0</v>
      </c>
      <c r="AI37" s="47">
        <f t="shared" si="46"/>
        <v>0</v>
      </c>
      <c r="AJ37" s="47">
        <f t="shared" si="46"/>
        <v>0</v>
      </c>
      <c r="AK37" s="48">
        <f t="shared" si="38"/>
        <v>0.19653149926764493</v>
      </c>
      <c r="AL37" s="48">
        <f t="shared" si="39"/>
        <v>0.16127390624421892</v>
      </c>
      <c r="AM37" s="48">
        <f t="shared" si="40"/>
        <v>6.9481360390926838E-2</v>
      </c>
      <c r="AN37" s="48">
        <f t="shared" si="41"/>
        <v>1.1999338771793716E-2</v>
      </c>
      <c r="AO37" s="48"/>
      <c r="AP37" s="1">
        <f t="shared" si="14"/>
        <v>-94347.295287387533</v>
      </c>
      <c r="AQ37">
        <f t="shared" si="15"/>
        <v>-2.8526811825704053E-2</v>
      </c>
      <c r="AR37" s="1">
        <f t="shared" si="44"/>
        <v>30219794.127112973</v>
      </c>
      <c r="AS37" s="1">
        <f t="shared" si="42"/>
        <v>5497.2533257175783</v>
      </c>
      <c r="AT37" s="1">
        <f t="shared" si="16"/>
        <v>3112638795.0926366</v>
      </c>
      <c r="AU37" s="2">
        <f t="shared" si="45"/>
        <v>11147702233.976439</v>
      </c>
      <c r="AV37">
        <f t="shared" si="43"/>
        <v>0.7207820293579601</v>
      </c>
      <c r="AW37">
        <f t="shared" si="17"/>
        <v>52352.834284009776</v>
      </c>
      <c r="AX37">
        <f t="shared" si="18"/>
        <v>0.34232174190844866</v>
      </c>
      <c r="AZ37" s="1">
        <f t="shared" si="19"/>
        <v>2213.2438479051161</v>
      </c>
      <c r="BA37">
        <f t="shared" si="20"/>
        <v>0</v>
      </c>
      <c r="BB37" s="1">
        <f t="shared" si="21"/>
        <v>1004.2418599448865</v>
      </c>
      <c r="BC37">
        <f t="shared" si="22"/>
        <v>0</v>
      </c>
      <c r="BD37" s="1">
        <f t="shared" si="23"/>
        <v>815.16129104945571</v>
      </c>
      <c r="BE37">
        <f t="shared" si="24"/>
        <v>0</v>
      </c>
    </row>
    <row r="38" spans="1:57" x14ac:dyDescent="0.3">
      <c r="A38">
        <v>1</v>
      </c>
      <c r="B38">
        <v>26</v>
      </c>
      <c r="C38" s="30">
        <v>43132</v>
      </c>
      <c r="D38" s="10">
        <f>Decomposition!I36</f>
        <v>188990.81880267785</v>
      </c>
      <c r="E38" s="10"/>
      <c r="F38" s="9">
        <f t="shared" si="25"/>
        <v>214285.99615944171</v>
      </c>
      <c r="G38" s="10">
        <f t="shared" si="1"/>
        <v>231277.32165045131</v>
      </c>
      <c r="H38" s="9">
        <f t="shared" si="26"/>
        <v>199328.66437986679</v>
      </c>
      <c r="I38" s="10">
        <f t="shared" si="2"/>
        <v>12148.655827851675</v>
      </c>
      <c r="J38" s="9">
        <f t="shared" si="27"/>
        <v>185154.36791988794</v>
      </c>
      <c r="K38" s="10">
        <f t="shared" si="3"/>
        <v>11004.179590675456</v>
      </c>
      <c r="L38" s="9">
        <f t="shared" si="28"/>
        <v>181262.70471261247</v>
      </c>
      <c r="M38" s="10">
        <f t="shared" si="4"/>
        <v>29070.139257929783</v>
      </c>
      <c r="O38">
        <f>Decomposition!H36</f>
        <v>1.1359864006100491</v>
      </c>
      <c r="Q38" s="118">
        <f>Decomposition!C36</f>
        <v>214691</v>
      </c>
      <c r="R38" s="31">
        <f t="shared" si="5"/>
        <v>214691</v>
      </c>
      <c r="S38" s="119">
        <f t="shared" si="6"/>
        <v>243425.97747830299</v>
      </c>
      <c r="T38" s="36">
        <f t="shared" si="7"/>
        <v>226434.65198729339</v>
      </c>
      <c r="U38" s="36">
        <f t="shared" si="8"/>
        <v>210332.84397054225</v>
      </c>
      <c r="V38" s="93">
        <f t="shared" si="9"/>
        <v>205911.96749132281</v>
      </c>
      <c r="W38" s="10"/>
      <c r="X38" s="10">
        <f t="shared" si="29"/>
        <v>28734.977478302986</v>
      </c>
      <c r="Y38" s="10">
        <f t="shared" si="30"/>
        <v>11743.651987293386</v>
      </c>
      <c r="Z38" s="10">
        <f t="shared" si="31"/>
        <v>4358.1560294577503</v>
      </c>
      <c r="AA38" s="10">
        <f t="shared" si="32"/>
        <v>8779.0325086771918</v>
      </c>
      <c r="AB38" s="10">
        <f t="shared" si="33"/>
        <v>0</v>
      </c>
      <c r="AC38" s="39">
        <f t="shared" si="34"/>
        <v>0.1299450670344911</v>
      </c>
      <c r="AD38" s="39">
        <f t="shared" si="35"/>
        <v>5.3107041614034255E-2</v>
      </c>
      <c r="AE38" s="39">
        <f t="shared" si="36"/>
        <v>1.9708415565046909E-2</v>
      </c>
      <c r="AF38" s="39">
        <f t="shared" si="37"/>
        <v>3.9700465006433913E-2</v>
      </c>
      <c r="AG38" s="47">
        <f t="shared" si="11"/>
        <v>0</v>
      </c>
      <c r="AH38" s="47">
        <f t="shared" si="12"/>
        <v>0</v>
      </c>
      <c r="AI38" s="47">
        <f t="shared" si="46"/>
        <v>0</v>
      </c>
      <c r="AJ38" s="47">
        <f t="shared" si="46"/>
        <v>0</v>
      </c>
      <c r="AK38" s="48">
        <f t="shared" si="38"/>
        <v>0.1299450670344911</v>
      </c>
      <c r="AL38" s="48">
        <f t="shared" si="39"/>
        <v>5.3107041614034255E-2</v>
      </c>
      <c r="AM38" s="48">
        <f t="shared" si="40"/>
        <v>1.9708415565046909E-2</v>
      </c>
      <c r="AN38" s="48">
        <f t="shared" si="41"/>
        <v>3.9700465006433913E-2</v>
      </c>
      <c r="AO38" s="48"/>
      <c r="AP38" s="1">
        <f t="shared" si="14"/>
        <v>-25700.181197322148</v>
      </c>
      <c r="AQ38">
        <f t="shared" si="15"/>
        <v>-9.9756476351757269E-3</v>
      </c>
      <c r="AR38" s="1">
        <f t="shared" si="44"/>
        <v>8016494.4726075707</v>
      </c>
      <c r="AS38" s="1">
        <f t="shared" si="42"/>
        <v>2831.3414616763503</v>
      </c>
      <c r="AT38" s="1">
        <f t="shared" si="16"/>
        <v>825698930.67857981</v>
      </c>
      <c r="AU38" s="2">
        <f t="shared" si="45"/>
        <v>1994844276.4521644</v>
      </c>
      <c r="AV38">
        <f t="shared" si="43"/>
        <v>0.58608351517689017</v>
      </c>
      <c r="AW38">
        <f t="shared" si="17"/>
        <v>3884.6657823377022</v>
      </c>
      <c r="AX38">
        <f t="shared" si="18"/>
        <v>0.11970777162210874</v>
      </c>
      <c r="AZ38" s="1">
        <f t="shared" si="19"/>
        <v>2245.4108898102068</v>
      </c>
      <c r="BA38">
        <f t="shared" si="20"/>
        <v>0</v>
      </c>
      <c r="BB38" s="1">
        <f t="shared" si="21"/>
        <v>117.94811483351141</v>
      </c>
      <c r="BC38">
        <f t="shared" si="22"/>
        <v>0</v>
      </c>
      <c r="BD38" s="1">
        <f t="shared" si="23"/>
        <v>106.83669505510152</v>
      </c>
      <c r="BE38">
        <f t="shared" si="24"/>
        <v>0</v>
      </c>
    </row>
    <row r="39" spans="1:57" x14ac:dyDescent="0.3">
      <c r="A39">
        <v>1</v>
      </c>
      <c r="B39">
        <v>27</v>
      </c>
      <c r="C39" s="30">
        <v>43160</v>
      </c>
      <c r="D39" s="10">
        <f>Decomposition!I37</f>
        <v>193419.46662838294</v>
      </c>
      <c r="E39" s="10"/>
      <c r="F39" s="9">
        <f t="shared" si="25"/>
        <v>211756.47842376534</v>
      </c>
      <c r="G39" s="10">
        <f t="shared" si="1"/>
        <v>230674.19314205012</v>
      </c>
      <c r="H39" s="9">
        <f t="shared" si="26"/>
        <v>195193.52614899119</v>
      </c>
      <c r="I39" s="10">
        <f t="shared" si="2"/>
        <v>11187.799944206461</v>
      </c>
      <c r="J39" s="9">
        <f t="shared" si="27"/>
        <v>187839.88353784088</v>
      </c>
      <c r="K39" s="10">
        <f t="shared" si="3"/>
        <v>19351.638899681886</v>
      </c>
      <c r="L39" s="9">
        <f t="shared" si="28"/>
        <v>188990.81880267785</v>
      </c>
      <c r="M39" s="10">
        <f t="shared" si="4"/>
        <v>25554.346245995228</v>
      </c>
      <c r="O39">
        <f>Decomposition!H37</f>
        <v>1.1421704539411746</v>
      </c>
      <c r="Q39" s="118">
        <f>Decomposition!C37</f>
        <v>220918</v>
      </c>
      <c r="R39" s="31">
        <f t="shared" si="5"/>
        <v>220918</v>
      </c>
      <c r="S39" s="119">
        <f t="shared" si="6"/>
        <v>241861.99308625658</v>
      </c>
      <c r="T39" s="36">
        <f t="shared" si="7"/>
        <v>222944.2783679718</v>
      </c>
      <c r="U39" s="36">
        <f t="shared" si="8"/>
        <v>214545.16504867308</v>
      </c>
      <c r="V39" s="93">
        <f t="shared" si="9"/>
        <v>215859.72930256883</v>
      </c>
      <c r="W39" s="10"/>
      <c r="X39" s="10">
        <f t="shared" si="29"/>
        <v>20943.993086256582</v>
      </c>
      <c r="Y39" s="10">
        <f t="shared" si="30"/>
        <v>2026.2783679717977</v>
      </c>
      <c r="Z39" s="10">
        <f t="shared" si="31"/>
        <v>6372.8349513269204</v>
      </c>
      <c r="AA39" s="10">
        <f t="shared" si="32"/>
        <v>5058.2706974311732</v>
      </c>
      <c r="AB39" s="10">
        <f t="shared" si="33"/>
        <v>0</v>
      </c>
      <c r="AC39" s="39">
        <f t="shared" si="34"/>
        <v>9.2043083271403967E-2</v>
      </c>
      <c r="AD39" s="39">
        <f t="shared" si="35"/>
        <v>8.9049355481623498E-3</v>
      </c>
      <c r="AE39" s="39">
        <f t="shared" si="36"/>
        <v>2.800685502922589E-2</v>
      </c>
      <c r="AF39" s="39">
        <f t="shared" si="37"/>
        <v>2.222970706185308E-2</v>
      </c>
      <c r="AG39" s="47">
        <f t="shared" si="11"/>
        <v>0</v>
      </c>
      <c r="AH39" s="47">
        <f t="shared" si="12"/>
        <v>0</v>
      </c>
      <c r="AI39" s="47">
        <f t="shared" si="46"/>
        <v>0</v>
      </c>
      <c r="AJ39" s="47">
        <f t="shared" si="46"/>
        <v>0</v>
      </c>
      <c r="AK39" s="48">
        <f t="shared" si="38"/>
        <v>9.2043083271403967E-2</v>
      </c>
      <c r="AL39" s="48">
        <f t="shared" si="39"/>
        <v>8.9049355481623498E-3</v>
      </c>
      <c r="AM39" s="48">
        <f t="shared" si="40"/>
        <v>2.800685502922589E-2</v>
      </c>
      <c r="AN39" s="48">
        <f t="shared" si="41"/>
        <v>2.222970706185308E-2</v>
      </c>
      <c r="AO39" s="48"/>
      <c r="AP39" s="1">
        <f t="shared" si="14"/>
        <v>-27498.533371617057</v>
      </c>
      <c r="AQ39">
        <f t="shared" si="15"/>
        <v>-1.0372828142726056E-2</v>
      </c>
      <c r="AR39" s="1">
        <f t="shared" si="44"/>
        <v>4258746.0815258585</v>
      </c>
      <c r="AS39" s="1">
        <f t="shared" si="42"/>
        <v>2063.6729589559141</v>
      </c>
      <c r="AT39" s="1">
        <f t="shared" si="16"/>
        <v>438650846.39716351</v>
      </c>
      <c r="AU39" s="2">
        <f t="shared" si="45"/>
        <v>2589861271.33566</v>
      </c>
      <c r="AV39">
        <f t="shared" si="43"/>
        <v>0.83062766672017929</v>
      </c>
      <c r="AW39">
        <f t="shared" si="17"/>
        <v>4447.3402031086216</v>
      </c>
      <c r="AX39">
        <f t="shared" si="18"/>
        <v>0.12447393771271267</v>
      </c>
      <c r="AZ39" s="1">
        <f t="shared" si="19"/>
        <v>2239.5552732237875</v>
      </c>
      <c r="BA39">
        <f t="shared" si="20"/>
        <v>0</v>
      </c>
      <c r="BB39" s="1">
        <f t="shared" si="21"/>
        <v>108.61941693404331</v>
      </c>
      <c r="BC39">
        <f t="shared" si="22"/>
        <v>0</v>
      </c>
      <c r="BD39" s="1">
        <f t="shared" si="23"/>
        <v>187.87998931729987</v>
      </c>
      <c r="BE39">
        <f t="shared" si="24"/>
        <v>0</v>
      </c>
    </row>
    <row r="40" spans="1:57" x14ac:dyDescent="0.3">
      <c r="A40">
        <v>1</v>
      </c>
      <c r="B40">
        <v>28</v>
      </c>
      <c r="C40" s="30">
        <v>43191</v>
      </c>
      <c r="D40" s="10">
        <f>Decomposition!I38</f>
        <v>227622.92456098075</v>
      </c>
      <c r="E40" s="10"/>
      <c r="F40" s="9">
        <f t="shared" si="25"/>
        <v>209922.77724422712</v>
      </c>
      <c r="G40" s="10">
        <f t="shared" si="1"/>
        <v>150463.93461843146</v>
      </c>
      <c r="H40" s="9">
        <f t="shared" si="26"/>
        <v>194483.90234074788</v>
      </c>
      <c r="I40" s="10">
        <f t="shared" si="2"/>
        <v>36608.592259126832</v>
      </c>
      <c r="J40" s="9">
        <f t="shared" si="27"/>
        <v>191745.59170122031</v>
      </c>
      <c r="K40" s="10">
        <f t="shared" si="3"/>
        <v>23609.960846310598</v>
      </c>
      <c r="L40" s="9">
        <f t="shared" si="28"/>
        <v>193419.46662838294</v>
      </c>
      <c r="M40" s="10">
        <f t="shared" si="4"/>
        <v>22545.525133945659</v>
      </c>
      <c r="O40">
        <f>Decomposition!H38</f>
        <v>0.89114925656645383</v>
      </c>
      <c r="Q40" s="118">
        <f>Decomposition!C38</f>
        <v>202846</v>
      </c>
      <c r="R40" s="31">
        <f t="shared" si="5"/>
        <v>202846</v>
      </c>
      <c r="S40" s="119">
        <f t="shared" si="6"/>
        <v>187072.5268775583</v>
      </c>
      <c r="T40" s="36">
        <f t="shared" si="7"/>
        <v>173314.18498510029</v>
      </c>
      <c r="U40" s="36">
        <f t="shared" si="8"/>
        <v>170873.94149443728</v>
      </c>
      <c r="V40" s="93">
        <f t="shared" si="9"/>
        <v>172365.61389136349</v>
      </c>
      <c r="W40" s="10"/>
      <c r="X40" s="10">
        <f t="shared" si="29"/>
        <v>15773.473122441705</v>
      </c>
      <c r="Y40" s="10">
        <f t="shared" si="30"/>
        <v>29531.815014899708</v>
      </c>
      <c r="Z40" s="10">
        <f t="shared" si="31"/>
        <v>31972.058505562716</v>
      </c>
      <c r="AA40" s="10">
        <f t="shared" si="32"/>
        <v>30480.386108636507</v>
      </c>
      <c r="AB40" s="10">
        <f t="shared" si="33"/>
        <v>0</v>
      </c>
      <c r="AC40" s="39">
        <f t="shared" si="34"/>
        <v>7.5495950500311174E-2</v>
      </c>
      <c r="AD40" s="39">
        <f t="shared" si="35"/>
        <v>0.1413469581012661</v>
      </c>
      <c r="AE40" s="39">
        <f t="shared" si="36"/>
        <v>0.15302659899897622</v>
      </c>
      <c r="AF40" s="39">
        <f t="shared" si="37"/>
        <v>0.14588706640733673</v>
      </c>
      <c r="AG40" s="47">
        <f t="shared" si="11"/>
        <v>0</v>
      </c>
      <c r="AH40" s="47">
        <f t="shared" si="12"/>
        <v>0</v>
      </c>
      <c r="AI40" s="47">
        <f t="shared" si="46"/>
        <v>0</v>
      </c>
      <c r="AJ40" s="47">
        <f t="shared" si="46"/>
        <v>0</v>
      </c>
      <c r="AK40" s="48">
        <f t="shared" si="38"/>
        <v>7.5495950500311174E-2</v>
      </c>
      <c r="AL40" s="48">
        <f t="shared" si="39"/>
        <v>0.1413469581012661</v>
      </c>
      <c r="AM40" s="48">
        <f t="shared" si="40"/>
        <v>0.15302659899897622</v>
      </c>
      <c r="AN40" s="48">
        <f t="shared" si="41"/>
        <v>0.14588706640733673</v>
      </c>
      <c r="AO40" s="48"/>
      <c r="AP40" s="1">
        <f t="shared" si="14"/>
        <v>24776.924560980755</v>
      </c>
      <c r="AQ40">
        <f t="shared" si="15"/>
        <v>1.0178873201419119E-2</v>
      </c>
      <c r="AR40" s="1">
        <f t="shared" si="44"/>
        <v>2415557.8091688431</v>
      </c>
      <c r="AS40" s="1">
        <f t="shared" si="42"/>
        <v>1554.2064885879363</v>
      </c>
      <c r="AT40" s="1">
        <f t="shared" si="16"/>
        <v>248802454.34439087</v>
      </c>
      <c r="AU40" s="2">
        <f t="shared" si="45"/>
        <v>1077065731.4521642</v>
      </c>
      <c r="AV40">
        <f t="shared" si="43"/>
        <v>0.76899974896709367</v>
      </c>
      <c r="AW40">
        <f t="shared" si="17"/>
        <v>3610.5726379641064</v>
      </c>
      <c r="AX40">
        <f t="shared" si="18"/>
        <v>0.12214647841702944</v>
      </c>
      <c r="AZ40" s="1">
        <f t="shared" si="19"/>
        <v>1460.8148992080726</v>
      </c>
      <c r="BA40">
        <f t="shared" si="20"/>
        <v>0</v>
      </c>
      <c r="BB40" s="1">
        <f t="shared" si="21"/>
        <v>355.42322581676535</v>
      </c>
      <c r="BC40">
        <f t="shared" si="22"/>
        <v>0</v>
      </c>
      <c r="BD40" s="1">
        <f t="shared" si="23"/>
        <v>229.22292083796697</v>
      </c>
      <c r="BE40">
        <f t="shared" si="24"/>
        <v>0</v>
      </c>
    </row>
    <row r="41" spans="1:57" x14ac:dyDescent="0.3">
      <c r="A41">
        <v>1</v>
      </c>
      <c r="B41">
        <v>29</v>
      </c>
      <c r="C41" s="30">
        <v>43221</v>
      </c>
      <c r="D41" s="10">
        <f>Decomposition!I39</f>
        <v>253923.33719935975</v>
      </c>
      <c r="E41" s="10"/>
      <c r="F41" s="9">
        <f t="shared" si="25"/>
        <v>211692.79197590248</v>
      </c>
      <c r="G41" s="10">
        <f t="shared" si="1"/>
        <v>93311.687756683386</v>
      </c>
      <c r="H41" s="9">
        <f t="shared" si="26"/>
        <v>207739.51122884103</v>
      </c>
      <c r="I41" s="10">
        <f t="shared" si="2"/>
        <v>60627.933456112252</v>
      </c>
      <c r="J41" s="9">
        <f t="shared" si="27"/>
        <v>216859.72470305263</v>
      </c>
      <c r="K41" s="10">
        <f t="shared" si="3"/>
        <v>50042.578964377492</v>
      </c>
      <c r="L41" s="9">
        <f t="shared" si="28"/>
        <v>227622.92456098075</v>
      </c>
      <c r="M41" s="10">
        <f t="shared" si="4"/>
        <v>69925.992296517215</v>
      </c>
      <c r="O41">
        <f>Decomposition!H39</f>
        <v>0.72718404710878848</v>
      </c>
      <c r="Q41" s="118">
        <f>Decomposition!C39</f>
        <v>184649</v>
      </c>
      <c r="R41" s="31">
        <f t="shared" si="5"/>
        <v>184649</v>
      </c>
      <c r="S41" s="119">
        <f t="shared" si="6"/>
        <v>153939.62121279564</v>
      </c>
      <c r="T41" s="36">
        <f t="shared" si="7"/>
        <v>151064.85851979023</v>
      </c>
      <c r="U41" s="36">
        <f t="shared" si="8"/>
        <v>157696.93226446354</v>
      </c>
      <c r="V41" s="93">
        <f t="shared" si="9"/>
        <v>165523.75949699242</v>
      </c>
      <c r="W41" s="10"/>
      <c r="X41" s="10">
        <f t="shared" si="29"/>
        <v>30709.378787204361</v>
      </c>
      <c r="Y41" s="10">
        <f t="shared" si="30"/>
        <v>33584.141480209772</v>
      </c>
      <c r="Z41" s="10">
        <f t="shared" si="31"/>
        <v>26952.067735536461</v>
      </c>
      <c r="AA41" s="10">
        <f t="shared" si="32"/>
        <v>19125.240503007575</v>
      </c>
      <c r="AB41" s="10">
        <f t="shared" si="33"/>
        <v>0</v>
      </c>
      <c r="AC41" s="39">
        <f t="shared" si="34"/>
        <v>0.16146814150828578</v>
      </c>
      <c r="AD41" s="39">
        <f t="shared" si="35"/>
        <v>0.17658347785336184</v>
      </c>
      <c r="AE41" s="39">
        <f t="shared" si="36"/>
        <v>0.14171241682283084</v>
      </c>
      <c r="AF41" s="39">
        <f t="shared" si="37"/>
        <v>0.10055941089913377</v>
      </c>
      <c r="AG41" s="47">
        <f t="shared" si="11"/>
        <v>0</v>
      </c>
      <c r="AH41" s="47">
        <f t="shared" si="12"/>
        <v>0</v>
      </c>
      <c r="AI41" s="47">
        <f t="shared" si="46"/>
        <v>0</v>
      </c>
      <c r="AJ41" s="47">
        <f t="shared" si="46"/>
        <v>0</v>
      </c>
      <c r="AK41" s="48">
        <f t="shared" si="38"/>
        <v>0.16146814150828578</v>
      </c>
      <c r="AL41" s="48">
        <f t="shared" si="39"/>
        <v>0.17658347785336184</v>
      </c>
      <c r="AM41" s="48">
        <f t="shared" si="40"/>
        <v>0.14171241682283084</v>
      </c>
      <c r="AN41" s="48">
        <f t="shared" si="41"/>
        <v>0.10055941089913377</v>
      </c>
      <c r="AO41" s="48"/>
      <c r="AP41" s="1">
        <f t="shared" si="14"/>
        <v>69274.337199359754</v>
      </c>
      <c r="AQ41">
        <f t="shared" si="15"/>
        <v>3.1263973448434484E-2</v>
      </c>
      <c r="AR41" s="1">
        <f t="shared" si="44"/>
        <v>9155980.0533591956</v>
      </c>
      <c r="AS41" s="1">
        <f t="shared" si="42"/>
        <v>3025.8850033269928</v>
      </c>
      <c r="AT41" s="1">
        <f t="shared" si="16"/>
        <v>943065945.49599719</v>
      </c>
      <c r="AU41" s="2">
        <f t="shared" si="45"/>
        <v>213793514.6657559</v>
      </c>
      <c r="AV41">
        <f t="shared" si="43"/>
        <v>-3.4111064218687055</v>
      </c>
      <c r="AW41">
        <f t="shared" si="17"/>
        <v>28224.486414592862</v>
      </c>
      <c r="AX41">
        <f t="shared" si="18"/>
        <v>0.37516768138121381</v>
      </c>
      <c r="AZ41" s="1">
        <f t="shared" si="19"/>
        <v>905.9387160843047</v>
      </c>
      <c r="BA41">
        <f t="shared" si="20"/>
        <v>0</v>
      </c>
      <c r="BB41" s="1">
        <f t="shared" si="21"/>
        <v>588.62071316613833</v>
      </c>
      <c r="BC41">
        <f t="shared" si="22"/>
        <v>0</v>
      </c>
      <c r="BD41" s="1">
        <f t="shared" si="23"/>
        <v>485.85028120754845</v>
      </c>
      <c r="BE41">
        <f t="shared" si="24"/>
        <v>0</v>
      </c>
    </row>
    <row r="42" spans="1:57" x14ac:dyDescent="0.3">
      <c r="A42">
        <v>1</v>
      </c>
      <c r="B42">
        <v>30</v>
      </c>
      <c r="C42" s="30">
        <v>43252</v>
      </c>
      <c r="D42" s="10">
        <f>Decomposition!I40</f>
        <v>248468.46373530055</v>
      </c>
      <c r="E42" s="10"/>
      <c r="F42" s="9">
        <f t="shared" si="25"/>
        <v>215915.8464982482</v>
      </c>
      <c r="G42" s="10">
        <f t="shared" si="1"/>
        <v>81997.625470157189</v>
      </c>
      <c r="H42" s="9">
        <f t="shared" si="26"/>
        <v>226213.04161704853</v>
      </c>
      <c r="I42" s="10">
        <f t="shared" si="2"/>
        <v>63489.90364718053</v>
      </c>
      <c r="J42" s="9">
        <f t="shared" si="27"/>
        <v>242804.25345046763</v>
      </c>
      <c r="K42" s="10">
        <f t="shared" si="3"/>
        <v>62607.676533411839</v>
      </c>
      <c r="L42" s="9">
        <f t="shared" si="28"/>
        <v>253923.33719935975</v>
      </c>
      <c r="M42" s="10">
        <f t="shared" si="4"/>
        <v>90317.972115723067</v>
      </c>
      <c r="O42">
        <f>Decomposition!H40</f>
        <v>0.67381589390901009</v>
      </c>
      <c r="Q42" s="118">
        <f>Decomposition!C40</f>
        <v>167422</v>
      </c>
      <c r="R42" s="31">
        <f t="shared" si="5"/>
        <v>167422</v>
      </c>
      <c r="S42" s="119">
        <f t="shared" si="6"/>
        <v>145487.52911733772</v>
      </c>
      <c r="T42" s="36">
        <f t="shared" si="7"/>
        <v>152425.94285106767</v>
      </c>
      <c r="U42" s="36">
        <f t="shared" si="8"/>
        <v>163605.36508363669</v>
      </c>
      <c r="V42" s="93">
        <f t="shared" si="9"/>
        <v>171097.58043934559</v>
      </c>
      <c r="W42" s="10"/>
      <c r="X42" s="10">
        <f t="shared" si="29"/>
        <v>21934.470882662281</v>
      </c>
      <c r="Y42" s="10">
        <f t="shared" si="30"/>
        <v>14996.057148932334</v>
      </c>
      <c r="Z42" s="10">
        <f t="shared" si="31"/>
        <v>3816.6349163633131</v>
      </c>
      <c r="AA42" s="10">
        <f t="shared" si="32"/>
        <v>3675.580439345591</v>
      </c>
      <c r="AB42" s="10">
        <f t="shared" si="33"/>
        <v>0</v>
      </c>
      <c r="AC42" s="39">
        <f t="shared" si="34"/>
        <v>0.12719715926641209</v>
      </c>
      <c r="AD42" s="39">
        <f t="shared" si="35"/>
        <v>8.6961562909123047E-2</v>
      </c>
      <c r="AE42" s="39">
        <f t="shared" si="36"/>
        <v>2.2132520174085488E-2</v>
      </c>
      <c r="AF42" s="39">
        <f t="shared" si="37"/>
        <v>2.1314550646831226E-2</v>
      </c>
      <c r="AG42" s="47">
        <f t="shared" si="11"/>
        <v>0</v>
      </c>
      <c r="AH42" s="47">
        <f t="shared" si="12"/>
        <v>0</v>
      </c>
      <c r="AI42" s="47">
        <f t="shared" si="46"/>
        <v>0</v>
      </c>
      <c r="AJ42" s="47">
        <f t="shared" si="46"/>
        <v>0</v>
      </c>
      <c r="AK42" s="48">
        <f t="shared" si="38"/>
        <v>0.12719715926641209</v>
      </c>
      <c r="AL42" s="48">
        <f t="shared" si="39"/>
        <v>8.6961562909123047E-2</v>
      </c>
      <c r="AM42" s="48">
        <f t="shared" si="40"/>
        <v>2.2132520174085488E-2</v>
      </c>
      <c r="AN42" s="48">
        <f t="shared" si="41"/>
        <v>2.1314550646831226E-2</v>
      </c>
      <c r="AO42" s="48"/>
      <c r="AP42" s="1">
        <f t="shared" si="14"/>
        <v>81046.463735300553</v>
      </c>
      <c r="AQ42">
        <f t="shared" si="15"/>
        <v>4.0340409133457447E-2</v>
      </c>
      <c r="AR42" s="1">
        <f t="shared" si="44"/>
        <v>4671077.7951685376</v>
      </c>
      <c r="AS42" s="1">
        <f t="shared" si="42"/>
        <v>2161.2676361729332</v>
      </c>
      <c r="AT42" s="1">
        <f t="shared" si="16"/>
        <v>481121012.90235943</v>
      </c>
      <c r="AU42" s="2">
        <f t="shared" si="45"/>
        <v>6787694.3259495934</v>
      </c>
      <c r="AV42">
        <f t="shared" si="43"/>
        <v>-69.881361151314209</v>
      </c>
      <c r="AW42">
        <f t="shared" si="17"/>
        <v>38632.199043039625</v>
      </c>
      <c r="AX42">
        <f t="shared" si="18"/>
        <v>0.48408490960148937</v>
      </c>
      <c r="AZ42" s="1">
        <f t="shared" si="19"/>
        <v>796.0934511665746</v>
      </c>
      <c r="BA42">
        <f t="shared" si="20"/>
        <v>0</v>
      </c>
      <c r="BB42" s="1">
        <f t="shared" si="21"/>
        <v>616.40683152602458</v>
      </c>
      <c r="BC42">
        <f t="shared" si="22"/>
        <v>0</v>
      </c>
      <c r="BD42" s="1">
        <f t="shared" si="23"/>
        <v>607.8415197418625</v>
      </c>
      <c r="BE42">
        <f t="shared" si="24"/>
        <v>0</v>
      </c>
    </row>
    <row r="43" spans="1:57" x14ac:dyDescent="0.3">
      <c r="A43">
        <v>1</v>
      </c>
      <c r="B43">
        <v>31</v>
      </c>
      <c r="C43" s="30">
        <v>43282</v>
      </c>
      <c r="D43" s="10">
        <f>Decomposition!I41</f>
        <v>251701.34889770369</v>
      </c>
      <c r="E43" s="10"/>
      <c r="F43" s="9">
        <f t="shared" si="25"/>
        <v>219171.10822195341</v>
      </c>
      <c r="G43" s="10">
        <f t="shared" si="1"/>
        <v>169702.75505484798</v>
      </c>
      <c r="H43" s="9">
        <f t="shared" si="26"/>
        <v>235115.21046434937</v>
      </c>
      <c r="I43" s="10">
        <f t="shared" si="2"/>
        <v>17910.017038741207</v>
      </c>
      <c r="J43" s="9">
        <f t="shared" si="27"/>
        <v>246769.20064985068</v>
      </c>
      <c r="K43" s="10">
        <f t="shared" si="3"/>
        <v>23878.181200652616</v>
      </c>
      <c r="L43" s="9">
        <f t="shared" si="28"/>
        <v>248468.46373530055</v>
      </c>
      <c r="M43" s="10">
        <f t="shared" si="4"/>
        <v>37231.434471603803</v>
      </c>
      <c r="O43">
        <f>Decomposition!H41</f>
        <v>0.85601050985057181</v>
      </c>
      <c r="Q43" s="118">
        <f>Decomposition!C41</f>
        <v>215459</v>
      </c>
      <c r="R43" s="31">
        <f t="shared" si="5"/>
        <v>215459</v>
      </c>
      <c r="S43" s="119">
        <f t="shared" si="6"/>
        <v>187612.77209358918</v>
      </c>
      <c r="T43" s="36">
        <f t="shared" si="7"/>
        <v>201261.09118321221</v>
      </c>
      <c r="U43" s="36">
        <f t="shared" si="8"/>
        <v>211237.02926369675</v>
      </c>
      <c r="V43" s="93">
        <f t="shared" si="9"/>
        <v>212691.61632384293</v>
      </c>
      <c r="W43" s="10"/>
      <c r="X43" s="10">
        <f t="shared" si="29"/>
        <v>27846.227906410815</v>
      </c>
      <c r="Y43" s="10">
        <f t="shared" si="30"/>
        <v>14197.908816787793</v>
      </c>
      <c r="Z43" s="10">
        <f t="shared" si="31"/>
        <v>4221.9707363032503</v>
      </c>
      <c r="AA43" s="10">
        <f t="shared" si="32"/>
        <v>2767.383676157071</v>
      </c>
      <c r="AB43" s="10">
        <f t="shared" si="33"/>
        <v>0</v>
      </c>
      <c r="AC43" s="39">
        <f t="shared" si="34"/>
        <v>0.12547711037678022</v>
      </c>
      <c r="AD43" s="39">
        <f t="shared" si="35"/>
        <v>6.397680065361383E-2</v>
      </c>
      <c r="AE43" s="39">
        <f t="shared" si="36"/>
        <v>1.9024504499034731E-2</v>
      </c>
      <c r="AF43" s="39">
        <f t="shared" si="37"/>
        <v>1.2470030345047834E-2</v>
      </c>
      <c r="AG43" s="47">
        <f t="shared" si="11"/>
        <v>0</v>
      </c>
      <c r="AH43" s="47">
        <f t="shared" si="12"/>
        <v>0</v>
      </c>
      <c r="AI43" s="47">
        <f t="shared" si="46"/>
        <v>0</v>
      </c>
      <c r="AJ43" s="47">
        <f t="shared" si="46"/>
        <v>0</v>
      </c>
      <c r="AK43" s="48">
        <f t="shared" si="38"/>
        <v>0.12547711037678022</v>
      </c>
      <c r="AL43" s="48">
        <f t="shared" si="39"/>
        <v>6.397680065361383E-2</v>
      </c>
      <c r="AM43" s="48">
        <f t="shared" si="40"/>
        <v>1.9024504499034731E-2</v>
      </c>
      <c r="AN43" s="48">
        <f t="shared" si="41"/>
        <v>1.2470030345047834E-2</v>
      </c>
      <c r="AO43" s="48"/>
      <c r="AP43" s="1">
        <f t="shared" si="14"/>
        <v>36242.34889770369</v>
      </c>
      <c r="AQ43">
        <f t="shared" si="15"/>
        <v>1.4017496328653281E-2</v>
      </c>
      <c r="AR43" s="1">
        <f t="shared" si="44"/>
        <v>7528275.8118036157</v>
      </c>
      <c r="AS43" s="1">
        <f t="shared" si="42"/>
        <v>2743.7703642622164</v>
      </c>
      <c r="AT43" s="1">
        <f t="shared" si="16"/>
        <v>775412408.61577249</v>
      </c>
      <c r="AU43" s="2">
        <f t="shared" si="45"/>
        <v>2064037512.3356597</v>
      </c>
      <c r="AV43">
        <f t="shared" si="43"/>
        <v>0.62432252128096366</v>
      </c>
      <c r="AW43">
        <f t="shared" si="17"/>
        <v>7725.2752711904004</v>
      </c>
      <c r="AX43">
        <f t="shared" si="18"/>
        <v>0.16820995594383939</v>
      </c>
      <c r="AZ43" s="1">
        <f t="shared" si="19"/>
        <v>1647.5995636393006</v>
      </c>
      <c r="BA43">
        <f t="shared" si="20"/>
        <v>0</v>
      </c>
      <c r="BB43" s="1">
        <f t="shared" si="21"/>
        <v>173.88366057030299</v>
      </c>
      <c r="BC43">
        <f t="shared" si="22"/>
        <v>0</v>
      </c>
      <c r="BD43" s="1">
        <f t="shared" si="23"/>
        <v>231.82700194808365</v>
      </c>
      <c r="BE43">
        <f t="shared" si="24"/>
        <v>0</v>
      </c>
    </row>
    <row r="44" spans="1:57" x14ac:dyDescent="0.3">
      <c r="A44">
        <v>1</v>
      </c>
      <c r="B44">
        <v>32</v>
      </c>
      <c r="C44" s="30">
        <v>43313</v>
      </c>
      <c r="D44" s="10">
        <f>Decomposition!I42</f>
        <v>269253.31016678584</v>
      </c>
      <c r="E44" s="10"/>
      <c r="F44" s="9">
        <f t="shared" si="25"/>
        <v>222424.13228952844</v>
      </c>
      <c r="G44" s="10">
        <f t="shared" si="1"/>
        <v>128616.2397174151</v>
      </c>
      <c r="H44" s="9">
        <f t="shared" si="26"/>
        <v>241749.66583769111</v>
      </c>
      <c r="I44" s="10">
        <f t="shared" si="2"/>
        <v>39596.292866851465</v>
      </c>
      <c r="J44" s="9">
        <f t="shared" si="27"/>
        <v>250221.70442334778</v>
      </c>
      <c r="K44" s="10">
        <f t="shared" si="3"/>
        <v>52514.684114511008</v>
      </c>
      <c r="L44" s="9">
        <f t="shared" si="28"/>
        <v>251701.34889770369</v>
      </c>
      <c r="M44" s="10">
        <f t="shared" si="4"/>
        <v>62466.367174523592</v>
      </c>
      <c r="O44">
        <f>Decomposition!H42</f>
        <v>0.756269253937361</v>
      </c>
      <c r="Q44" s="118">
        <f>Decomposition!C42</f>
        <v>203628</v>
      </c>
      <c r="R44" s="31">
        <f t="shared" si="5"/>
        <v>203628</v>
      </c>
      <c r="S44" s="119">
        <f t="shared" si="6"/>
        <v>168212.53258426656</v>
      </c>
      <c r="T44" s="36">
        <f t="shared" si="7"/>
        <v>182827.83942267697</v>
      </c>
      <c r="U44" s="36">
        <f t="shared" si="8"/>
        <v>189234.9817231801</v>
      </c>
      <c r="V44" s="93">
        <f t="shared" si="9"/>
        <v>190353.99134589377</v>
      </c>
      <c r="W44" s="10"/>
      <c r="X44" s="10">
        <f t="shared" si="29"/>
        <v>35415.467415733438</v>
      </c>
      <c r="Y44" s="10">
        <f t="shared" si="30"/>
        <v>20800.160577323026</v>
      </c>
      <c r="Z44" s="10">
        <f t="shared" si="31"/>
        <v>14393.018276819901</v>
      </c>
      <c r="AA44" s="10">
        <f t="shared" si="32"/>
        <v>13274.008654106234</v>
      </c>
      <c r="AB44" s="10">
        <f t="shared" si="33"/>
        <v>0</v>
      </c>
      <c r="AC44" s="39">
        <f t="shared" si="34"/>
        <v>0.16885668448010105</v>
      </c>
      <c r="AD44" s="39">
        <f t="shared" si="35"/>
        <v>9.9172661213561844E-2</v>
      </c>
      <c r="AE44" s="39">
        <f t="shared" si="36"/>
        <v>6.8624178169271077E-2</v>
      </c>
      <c r="AF44" s="39">
        <f t="shared" si="37"/>
        <v>6.3288875021222948E-2</v>
      </c>
      <c r="AG44" s="47">
        <f t="shared" si="11"/>
        <v>0</v>
      </c>
      <c r="AH44" s="47">
        <f t="shared" si="12"/>
        <v>0</v>
      </c>
      <c r="AI44" s="47">
        <f t="shared" si="46"/>
        <v>0</v>
      </c>
      <c r="AJ44" s="47">
        <f t="shared" si="46"/>
        <v>0</v>
      </c>
      <c r="AK44" s="48">
        <f t="shared" si="38"/>
        <v>0.16885668448010105</v>
      </c>
      <c r="AL44" s="48">
        <f t="shared" si="39"/>
        <v>9.9172661213561844E-2</v>
      </c>
      <c r="AM44" s="48">
        <f t="shared" si="40"/>
        <v>6.8624178169271077E-2</v>
      </c>
      <c r="AN44" s="48">
        <f t="shared" si="41"/>
        <v>6.3288875021222948E-2</v>
      </c>
      <c r="AO44" s="48"/>
      <c r="AP44" s="1">
        <f t="shared" si="14"/>
        <v>65625.310166785843</v>
      </c>
      <c r="AQ44">
        <f t="shared" si="15"/>
        <v>2.6856698721355377E-2</v>
      </c>
      <c r="AR44" s="1">
        <f t="shared" si="44"/>
        <v>12177236.235678414</v>
      </c>
      <c r="AS44" s="1">
        <f t="shared" si="42"/>
        <v>3489.589694459567</v>
      </c>
      <c r="AT44" s="1">
        <f t="shared" si="16"/>
        <v>1254255332.2748768</v>
      </c>
      <c r="AU44" s="2">
        <f t="shared" si="45"/>
        <v>1129005670.3647854</v>
      </c>
      <c r="AV44">
        <f t="shared" si="43"/>
        <v>-0.11093802732595925</v>
      </c>
      <c r="AW44">
        <f t="shared" si="17"/>
        <v>25329.348981388433</v>
      </c>
      <c r="AX44">
        <f t="shared" si="18"/>
        <v>0.32228038465626457</v>
      </c>
      <c r="AZ44" s="1">
        <f t="shared" si="19"/>
        <v>1248.7013564797583</v>
      </c>
      <c r="BA44">
        <f t="shared" si="20"/>
        <v>0</v>
      </c>
      <c r="BB44" s="1">
        <f t="shared" si="21"/>
        <v>384.43002783350937</v>
      </c>
      <c r="BC44">
        <f t="shared" si="22"/>
        <v>0</v>
      </c>
      <c r="BD44" s="1">
        <f t="shared" si="23"/>
        <v>509.85130208263115</v>
      </c>
      <c r="BE44">
        <f t="shared" si="24"/>
        <v>0</v>
      </c>
    </row>
    <row r="45" spans="1:57" x14ac:dyDescent="0.3">
      <c r="A45">
        <v>1</v>
      </c>
      <c r="B45">
        <v>33</v>
      </c>
      <c r="C45" s="30">
        <v>43344</v>
      </c>
      <c r="D45" s="10">
        <f>Decomposition!I43</f>
        <v>264208.77578967053</v>
      </c>
      <c r="E45" s="10"/>
      <c r="F45" s="9">
        <f t="shared" si="25"/>
        <v>227107.05007725419</v>
      </c>
      <c r="G45" s="10">
        <f t="shared" ref="G45:G76" si="47">ABS(I45-S45)</f>
        <v>165433.68395629735</v>
      </c>
      <c r="H45" s="9">
        <f t="shared" si="26"/>
        <v>252751.12356932898</v>
      </c>
      <c r="I45" s="10">
        <f t="shared" ref="I45:I76" si="48">ABS(F45-T45)</f>
        <v>20347.809488009836</v>
      </c>
      <c r="J45" s="9">
        <f t="shared" si="27"/>
        <v>263543.82844375446</v>
      </c>
      <c r="K45" s="10">
        <f t="shared" ref="K45:K76" si="49">ABS(H45-U45)</f>
        <v>37163.07370625381</v>
      </c>
      <c r="L45" s="9">
        <f t="shared" si="28"/>
        <v>269253.31016678584</v>
      </c>
      <c r="M45" s="10">
        <f t="shared" ref="M45:M76" si="50">ABS(L45-U45)</f>
        <v>53665.260303710675</v>
      </c>
      <c r="O45">
        <f>Decomposition!H43</f>
        <v>0.81803490195971706</v>
      </c>
      <c r="Q45" s="118">
        <f>Decomposition!C43</f>
        <v>216132</v>
      </c>
      <c r="R45" s="31">
        <f t="shared" ref="R45:R76" si="51">D45*O45</f>
        <v>216132</v>
      </c>
      <c r="S45" s="119">
        <f t="shared" ref="S45:S76" si="52">F45*O45</f>
        <v>185781.49344430718</v>
      </c>
      <c r="T45" s="36">
        <f t="shared" ref="T45:T76" si="53">H45*O45</f>
        <v>206759.24058924435</v>
      </c>
      <c r="U45" s="36">
        <f t="shared" ref="U45:U76" si="54">J45*O45</f>
        <v>215588.04986307517</v>
      </c>
      <c r="V45" s="93">
        <f t="shared" ref="V45:V76" si="55">L45*O45</f>
        <v>220258.60518461594</v>
      </c>
      <c r="W45" s="10"/>
      <c r="X45" s="10">
        <f t="shared" si="29"/>
        <v>30350.506555692817</v>
      </c>
      <c r="Y45" s="10">
        <f t="shared" si="30"/>
        <v>9372.7594107556506</v>
      </c>
      <c r="Z45" s="10">
        <f t="shared" si="31"/>
        <v>543.9501369248319</v>
      </c>
      <c r="AA45" s="10">
        <f t="shared" si="32"/>
        <v>4126.6051846159389</v>
      </c>
      <c r="AB45" s="10">
        <f t="shared" si="33"/>
        <v>0</v>
      </c>
      <c r="AC45" s="39">
        <f t="shared" si="34"/>
        <v>0.13633571715025652</v>
      </c>
      <c r="AD45" s="39">
        <f t="shared" si="35"/>
        <v>4.2102818732114494E-2</v>
      </c>
      <c r="AE45" s="39">
        <f t="shared" si="36"/>
        <v>2.4434462691930621E-3</v>
      </c>
      <c r="AF45" s="39">
        <f t="shared" si="37"/>
        <v>1.8536879317259818E-2</v>
      </c>
      <c r="AG45" s="47">
        <f t="shared" ref="AG45:AG76" si="56">IF(AC45&gt;1,1,0)</f>
        <v>0</v>
      </c>
      <c r="AH45" s="47">
        <f t="shared" ref="AH45:AH76" si="57">IF(AD45&gt;1,1,0)</f>
        <v>0</v>
      </c>
      <c r="AI45" s="47">
        <f t="shared" ref="AI45:AJ60" si="58">IF(AE45&gt;1,1,0)</f>
        <v>0</v>
      </c>
      <c r="AJ45" s="47">
        <f t="shared" si="58"/>
        <v>0</v>
      </c>
      <c r="AK45" s="48">
        <f t="shared" si="38"/>
        <v>0.13633571715025652</v>
      </c>
      <c r="AL45" s="48">
        <f t="shared" si="39"/>
        <v>4.2102818732114494E-2</v>
      </c>
      <c r="AM45" s="48">
        <f t="shared" si="40"/>
        <v>2.4434462691930621E-3</v>
      </c>
      <c r="AN45" s="48">
        <f t="shared" si="41"/>
        <v>1.8536879317259818E-2</v>
      </c>
      <c r="AO45" s="48"/>
      <c r="AP45" s="1">
        <f t="shared" ref="AP45:AP76" si="59">D45-Q45</f>
        <v>48076.77578967053</v>
      </c>
      <c r="AQ45">
        <f t="shared" ref="AQ45:AQ63" si="60">((1/12)*AP45)/Q45</f>
        <v>1.853681075672526E-2</v>
      </c>
      <c r="AR45" s="1">
        <f t="shared" si="44"/>
        <v>8943235.4192927424</v>
      </c>
      <c r="AS45" s="1">
        <f t="shared" si="42"/>
        <v>2990.5242716441448</v>
      </c>
      <c r="AT45" s="1">
        <f t="shared" ref="AT45:AT76" si="61">(Q45-S45)^2</f>
        <v>921153248.18715262</v>
      </c>
      <c r="AU45" s="2">
        <f t="shared" si="45"/>
        <v>2125641482.0929413</v>
      </c>
      <c r="AV45">
        <f t="shared" si="43"/>
        <v>0.5666469364908282</v>
      </c>
      <c r="AW45">
        <f t="shared" si="17"/>
        <v>13594.146899750993</v>
      </c>
      <c r="AX45">
        <f t="shared" ref="AX45:AX63" si="62">ABS(AP45)/ABS(Q45)</f>
        <v>0.22244172908070314</v>
      </c>
      <c r="AZ45" s="1">
        <f t="shared" si="19"/>
        <v>1606.1522714203627</v>
      </c>
      <c r="BA45">
        <f t="shared" ref="BA45:BA76" si="63">IF($BA$116=AZ45,1,0)</f>
        <v>0</v>
      </c>
      <c r="BB45" s="1">
        <f t="shared" si="21"/>
        <v>197.55154842727995</v>
      </c>
      <c r="BC45">
        <f t="shared" ref="BC45:BC76" si="64">IF($BC$116=BB45,1,0)</f>
        <v>0</v>
      </c>
      <c r="BD45" s="1">
        <f t="shared" si="23"/>
        <v>360.80654083741564</v>
      </c>
      <c r="BE45">
        <f t="shared" ref="BE45:BE76" si="65">IF($BE$116=BD45,1,0)</f>
        <v>0</v>
      </c>
    </row>
    <row r="46" spans="1:57" x14ac:dyDescent="0.3">
      <c r="A46">
        <v>1</v>
      </c>
      <c r="B46">
        <v>34</v>
      </c>
      <c r="C46" s="30">
        <v>43374</v>
      </c>
      <c r="D46" s="10">
        <f>Decomposition!I44</f>
        <v>248358.39782737583</v>
      </c>
      <c r="E46" s="10"/>
      <c r="F46" s="9">
        <f t="shared" ref="F46:F77" si="66">$S$3*D45+(1-$S$3)*F45</f>
        <v>230817.22264849581</v>
      </c>
      <c r="G46" s="10">
        <f t="shared" si="47"/>
        <v>206522.69871179273</v>
      </c>
      <c r="H46" s="9">
        <f t="shared" ref="H46:H77" si="67">$T$3*D45+(1-$T$3)*H45</f>
        <v>257334.1844574656</v>
      </c>
      <c r="I46" s="10">
        <f t="shared" si="48"/>
        <v>4949.2859384378535</v>
      </c>
      <c r="J46" s="9">
        <f t="shared" ref="J46:J77" si="68">$U$3*D45+(1-$U$3)*J45</f>
        <v>264009.2915858957</v>
      </c>
      <c r="K46" s="10">
        <f t="shared" si="49"/>
        <v>15452.02238503925</v>
      </c>
      <c r="L46" s="9">
        <f t="shared" ref="L46:L77" si="69">$V$3*D45+(1-$V$3)*L45</f>
        <v>264208.77578967053</v>
      </c>
      <c r="M46" s="10">
        <f t="shared" si="50"/>
        <v>22326.613717244181</v>
      </c>
      <c r="O46">
        <f>Decomposition!H44</f>
        <v>0.91618806527394414</v>
      </c>
      <c r="Q46" s="118">
        <f>Decomposition!C44</f>
        <v>227543</v>
      </c>
      <c r="R46" s="31">
        <f t="shared" si="51"/>
        <v>227543</v>
      </c>
      <c r="S46" s="119">
        <f t="shared" si="52"/>
        <v>211471.98465023059</v>
      </c>
      <c r="T46" s="36">
        <f t="shared" si="53"/>
        <v>235766.50858693366</v>
      </c>
      <c r="U46" s="36">
        <f t="shared" si="54"/>
        <v>241882.16207242635</v>
      </c>
      <c r="V46" s="93">
        <f t="shared" si="55"/>
        <v>242064.92711913554</v>
      </c>
      <c r="W46" s="10"/>
      <c r="X46" s="10">
        <f t="shared" si="29"/>
        <v>16071.015349769412</v>
      </c>
      <c r="Y46" s="10">
        <f t="shared" si="30"/>
        <v>8223.5085869336617</v>
      </c>
      <c r="Z46" s="10">
        <f t="shared" si="31"/>
        <v>14339.162072426348</v>
      </c>
      <c r="AA46" s="10">
        <f t="shared" si="32"/>
        <v>14521.927119135536</v>
      </c>
      <c r="AB46" s="10">
        <f t="shared" si="33"/>
        <v>0</v>
      </c>
      <c r="AC46" s="39">
        <f t="shared" si="34"/>
        <v>6.8571336072953126E-2</v>
      </c>
      <c r="AD46" s="39">
        <f t="shared" si="35"/>
        <v>3.5087824803896717E-2</v>
      </c>
      <c r="AE46" s="39">
        <f t="shared" si="36"/>
        <v>6.1181915396963257E-2</v>
      </c>
      <c r="AF46" s="39">
        <f t="shared" si="37"/>
        <v>6.1961731927999336E-2</v>
      </c>
      <c r="AG46" s="47">
        <f t="shared" si="56"/>
        <v>0</v>
      </c>
      <c r="AH46" s="47">
        <f t="shared" si="57"/>
        <v>0</v>
      </c>
      <c r="AI46" s="47">
        <f t="shared" si="58"/>
        <v>0</v>
      </c>
      <c r="AJ46" s="47">
        <f t="shared" si="58"/>
        <v>0</v>
      </c>
      <c r="AK46" s="48">
        <f t="shared" si="38"/>
        <v>6.8571336072953126E-2</v>
      </c>
      <c r="AL46" s="48">
        <f t="shared" si="39"/>
        <v>3.5087824803896717E-2</v>
      </c>
      <c r="AM46" s="48">
        <f t="shared" si="40"/>
        <v>6.1181915396963257E-2</v>
      </c>
      <c r="AN46" s="48">
        <f t="shared" si="41"/>
        <v>6.1961731927999336E-2</v>
      </c>
      <c r="AO46" s="48"/>
      <c r="AP46" s="1">
        <f t="shared" si="59"/>
        <v>20815.397827375826</v>
      </c>
      <c r="AQ46">
        <f t="shared" si="60"/>
        <v>7.623246971406073E-3</v>
      </c>
      <c r="AR46" s="1">
        <f t="shared" si="44"/>
        <v>2507548.8774031461</v>
      </c>
      <c r="AS46" s="1">
        <f t="shared" si="42"/>
        <v>1583.5241953955569</v>
      </c>
      <c r="AT46" s="1">
        <f t="shared" si="61"/>
        <v>258277534.37252405</v>
      </c>
      <c r="AU46" s="2">
        <f t="shared" si="45"/>
        <v>3308053401.1900291</v>
      </c>
      <c r="AV46">
        <f t="shared" si="43"/>
        <v>0.92192461757733046</v>
      </c>
      <c r="AW46">
        <f t="shared" si="17"/>
        <v>2548.300977291713</v>
      </c>
      <c r="AX46">
        <f t="shared" si="62"/>
        <v>9.1478963656872886E-2</v>
      </c>
      <c r="AZ46" s="1">
        <f t="shared" si="19"/>
        <v>2005.0747447746867</v>
      </c>
      <c r="BA46">
        <f t="shared" si="63"/>
        <v>0</v>
      </c>
      <c r="BB46" s="1">
        <f t="shared" si="21"/>
        <v>48.051319790658773</v>
      </c>
      <c r="BC46">
        <f t="shared" si="64"/>
        <v>0</v>
      </c>
      <c r="BD46" s="1">
        <f t="shared" si="23"/>
        <v>150.01963480620631</v>
      </c>
      <c r="BE46">
        <f t="shared" si="65"/>
        <v>0</v>
      </c>
    </row>
    <row r="47" spans="1:57" x14ac:dyDescent="0.3">
      <c r="A47">
        <v>1</v>
      </c>
      <c r="B47">
        <v>35</v>
      </c>
      <c r="C47" s="30">
        <v>43405</v>
      </c>
      <c r="D47" s="10">
        <f>Decomposition!I45</f>
        <v>223141.04403391507</v>
      </c>
      <c r="E47" s="10"/>
      <c r="F47" s="9">
        <f t="shared" si="66"/>
        <v>232571.3401663838</v>
      </c>
      <c r="G47" s="10">
        <f t="shared" si="47"/>
        <v>207781.83409422418</v>
      </c>
      <c r="H47" s="9">
        <f t="shared" si="67"/>
        <v>253743.86980542971</v>
      </c>
      <c r="I47" s="10">
        <f t="shared" si="48"/>
        <v>64520.472127729532</v>
      </c>
      <c r="J47" s="9">
        <f t="shared" si="68"/>
        <v>253053.66595493181</v>
      </c>
      <c r="K47" s="10">
        <f t="shared" si="49"/>
        <v>42539.828728323511</v>
      </c>
      <c r="L47" s="9">
        <f t="shared" si="69"/>
        <v>248358.39782737583</v>
      </c>
      <c r="M47" s="10">
        <f t="shared" si="50"/>
        <v>47925.300706377398</v>
      </c>
      <c r="O47">
        <f>Decomposition!H45</f>
        <v>1.1708334570680377</v>
      </c>
      <c r="Q47" s="118">
        <f>Decomposition!C45</f>
        <v>261261</v>
      </c>
      <c r="R47" s="31">
        <f t="shared" si="51"/>
        <v>261261</v>
      </c>
      <c r="S47" s="119">
        <f t="shared" si="52"/>
        <v>272302.30622195371</v>
      </c>
      <c r="T47" s="36">
        <f t="shared" si="53"/>
        <v>297091.81229411333</v>
      </c>
      <c r="U47" s="36">
        <f t="shared" si="54"/>
        <v>296283.69853375322</v>
      </c>
      <c r="V47" s="93">
        <f t="shared" si="55"/>
        <v>290786.32152010547</v>
      </c>
      <c r="W47" s="10"/>
      <c r="X47" s="10">
        <f t="shared" si="29"/>
        <v>11041.30622195371</v>
      </c>
      <c r="Y47" s="10">
        <f t="shared" si="30"/>
        <v>35830.812294113333</v>
      </c>
      <c r="Z47" s="10">
        <f t="shared" si="31"/>
        <v>35022.698533753224</v>
      </c>
      <c r="AA47" s="10">
        <f t="shared" si="32"/>
        <v>29525.32152010547</v>
      </c>
      <c r="AB47" s="10">
        <f t="shared" si="33"/>
        <v>0</v>
      </c>
      <c r="AC47" s="39">
        <f t="shared" si="34"/>
        <v>4.1030673459091997E-2</v>
      </c>
      <c r="AD47" s="39">
        <f t="shared" si="35"/>
        <v>0.13315112627622103</v>
      </c>
      <c r="AE47" s="39">
        <f t="shared" si="36"/>
        <v>0.13014808921225418</v>
      </c>
      <c r="AF47" s="39">
        <f t="shared" si="37"/>
        <v>0.10971924894695925</v>
      </c>
      <c r="AG47" s="47">
        <f t="shared" si="56"/>
        <v>0</v>
      </c>
      <c r="AH47" s="47">
        <f t="shared" si="57"/>
        <v>0</v>
      </c>
      <c r="AI47" s="47">
        <f t="shared" si="58"/>
        <v>0</v>
      </c>
      <c r="AJ47" s="47">
        <f t="shared" si="58"/>
        <v>0</v>
      </c>
      <c r="AK47" s="48">
        <f t="shared" si="38"/>
        <v>4.1030673459091997E-2</v>
      </c>
      <c r="AL47" s="48">
        <f t="shared" si="39"/>
        <v>0.13315112627622103</v>
      </c>
      <c r="AM47" s="48">
        <f t="shared" si="40"/>
        <v>0.13014808921225418</v>
      </c>
      <c r="AN47" s="48">
        <f t="shared" si="41"/>
        <v>0.10971924894695925</v>
      </c>
      <c r="AO47" s="48"/>
      <c r="AP47" s="1">
        <f t="shared" si="59"/>
        <v>-38119.955966084934</v>
      </c>
      <c r="AQ47">
        <f t="shared" si="60"/>
        <v>-1.2158963630904514E-2</v>
      </c>
      <c r="AR47" s="1">
        <f t="shared" si="44"/>
        <v>1183596.534824793</v>
      </c>
      <c r="AS47" s="1">
        <f t="shared" si="42"/>
        <v>1087.9322289668567</v>
      </c>
      <c r="AT47" s="1">
        <f t="shared" si="61"/>
        <v>121910443.0869537</v>
      </c>
      <c r="AU47" s="2">
        <f t="shared" si="45"/>
        <v>8323584295.4812918</v>
      </c>
      <c r="AV47">
        <f t="shared" si="43"/>
        <v>0.98535361224693352</v>
      </c>
      <c r="AW47">
        <f t="shared" si="17"/>
        <v>8546.4561785555543</v>
      </c>
      <c r="AX47">
        <f t="shared" si="62"/>
        <v>0.14590756357085419</v>
      </c>
      <c r="AZ47" s="1">
        <f t="shared" si="19"/>
        <v>2017.2993601380988</v>
      </c>
      <c r="BA47">
        <f t="shared" si="63"/>
        <v>0</v>
      </c>
      <c r="BB47" s="1">
        <f t="shared" si="21"/>
        <v>626.41235075465568</v>
      </c>
      <c r="BC47">
        <f t="shared" si="64"/>
        <v>0</v>
      </c>
      <c r="BD47" s="1">
        <f t="shared" si="23"/>
        <v>413.0080459060535</v>
      </c>
      <c r="BE47">
        <f t="shared" si="65"/>
        <v>0</v>
      </c>
    </row>
    <row r="48" spans="1:57" x14ac:dyDescent="0.3">
      <c r="A48">
        <v>1</v>
      </c>
      <c r="B48">
        <v>36</v>
      </c>
      <c r="C48" s="30">
        <v>43435</v>
      </c>
      <c r="D48" s="10">
        <f>Decomposition!I46</f>
        <v>210786.67326966047</v>
      </c>
      <c r="E48" s="10"/>
      <c r="F48" s="9">
        <f t="shared" si="66"/>
        <v>231628.31055313692</v>
      </c>
      <c r="G48" s="10">
        <f t="shared" si="47"/>
        <v>217884.5131360325</v>
      </c>
      <c r="H48" s="9">
        <f t="shared" si="67"/>
        <v>241502.73949682387</v>
      </c>
      <c r="I48" s="10">
        <f t="shared" si="48"/>
        <v>104509.0748338069</v>
      </c>
      <c r="J48" s="9">
        <f t="shared" si="68"/>
        <v>232114.83061022009</v>
      </c>
      <c r="K48" s="10">
        <f t="shared" si="49"/>
        <v>81568.015035461052</v>
      </c>
      <c r="L48" s="9">
        <f t="shared" si="69"/>
        <v>223141.04403391507</v>
      </c>
      <c r="M48" s="10">
        <f t="shared" si="50"/>
        <v>99929.710498369852</v>
      </c>
      <c r="O48">
        <f>Decomposition!H46</f>
        <v>1.3918574426414096</v>
      </c>
      <c r="Q48" s="118">
        <f>Decomposition!C46</f>
        <v>293385</v>
      </c>
      <c r="R48" s="31">
        <f t="shared" si="51"/>
        <v>293385</v>
      </c>
      <c r="S48" s="119">
        <f t="shared" si="52"/>
        <v>322393.5879698394</v>
      </c>
      <c r="T48" s="36">
        <f t="shared" si="53"/>
        <v>336137.38538694382</v>
      </c>
      <c r="U48" s="36">
        <f t="shared" si="54"/>
        <v>323070.75453228492</v>
      </c>
      <c r="V48" s="93">
        <f t="shared" si="55"/>
        <v>310580.52289737918</v>
      </c>
      <c r="W48" s="10"/>
      <c r="X48" s="10">
        <f t="shared" si="29"/>
        <v>29008.587969839398</v>
      </c>
      <c r="Y48" s="10">
        <f t="shared" si="30"/>
        <v>42752.385386943817</v>
      </c>
      <c r="Z48" s="10">
        <f t="shared" si="31"/>
        <v>29685.754532284918</v>
      </c>
      <c r="AA48" s="10">
        <f t="shared" si="32"/>
        <v>17195.522897379182</v>
      </c>
      <c r="AB48" s="10">
        <f t="shared" si="33"/>
        <v>0</v>
      </c>
      <c r="AC48" s="39">
        <f t="shared" si="34"/>
        <v>9.599562909017427E-2</v>
      </c>
      <c r="AD48" s="39">
        <f t="shared" si="35"/>
        <v>0.14147679765013971</v>
      </c>
      <c r="AE48" s="39">
        <f t="shared" si="36"/>
        <v>9.8236518244392126E-2</v>
      </c>
      <c r="AF48" s="39">
        <f t="shared" si="37"/>
        <v>5.6903667278967847E-2</v>
      </c>
      <c r="AG48" s="47">
        <f t="shared" si="56"/>
        <v>0</v>
      </c>
      <c r="AH48" s="47">
        <f t="shared" si="57"/>
        <v>0</v>
      </c>
      <c r="AI48" s="47">
        <f t="shared" si="58"/>
        <v>0</v>
      </c>
      <c r="AJ48" s="47">
        <f t="shared" si="58"/>
        <v>0</v>
      </c>
      <c r="AK48" s="48">
        <f t="shared" si="38"/>
        <v>9.599562909017427E-2</v>
      </c>
      <c r="AL48" s="48">
        <f t="shared" si="39"/>
        <v>0.14147679765013971</v>
      </c>
      <c r="AM48" s="48">
        <f t="shared" si="40"/>
        <v>9.8236518244392126E-2</v>
      </c>
      <c r="AN48" s="48">
        <f t="shared" si="41"/>
        <v>5.6903667278967847E-2</v>
      </c>
      <c r="AO48" s="48"/>
      <c r="AP48" s="1">
        <f t="shared" si="59"/>
        <v>-82598.326730339526</v>
      </c>
      <c r="AQ48">
        <f t="shared" si="60"/>
        <v>-2.3461301341905553E-2</v>
      </c>
      <c r="AR48" s="1">
        <f t="shared" si="44"/>
        <v>8169885.2039214652</v>
      </c>
      <c r="AS48" s="1">
        <f t="shared" si="42"/>
        <v>2858.3011044887248</v>
      </c>
      <c r="AT48" s="1">
        <f t="shared" si="61"/>
        <v>841498176.00391102</v>
      </c>
      <c r="AU48" s="2">
        <f t="shared" si="45"/>
        <v>15217117119.170612</v>
      </c>
      <c r="AV48">
        <f t="shared" si="43"/>
        <v>0.94470055205504155</v>
      </c>
      <c r="AW48">
        <f t="shared" si="17"/>
        <v>40125.80779999993</v>
      </c>
      <c r="AX48">
        <f t="shared" si="62"/>
        <v>0.28153561610286665</v>
      </c>
      <c r="AZ48" s="1">
        <f t="shared" si="19"/>
        <v>2115.3836226799272</v>
      </c>
      <c r="BA48">
        <f t="shared" si="63"/>
        <v>0</v>
      </c>
      <c r="BB48" s="1">
        <f t="shared" si="21"/>
        <v>1014.6512119787077</v>
      </c>
      <c r="BC48">
        <f t="shared" si="64"/>
        <v>0</v>
      </c>
      <c r="BD48" s="1">
        <f t="shared" si="23"/>
        <v>791.92247607243735</v>
      </c>
      <c r="BE48">
        <f t="shared" si="65"/>
        <v>0</v>
      </c>
    </row>
    <row r="49" spans="1:57" x14ac:dyDescent="0.3">
      <c r="A49">
        <v>1</v>
      </c>
      <c r="B49">
        <v>37</v>
      </c>
      <c r="C49" s="30">
        <v>43466</v>
      </c>
      <c r="D49" s="10">
        <f>Decomposition!I47</f>
        <v>211314.65503784781</v>
      </c>
      <c r="E49" s="10"/>
      <c r="F49" s="9">
        <f t="shared" si="66"/>
        <v>229544.14682478926</v>
      </c>
      <c r="G49" s="10">
        <f t="shared" si="47"/>
        <v>230042.61825028851</v>
      </c>
      <c r="H49" s="9">
        <f t="shared" si="67"/>
        <v>229216.31300595851</v>
      </c>
      <c r="I49" s="10">
        <f t="shared" si="48"/>
        <v>118979.32979293822</v>
      </c>
      <c r="J49" s="9">
        <f t="shared" si="68"/>
        <v>217185.12047182838</v>
      </c>
      <c r="K49" s="10">
        <f t="shared" si="49"/>
        <v>101013.7315481301</v>
      </c>
      <c r="L49" s="9">
        <f t="shared" si="69"/>
        <v>210786.67326966047</v>
      </c>
      <c r="M49" s="10">
        <f t="shared" si="50"/>
        <v>119443.37128442814</v>
      </c>
      <c r="O49">
        <f>Decomposition!H47</f>
        <v>1.5205003171334823</v>
      </c>
      <c r="Q49" s="118">
        <f>Decomposition!C47</f>
        <v>321304</v>
      </c>
      <c r="R49" s="31">
        <f t="shared" si="51"/>
        <v>321304</v>
      </c>
      <c r="S49" s="119">
        <f t="shared" si="52"/>
        <v>349021.94804322673</v>
      </c>
      <c r="T49" s="36">
        <f t="shared" si="53"/>
        <v>348523.47661772749</v>
      </c>
      <c r="U49" s="36">
        <f t="shared" si="54"/>
        <v>330230.04455408861</v>
      </c>
      <c r="V49" s="93">
        <f t="shared" si="55"/>
        <v>320501.20355403045</v>
      </c>
      <c r="W49" s="10"/>
      <c r="X49" s="10">
        <f t="shared" si="29"/>
        <v>27717.94804322673</v>
      </c>
      <c r="Y49" s="10">
        <f t="shared" si="30"/>
        <v>27219.476617727487</v>
      </c>
      <c r="Z49" s="10">
        <f t="shared" si="31"/>
        <v>8926.0445540886139</v>
      </c>
      <c r="AA49" s="10">
        <f t="shared" si="32"/>
        <v>802.7964459695504</v>
      </c>
      <c r="AB49" s="10">
        <f t="shared" si="33"/>
        <v>0</v>
      </c>
      <c r="AC49" s="39">
        <f t="shared" si="34"/>
        <v>8.3754416901692136E-2</v>
      </c>
      <c r="AD49" s="39">
        <f t="shared" si="35"/>
        <v>8.2248202101096651E-2</v>
      </c>
      <c r="AE49" s="39">
        <f t="shared" si="36"/>
        <v>2.6971536843215273E-2</v>
      </c>
      <c r="AF49" s="39">
        <f t="shared" si="37"/>
        <v>2.4257837599692372E-3</v>
      </c>
      <c r="AG49" s="47">
        <f t="shared" si="56"/>
        <v>0</v>
      </c>
      <c r="AH49" s="47">
        <f t="shared" si="57"/>
        <v>0</v>
      </c>
      <c r="AI49" s="47">
        <f t="shared" si="58"/>
        <v>0</v>
      </c>
      <c r="AJ49" s="47">
        <f t="shared" si="58"/>
        <v>0</v>
      </c>
      <c r="AK49" s="48">
        <f t="shared" si="38"/>
        <v>8.3754416901692136E-2</v>
      </c>
      <c r="AL49" s="48">
        <f t="shared" si="39"/>
        <v>8.2248202101096651E-2</v>
      </c>
      <c r="AM49" s="48">
        <f t="shared" si="40"/>
        <v>2.6971536843215273E-2</v>
      </c>
      <c r="AN49" s="48">
        <f t="shared" si="41"/>
        <v>2.4257837599692372E-3</v>
      </c>
      <c r="AO49" s="48"/>
      <c r="AP49" s="1">
        <f t="shared" si="59"/>
        <v>-109989.34496215219</v>
      </c>
      <c r="AQ49">
        <f t="shared" si="60"/>
        <v>-2.8526811825704056E-2</v>
      </c>
      <c r="AR49" s="1">
        <f t="shared" si="44"/>
        <v>7459074.2109419079</v>
      </c>
      <c r="AS49" s="1">
        <f t="shared" si="42"/>
        <v>2731.1305737627977</v>
      </c>
      <c r="AT49" s="1">
        <f t="shared" si="61"/>
        <v>768284643.72701657</v>
      </c>
      <c r="AU49" s="2">
        <f t="shared" si="45"/>
        <v>22884633794.325954</v>
      </c>
      <c r="AV49">
        <f t="shared" si="43"/>
        <v>0.96642792492849472</v>
      </c>
      <c r="AW49">
        <f t="shared" si="17"/>
        <v>71151.247796952637</v>
      </c>
      <c r="AX49">
        <f t="shared" si="62"/>
        <v>0.34232174190844866</v>
      </c>
      <c r="AZ49" s="1">
        <f t="shared" si="19"/>
        <v>2233.4234781581408</v>
      </c>
      <c r="BA49">
        <f t="shared" si="63"/>
        <v>0</v>
      </c>
      <c r="BB49" s="1">
        <f t="shared" si="21"/>
        <v>1155.1391242032837</v>
      </c>
      <c r="BC49">
        <f t="shared" si="64"/>
        <v>0</v>
      </c>
      <c r="BD49" s="1">
        <f t="shared" si="23"/>
        <v>980.7158402731078</v>
      </c>
      <c r="BE49">
        <f t="shared" si="65"/>
        <v>0</v>
      </c>
    </row>
    <row r="50" spans="1:57" x14ac:dyDescent="0.3">
      <c r="A50">
        <v>1</v>
      </c>
      <c r="B50">
        <v>38</v>
      </c>
      <c r="C50" s="30">
        <v>43497</v>
      </c>
      <c r="D50" s="10">
        <f>Decomposition!I48</f>
        <v>209186.48310612343</v>
      </c>
      <c r="E50" s="10"/>
      <c r="F50" s="9">
        <f t="shared" si="66"/>
        <v>227721.19764609513</v>
      </c>
      <c r="G50" s="10">
        <f t="shared" si="47"/>
        <v>234157.18293000563</v>
      </c>
      <c r="H50" s="9">
        <f t="shared" si="67"/>
        <v>222055.64981871424</v>
      </c>
      <c r="I50" s="10">
        <f t="shared" si="48"/>
        <v>24531.000726591563</v>
      </c>
      <c r="J50" s="9">
        <f t="shared" si="68"/>
        <v>213075.79466804198</v>
      </c>
      <c r="K50" s="10">
        <f t="shared" si="49"/>
        <v>19995.555223360658</v>
      </c>
      <c r="L50" s="9">
        <f t="shared" si="69"/>
        <v>211314.65503784781</v>
      </c>
      <c r="M50" s="10">
        <f t="shared" si="50"/>
        <v>30736.550004227087</v>
      </c>
      <c r="O50">
        <f>Decomposition!H48</f>
        <v>1.1359864006100491</v>
      </c>
      <c r="Q50" s="118">
        <f>Decomposition!C48</f>
        <v>237633</v>
      </c>
      <c r="R50" s="31">
        <f t="shared" si="51"/>
        <v>237633</v>
      </c>
      <c r="S50" s="119">
        <f t="shared" si="52"/>
        <v>258688.18365659719</v>
      </c>
      <c r="T50" s="36">
        <f t="shared" si="53"/>
        <v>252252.19837268669</v>
      </c>
      <c r="U50" s="36">
        <f t="shared" si="54"/>
        <v>242051.2050420749</v>
      </c>
      <c r="V50" s="93">
        <f t="shared" si="55"/>
        <v>240050.5743725989</v>
      </c>
      <c r="W50" s="10"/>
      <c r="X50" s="10">
        <f t="shared" si="29"/>
        <v>21055.18365659719</v>
      </c>
      <c r="Y50" s="10">
        <f t="shared" si="30"/>
        <v>14619.198372686689</v>
      </c>
      <c r="Z50" s="10">
        <f t="shared" si="31"/>
        <v>4418.2050420749001</v>
      </c>
      <c r="AA50" s="10">
        <f t="shared" si="32"/>
        <v>2417.5743725989014</v>
      </c>
      <c r="AB50" s="10">
        <f t="shared" si="33"/>
        <v>0</v>
      </c>
      <c r="AC50" s="39">
        <f t="shared" si="34"/>
        <v>8.6023093931362427E-2</v>
      </c>
      <c r="AD50" s="39">
        <f t="shared" si="35"/>
        <v>5.9728221578385962E-2</v>
      </c>
      <c r="AE50" s="39">
        <f t="shared" si="36"/>
        <v>1.8051025986816415E-2</v>
      </c>
      <c r="AF50" s="39">
        <f t="shared" si="37"/>
        <v>9.8772459424721175E-3</v>
      </c>
      <c r="AG50" s="47">
        <f t="shared" si="56"/>
        <v>0</v>
      </c>
      <c r="AH50" s="47">
        <f t="shared" si="57"/>
        <v>0</v>
      </c>
      <c r="AI50" s="47">
        <f t="shared" si="58"/>
        <v>0</v>
      </c>
      <c r="AJ50" s="47">
        <f t="shared" si="58"/>
        <v>0</v>
      </c>
      <c r="AK50" s="48">
        <f t="shared" si="38"/>
        <v>8.6023093931362427E-2</v>
      </c>
      <c r="AL50" s="48">
        <f t="shared" si="39"/>
        <v>5.9728221578385962E-2</v>
      </c>
      <c r="AM50" s="48">
        <f t="shared" si="40"/>
        <v>1.8051025986816415E-2</v>
      </c>
      <c r="AN50" s="48">
        <f t="shared" si="41"/>
        <v>9.8772459424721175E-3</v>
      </c>
      <c r="AO50" s="48"/>
      <c r="AP50" s="1">
        <f t="shared" si="59"/>
        <v>-28446.516893876571</v>
      </c>
      <c r="AQ50">
        <f t="shared" si="60"/>
        <v>-9.9756476351757287E-3</v>
      </c>
      <c r="AR50" s="1">
        <f t="shared" si="44"/>
        <v>4304085.0370197799</v>
      </c>
      <c r="AS50" s="1">
        <f t="shared" si="42"/>
        <v>2074.628891397153</v>
      </c>
      <c r="AT50" s="1">
        <f t="shared" si="61"/>
        <v>443320758.8130374</v>
      </c>
      <c r="AU50" s="2">
        <f t="shared" si="45"/>
        <v>4570527915.7531357</v>
      </c>
      <c r="AV50">
        <f t="shared" si="43"/>
        <v>0.90300447410351581</v>
      </c>
      <c r="AW50">
        <f t="shared" si="17"/>
        <v>4759.2605796841863</v>
      </c>
      <c r="AX50">
        <f t="shared" si="62"/>
        <v>0.11970777162210876</v>
      </c>
      <c r="AZ50" s="1">
        <f t="shared" si="19"/>
        <v>2273.3707080583072</v>
      </c>
      <c r="BA50">
        <f t="shared" si="63"/>
        <v>0</v>
      </c>
      <c r="BB50" s="1">
        <f t="shared" si="21"/>
        <v>238.16505559797633</v>
      </c>
      <c r="BC50">
        <f t="shared" si="64"/>
        <v>0</v>
      </c>
      <c r="BD50" s="1">
        <f t="shared" si="23"/>
        <v>194.13160411029764</v>
      </c>
      <c r="BE50">
        <f t="shared" si="65"/>
        <v>0</v>
      </c>
    </row>
    <row r="51" spans="1:57" x14ac:dyDescent="0.3">
      <c r="A51">
        <v>1</v>
      </c>
      <c r="B51">
        <v>39</v>
      </c>
      <c r="C51" s="30">
        <v>43525</v>
      </c>
      <c r="D51" s="10">
        <f>Decomposition!I49</f>
        <v>229267.00572267364</v>
      </c>
      <c r="E51" s="10"/>
      <c r="F51" s="9">
        <f t="shared" si="66"/>
        <v>225867.72619209797</v>
      </c>
      <c r="G51" s="10">
        <f t="shared" si="47"/>
        <v>236101.27998832989</v>
      </c>
      <c r="H51" s="9">
        <f t="shared" si="67"/>
        <v>216907.98313367792</v>
      </c>
      <c r="I51" s="10">
        <f t="shared" si="48"/>
        <v>21878.163367159577</v>
      </c>
      <c r="J51" s="9">
        <f t="shared" si="68"/>
        <v>210353.276574699</v>
      </c>
      <c r="K51" s="10">
        <f t="shared" si="49"/>
        <v>23351.314259659499</v>
      </c>
      <c r="L51" s="9">
        <f t="shared" si="69"/>
        <v>209186.48310612343</v>
      </c>
      <c r="M51" s="10">
        <f t="shared" si="50"/>
        <v>31072.814287213987</v>
      </c>
      <c r="O51">
        <f>Decomposition!H49</f>
        <v>1.1421704539411746</v>
      </c>
      <c r="Q51" s="118">
        <f>Decomposition!C49</f>
        <v>261862</v>
      </c>
      <c r="R51" s="31">
        <f t="shared" si="51"/>
        <v>261862.00000000003</v>
      </c>
      <c r="S51" s="119">
        <f t="shared" si="52"/>
        <v>257979.44335548946</v>
      </c>
      <c r="T51" s="36">
        <f t="shared" si="53"/>
        <v>247745.88955925754</v>
      </c>
      <c r="U51" s="36">
        <f t="shared" si="54"/>
        <v>240259.29739333742</v>
      </c>
      <c r="V51" s="93">
        <f t="shared" si="55"/>
        <v>238926.62036767884</v>
      </c>
      <c r="W51" s="10"/>
      <c r="X51" s="10">
        <f t="shared" si="29"/>
        <v>3882.556644510536</v>
      </c>
      <c r="Y51" s="10">
        <f t="shared" si="30"/>
        <v>14116.110440742457</v>
      </c>
      <c r="Z51" s="10">
        <f t="shared" si="31"/>
        <v>21602.702606662584</v>
      </c>
      <c r="AA51" s="10">
        <f t="shared" si="32"/>
        <v>22935.379632321157</v>
      </c>
      <c r="AB51" s="10">
        <f t="shared" si="33"/>
        <v>0</v>
      </c>
      <c r="AC51" s="39">
        <f t="shared" si="34"/>
        <v>1.4394881542180915E-2</v>
      </c>
      <c r="AD51" s="39">
        <f t="shared" si="35"/>
        <v>5.2336580309299711E-2</v>
      </c>
      <c r="AE51" s="39">
        <f t="shared" si="36"/>
        <v>8.0093704609188965E-2</v>
      </c>
      <c r="AF51" s="39">
        <f t="shared" si="37"/>
        <v>8.5034708611143345E-2</v>
      </c>
      <c r="AG51" s="47">
        <f t="shared" si="56"/>
        <v>0</v>
      </c>
      <c r="AH51" s="47">
        <f t="shared" si="57"/>
        <v>0</v>
      </c>
      <c r="AI51" s="47">
        <f t="shared" si="58"/>
        <v>0</v>
      </c>
      <c r="AJ51" s="47">
        <f t="shared" si="58"/>
        <v>0</v>
      </c>
      <c r="AK51" s="48">
        <f t="shared" si="38"/>
        <v>1.4394881542180915E-2</v>
      </c>
      <c r="AL51" s="48">
        <f t="shared" si="39"/>
        <v>5.2336580309299711E-2</v>
      </c>
      <c r="AM51" s="48">
        <f t="shared" si="40"/>
        <v>8.0093704609188965E-2</v>
      </c>
      <c r="AN51" s="48">
        <f t="shared" si="41"/>
        <v>8.5034708611143345E-2</v>
      </c>
      <c r="AO51" s="48"/>
      <c r="AP51" s="1">
        <f t="shared" si="59"/>
        <v>-32594.994277326361</v>
      </c>
      <c r="AQ51">
        <f t="shared" si="60"/>
        <v>-1.0372828142726054E-2</v>
      </c>
      <c r="AR51" s="1">
        <f t="shared" si="44"/>
        <v>146351.90386245545</v>
      </c>
      <c r="AS51" s="1">
        <f t="shared" si="42"/>
        <v>382.55967359675464</v>
      </c>
      <c r="AT51" s="1">
        <f t="shared" si="61"/>
        <v>15074246.097832913</v>
      </c>
      <c r="AU51" s="2">
        <f t="shared" si="45"/>
        <v>8433608379.3744955</v>
      </c>
      <c r="AV51">
        <f t="shared" si="43"/>
        <v>0.99821259828299602</v>
      </c>
      <c r="AW51">
        <f t="shared" si="17"/>
        <v>6248.6055153506823</v>
      </c>
      <c r="AX51">
        <f t="shared" si="62"/>
        <v>0.12447393771271266</v>
      </c>
      <c r="AZ51" s="1">
        <f t="shared" si="19"/>
        <v>2292.2454367799019</v>
      </c>
      <c r="BA51">
        <f t="shared" si="63"/>
        <v>0</v>
      </c>
      <c r="BB51" s="1">
        <f t="shared" si="21"/>
        <v>212.40935307921919</v>
      </c>
      <c r="BC51">
        <f t="shared" si="64"/>
        <v>0</v>
      </c>
      <c r="BD51" s="1">
        <f t="shared" si="23"/>
        <v>226.711788928733</v>
      </c>
      <c r="BE51">
        <f t="shared" si="65"/>
        <v>0</v>
      </c>
    </row>
    <row r="52" spans="1:57" x14ac:dyDescent="0.3">
      <c r="A52">
        <v>1</v>
      </c>
      <c r="B52">
        <v>40</v>
      </c>
      <c r="C52" s="30">
        <v>43556</v>
      </c>
      <c r="D52" s="10">
        <f>Decomposition!I50</f>
        <v>268971.77799769148</v>
      </c>
      <c r="E52" s="10"/>
      <c r="F52" s="9">
        <f t="shared" si="66"/>
        <v>226207.65414515551</v>
      </c>
      <c r="G52" s="10">
        <f t="shared" si="47"/>
        <v>173080.01010567593</v>
      </c>
      <c r="H52" s="9">
        <f t="shared" si="67"/>
        <v>221851.59216927621</v>
      </c>
      <c r="I52" s="10">
        <f t="shared" si="48"/>
        <v>28504.772715420899</v>
      </c>
      <c r="J52" s="9">
        <f t="shared" si="68"/>
        <v>223592.88697828125</v>
      </c>
      <c r="K52" s="10">
        <f t="shared" si="49"/>
        <v>22596.957165033731</v>
      </c>
      <c r="L52" s="9">
        <f t="shared" si="69"/>
        <v>229267.00572267364</v>
      </c>
      <c r="M52" s="10">
        <f t="shared" si="50"/>
        <v>30012.370718431164</v>
      </c>
      <c r="O52">
        <f>Decomposition!H50</f>
        <v>0.89114925656645383</v>
      </c>
      <c r="Q52" s="118">
        <f>Decomposition!C50</f>
        <v>239694</v>
      </c>
      <c r="R52" s="31">
        <f t="shared" si="51"/>
        <v>239694.00000000003</v>
      </c>
      <c r="S52" s="119">
        <f t="shared" si="52"/>
        <v>201584.78282109683</v>
      </c>
      <c r="T52" s="36">
        <f t="shared" si="53"/>
        <v>197702.88142973461</v>
      </c>
      <c r="U52" s="36">
        <f t="shared" si="54"/>
        <v>199254.63500424247</v>
      </c>
      <c r="V52" s="93">
        <f t="shared" si="55"/>
        <v>204311.12170497753</v>
      </c>
      <c r="W52" s="10"/>
      <c r="X52" s="10">
        <f t="shared" si="29"/>
        <v>38109.217178903171</v>
      </c>
      <c r="Y52" s="10">
        <f t="shared" si="30"/>
        <v>41991.118570265389</v>
      </c>
      <c r="Z52" s="10">
        <f t="shared" si="31"/>
        <v>40439.364995757525</v>
      </c>
      <c r="AA52" s="10">
        <f t="shared" si="32"/>
        <v>35382.87829502247</v>
      </c>
      <c r="AB52" s="10">
        <f t="shared" si="33"/>
        <v>0</v>
      </c>
      <c r="AC52" s="39">
        <f t="shared" si="34"/>
        <v>0.15436030930902586</v>
      </c>
      <c r="AD52" s="39">
        <f t="shared" si="35"/>
        <v>0.17008384140533789</v>
      </c>
      <c r="AE52" s="39">
        <f t="shared" si="36"/>
        <v>0.16379850731915199</v>
      </c>
      <c r="AF52" s="39">
        <f t="shared" si="37"/>
        <v>0.14331735055651648</v>
      </c>
      <c r="AG52" s="47">
        <f t="shared" si="56"/>
        <v>0</v>
      </c>
      <c r="AH52" s="47">
        <f t="shared" si="57"/>
        <v>0</v>
      </c>
      <c r="AI52" s="47">
        <f t="shared" si="58"/>
        <v>0</v>
      </c>
      <c r="AJ52" s="47">
        <f t="shared" si="58"/>
        <v>0</v>
      </c>
      <c r="AK52" s="48">
        <f t="shared" si="38"/>
        <v>0.15436030930902586</v>
      </c>
      <c r="AL52" s="48">
        <f t="shared" si="39"/>
        <v>0.17008384140533789</v>
      </c>
      <c r="AM52" s="48">
        <f t="shared" si="40"/>
        <v>0.16379850731915199</v>
      </c>
      <c r="AN52" s="48">
        <f t="shared" si="41"/>
        <v>0.14331735055651648</v>
      </c>
      <c r="AO52" s="48"/>
      <c r="AP52" s="1">
        <f t="shared" si="59"/>
        <v>29277.777997691475</v>
      </c>
      <c r="AQ52">
        <f t="shared" si="60"/>
        <v>1.0178873201419126E-2</v>
      </c>
      <c r="AR52" s="1">
        <f t="shared" si="44"/>
        <v>14100120.718337948</v>
      </c>
      <c r="AS52" s="1">
        <f t="shared" si="42"/>
        <v>3755.0127454294943</v>
      </c>
      <c r="AT52" s="1">
        <f t="shared" si="61"/>
        <v>1452312433.9888086</v>
      </c>
      <c r="AU52" s="2">
        <f t="shared" si="45"/>
        <v>4853446248.112359</v>
      </c>
      <c r="AV52">
        <f t="shared" si="43"/>
        <v>0.70076676247240743</v>
      </c>
      <c r="AW52">
        <f t="shared" si="17"/>
        <v>5041.47382034989</v>
      </c>
      <c r="AX52">
        <f t="shared" si="62"/>
        <v>0.12214647841702952</v>
      </c>
      <c r="AZ52" s="1">
        <f t="shared" si="19"/>
        <v>1680.3884476279216</v>
      </c>
      <c r="BA52">
        <f t="shared" si="63"/>
        <v>0</v>
      </c>
      <c r="BB52" s="1">
        <f t="shared" si="21"/>
        <v>276.74536616913491</v>
      </c>
      <c r="BC52">
        <f t="shared" si="64"/>
        <v>0</v>
      </c>
      <c r="BD52" s="1">
        <f t="shared" si="23"/>
        <v>219.38793364110418</v>
      </c>
      <c r="BE52">
        <f t="shared" si="65"/>
        <v>0</v>
      </c>
    </row>
    <row r="53" spans="1:57" x14ac:dyDescent="0.3">
      <c r="A53">
        <v>1</v>
      </c>
      <c r="B53">
        <v>41</v>
      </c>
      <c r="C53" s="30">
        <v>43586</v>
      </c>
      <c r="D53" s="10">
        <f>Decomposition!I51</f>
        <v>288418.04331912613</v>
      </c>
      <c r="E53" s="10"/>
      <c r="F53" s="9">
        <f t="shared" si="66"/>
        <v>230484.06653040912</v>
      </c>
      <c r="G53" s="10">
        <f t="shared" si="47"/>
        <v>112153.2273869378</v>
      </c>
      <c r="H53" s="9">
        <f t="shared" si="67"/>
        <v>240699.66650064231</v>
      </c>
      <c r="I53" s="10">
        <f t="shared" si="48"/>
        <v>55451.108906736365</v>
      </c>
      <c r="J53" s="9">
        <f t="shared" si="68"/>
        <v>255358.11069186841</v>
      </c>
      <c r="K53" s="10">
        <f t="shared" si="49"/>
        <v>55007.322105675441</v>
      </c>
      <c r="L53" s="9">
        <f t="shared" si="69"/>
        <v>268971.77799769148</v>
      </c>
      <c r="M53" s="10">
        <f t="shared" si="50"/>
        <v>83279.433602724603</v>
      </c>
      <c r="O53">
        <f>Decomposition!H51</f>
        <v>0.72718404710878848</v>
      </c>
      <c r="Q53" s="118">
        <f>Decomposition!C51</f>
        <v>209733</v>
      </c>
      <c r="R53" s="31">
        <f t="shared" si="51"/>
        <v>209733</v>
      </c>
      <c r="S53" s="119">
        <f t="shared" si="52"/>
        <v>167604.33629367416</v>
      </c>
      <c r="T53" s="36">
        <f t="shared" si="53"/>
        <v>175032.95762367276</v>
      </c>
      <c r="U53" s="36">
        <f t="shared" si="54"/>
        <v>185692.34439496687</v>
      </c>
      <c r="V53" s="93">
        <f t="shared" si="55"/>
        <v>195591.98608240788</v>
      </c>
      <c r="W53" s="10"/>
      <c r="X53" s="10">
        <f t="shared" si="29"/>
        <v>42128.663706325839</v>
      </c>
      <c r="Y53" s="10">
        <f t="shared" si="30"/>
        <v>34700.042376327241</v>
      </c>
      <c r="Z53" s="10">
        <f t="shared" si="31"/>
        <v>24040.655605033127</v>
      </c>
      <c r="AA53" s="10">
        <f t="shared" si="32"/>
        <v>14141.013917592121</v>
      </c>
      <c r="AB53" s="10">
        <f t="shared" si="33"/>
        <v>0</v>
      </c>
      <c r="AC53" s="39">
        <f t="shared" si="34"/>
        <v>0.19501754730471615</v>
      </c>
      <c r="AD53" s="39">
        <f t="shared" si="35"/>
        <v>0.16062976036396179</v>
      </c>
      <c r="AE53" s="39">
        <f t="shared" si="36"/>
        <v>0.11128645628004948</v>
      </c>
      <c r="AF53" s="39">
        <f t="shared" si="37"/>
        <v>6.5460083657877366E-2</v>
      </c>
      <c r="AG53" s="47">
        <f t="shared" si="56"/>
        <v>0</v>
      </c>
      <c r="AH53" s="47">
        <f t="shared" si="57"/>
        <v>0</v>
      </c>
      <c r="AI53" s="47">
        <f t="shared" si="58"/>
        <v>0</v>
      </c>
      <c r="AJ53" s="47">
        <f t="shared" si="58"/>
        <v>0</v>
      </c>
      <c r="AK53" s="48">
        <f t="shared" si="38"/>
        <v>0.19501754730471615</v>
      </c>
      <c r="AL53" s="48">
        <f t="shared" si="39"/>
        <v>0.16062976036396179</v>
      </c>
      <c r="AM53" s="48">
        <f t="shared" si="40"/>
        <v>0.11128645628004948</v>
      </c>
      <c r="AN53" s="48">
        <f t="shared" si="41"/>
        <v>6.5460083657877366E-2</v>
      </c>
      <c r="AO53" s="48"/>
      <c r="AP53" s="1">
        <f t="shared" si="59"/>
        <v>78685.043319126125</v>
      </c>
      <c r="AQ53">
        <f t="shared" si="60"/>
        <v>3.1263973448434484E-2</v>
      </c>
      <c r="AR53" s="1">
        <f t="shared" si="44"/>
        <v>17231303.938647531</v>
      </c>
      <c r="AS53" s="1">
        <f t="shared" si="42"/>
        <v>4151.0605799780287</v>
      </c>
      <c r="AT53" s="1">
        <f t="shared" si="61"/>
        <v>1774824305.680696</v>
      </c>
      <c r="AU53" s="2">
        <f t="shared" si="45"/>
        <v>1576540993.4230382</v>
      </c>
      <c r="AV53">
        <f t="shared" si="43"/>
        <v>-0.12577111098591764</v>
      </c>
      <c r="AW53">
        <f t="shared" si="17"/>
        <v>36413.771786742771</v>
      </c>
      <c r="AX53">
        <f t="shared" si="62"/>
        <v>0.37516768138121387</v>
      </c>
      <c r="AZ53" s="1">
        <f t="shared" si="19"/>
        <v>1088.8662853100757</v>
      </c>
      <c r="BA53">
        <f t="shared" si="63"/>
        <v>0</v>
      </c>
      <c r="BB53" s="1">
        <f t="shared" si="21"/>
        <v>538.36028064792583</v>
      </c>
      <c r="BC53">
        <f t="shared" si="64"/>
        <v>0</v>
      </c>
      <c r="BD53" s="1">
        <f t="shared" si="23"/>
        <v>534.0516709288878</v>
      </c>
      <c r="BE53">
        <f t="shared" si="65"/>
        <v>0</v>
      </c>
    </row>
    <row r="54" spans="1:57" x14ac:dyDescent="0.3">
      <c r="A54">
        <v>1</v>
      </c>
      <c r="B54">
        <v>42</v>
      </c>
      <c r="C54" s="30">
        <v>43617</v>
      </c>
      <c r="D54" s="10">
        <f>Decomposition!I52</f>
        <v>293235.88503342948</v>
      </c>
      <c r="E54" s="10"/>
      <c r="F54" s="9">
        <f t="shared" si="66"/>
        <v>236277.46420928085</v>
      </c>
      <c r="G54" s="10">
        <f t="shared" si="47"/>
        <v>97978.667786914244</v>
      </c>
      <c r="H54" s="9">
        <f t="shared" si="67"/>
        <v>259787.01722803584</v>
      </c>
      <c r="I54" s="10">
        <f t="shared" si="48"/>
        <v>61228.842969816469</v>
      </c>
      <c r="J54" s="9">
        <f t="shared" si="68"/>
        <v>278500.06353094883</v>
      </c>
      <c r="K54" s="10">
        <f t="shared" si="49"/>
        <v>72129.247966213443</v>
      </c>
      <c r="L54" s="9">
        <f t="shared" si="69"/>
        <v>288418.04331912613</v>
      </c>
      <c r="M54" s="10">
        <f t="shared" si="50"/>
        <v>100760.27405730373</v>
      </c>
      <c r="O54">
        <f>Decomposition!H52</f>
        <v>0.67381589390901009</v>
      </c>
      <c r="Q54" s="118">
        <f>Decomposition!C52</f>
        <v>197587</v>
      </c>
      <c r="R54" s="31">
        <f t="shared" si="51"/>
        <v>197587</v>
      </c>
      <c r="S54" s="119">
        <f t="shared" si="52"/>
        <v>159207.51075673071</v>
      </c>
      <c r="T54" s="36">
        <f t="shared" si="53"/>
        <v>175048.62123946438</v>
      </c>
      <c r="U54" s="36">
        <f t="shared" si="54"/>
        <v>187657.7692618224</v>
      </c>
      <c r="V54" s="93">
        <f t="shared" si="55"/>
        <v>194340.66167856456</v>
      </c>
      <c r="W54" s="10"/>
      <c r="X54" s="10">
        <f t="shared" si="29"/>
        <v>38379.489243269287</v>
      </c>
      <c r="Y54" s="10">
        <f t="shared" si="30"/>
        <v>22538.378760535619</v>
      </c>
      <c r="Z54" s="10">
        <f t="shared" si="31"/>
        <v>9929.2307381776045</v>
      </c>
      <c r="AA54" s="10">
        <f t="shared" si="32"/>
        <v>3246.3383214354399</v>
      </c>
      <c r="AB54" s="10">
        <f t="shared" si="33"/>
        <v>0</v>
      </c>
      <c r="AC54" s="39">
        <f t="shared" si="34"/>
        <v>0.18858345965073114</v>
      </c>
      <c r="AD54" s="39">
        <f t="shared" si="35"/>
        <v>0.1107457531453669</v>
      </c>
      <c r="AE54" s="39">
        <f t="shared" si="36"/>
        <v>4.878878591653741E-2</v>
      </c>
      <c r="AF54" s="39">
        <f t="shared" si="37"/>
        <v>1.5951377257069847E-2</v>
      </c>
      <c r="AG54" s="47">
        <f t="shared" si="56"/>
        <v>0</v>
      </c>
      <c r="AH54" s="47">
        <f t="shared" si="57"/>
        <v>0</v>
      </c>
      <c r="AI54" s="47">
        <f t="shared" si="58"/>
        <v>0</v>
      </c>
      <c r="AJ54" s="47">
        <f t="shared" si="58"/>
        <v>0</v>
      </c>
      <c r="AK54" s="48">
        <f t="shared" si="38"/>
        <v>0.18858345965073114</v>
      </c>
      <c r="AL54" s="48">
        <f t="shared" si="39"/>
        <v>0.1107457531453669</v>
      </c>
      <c r="AM54" s="48">
        <f t="shared" si="40"/>
        <v>4.878878591653741E-2</v>
      </c>
      <c r="AN54" s="48">
        <f t="shared" si="41"/>
        <v>1.5951377257069847E-2</v>
      </c>
      <c r="AO54" s="48"/>
      <c r="AP54" s="1">
        <f t="shared" si="59"/>
        <v>95648.885033429484</v>
      </c>
      <c r="AQ54">
        <f t="shared" si="60"/>
        <v>4.0340409133457447E-2</v>
      </c>
      <c r="AR54" s="1">
        <f t="shared" si="44"/>
        <v>14300827.13178857</v>
      </c>
      <c r="AS54" s="1">
        <f t="shared" si="42"/>
        <v>3781.6434432384776</v>
      </c>
      <c r="AT54" s="1">
        <f t="shared" si="61"/>
        <v>1472985194.5742228</v>
      </c>
      <c r="AU54" s="2">
        <f t="shared" si="45"/>
        <v>759535940.29682422</v>
      </c>
      <c r="AV54">
        <f t="shared" si="43"/>
        <v>-0.93932257372651118</v>
      </c>
      <c r="AW54">
        <f t="shared" si="17"/>
        <v>53807.289247646651</v>
      </c>
      <c r="AX54">
        <f t="shared" si="62"/>
        <v>0.48408490960148937</v>
      </c>
      <c r="AZ54" s="1">
        <f t="shared" si="19"/>
        <v>951.24920181470145</v>
      </c>
      <c r="BA54">
        <f t="shared" si="63"/>
        <v>0</v>
      </c>
      <c r="BB54" s="1">
        <f t="shared" si="21"/>
        <v>594.45478611472299</v>
      </c>
      <c r="BC54">
        <f t="shared" si="64"/>
        <v>0</v>
      </c>
      <c r="BD54" s="1">
        <f t="shared" si="23"/>
        <v>700.28396083702376</v>
      </c>
      <c r="BE54">
        <f t="shared" si="65"/>
        <v>0</v>
      </c>
    </row>
    <row r="55" spans="1:57" x14ac:dyDescent="0.3">
      <c r="A55">
        <v>1</v>
      </c>
      <c r="B55">
        <v>43</v>
      </c>
      <c r="C55" s="30">
        <v>43647</v>
      </c>
      <c r="D55" s="10">
        <f>Decomposition!I53</f>
        <v>285074.77091910731</v>
      </c>
      <c r="E55" s="10"/>
      <c r="F55" s="9">
        <f t="shared" si="66"/>
        <v>241973.30629169574</v>
      </c>
      <c r="G55" s="10">
        <f t="shared" si="47"/>
        <v>198991.8370208253</v>
      </c>
      <c r="H55" s="9">
        <f t="shared" si="67"/>
        <v>273166.56435019331</v>
      </c>
      <c r="I55" s="10">
        <f t="shared" si="48"/>
        <v>8139.8562681577459</v>
      </c>
      <c r="J55" s="9">
        <f t="shared" si="68"/>
        <v>288815.13858268526</v>
      </c>
      <c r="K55" s="10">
        <f t="shared" si="49"/>
        <v>25937.770319465344</v>
      </c>
      <c r="L55" s="9">
        <f t="shared" si="69"/>
        <v>293235.88503342948</v>
      </c>
      <c r="M55" s="10">
        <f t="shared" si="50"/>
        <v>46007.09100270152</v>
      </c>
      <c r="O55">
        <f>Decomposition!H53</f>
        <v>0.85601050985057181</v>
      </c>
      <c r="Q55" s="118">
        <f>Decomposition!C53</f>
        <v>244027</v>
      </c>
      <c r="R55" s="31">
        <f t="shared" si="51"/>
        <v>244027</v>
      </c>
      <c r="S55" s="119">
        <f t="shared" si="52"/>
        <v>207131.69328898305</v>
      </c>
      <c r="T55" s="36">
        <f t="shared" si="53"/>
        <v>233833.450023538</v>
      </c>
      <c r="U55" s="36">
        <f t="shared" si="54"/>
        <v>247228.79403072796</v>
      </c>
      <c r="V55" s="93">
        <f t="shared" si="55"/>
        <v>251012.99945394963</v>
      </c>
      <c r="W55" s="10"/>
      <c r="X55" s="10">
        <f t="shared" si="29"/>
        <v>36895.30671101695</v>
      </c>
      <c r="Y55" s="10">
        <f t="shared" si="30"/>
        <v>10193.549976462004</v>
      </c>
      <c r="Z55" s="10">
        <f t="shared" si="31"/>
        <v>3201.7940307279641</v>
      </c>
      <c r="AA55" s="10">
        <f t="shared" si="32"/>
        <v>6985.9994539496256</v>
      </c>
      <c r="AB55" s="10">
        <f t="shared" si="33"/>
        <v>0</v>
      </c>
      <c r="AC55" s="39">
        <f t="shared" si="34"/>
        <v>0.14678984754638183</v>
      </c>
      <c r="AD55" s="39">
        <f t="shared" si="35"/>
        <v>4.0555555174568672E-2</v>
      </c>
      <c r="AE55" s="39">
        <f t="shared" si="36"/>
        <v>1.2738499813179054E-2</v>
      </c>
      <c r="AF55" s="39">
        <f t="shared" si="37"/>
        <v>2.7794152867095304E-2</v>
      </c>
      <c r="AG55" s="47">
        <f t="shared" si="56"/>
        <v>0</v>
      </c>
      <c r="AH55" s="47">
        <f t="shared" si="57"/>
        <v>0</v>
      </c>
      <c r="AI55" s="47">
        <f t="shared" si="58"/>
        <v>0</v>
      </c>
      <c r="AJ55" s="47">
        <f t="shared" si="58"/>
        <v>0</v>
      </c>
      <c r="AK55" s="48">
        <f t="shared" si="38"/>
        <v>0.14678984754638183</v>
      </c>
      <c r="AL55" s="48">
        <f t="shared" si="39"/>
        <v>4.0555555174568672E-2</v>
      </c>
      <c r="AM55" s="48">
        <f t="shared" si="40"/>
        <v>1.2738499813179054E-2</v>
      </c>
      <c r="AN55" s="48">
        <f t="shared" si="41"/>
        <v>2.7794152867095304E-2</v>
      </c>
      <c r="AO55" s="48"/>
      <c r="AP55" s="1">
        <f t="shared" si="59"/>
        <v>41047.770919107308</v>
      </c>
      <c r="AQ55">
        <f t="shared" si="60"/>
        <v>1.4017496328653286E-2</v>
      </c>
      <c r="AR55" s="1">
        <f t="shared" si="44"/>
        <v>13216152.012621477</v>
      </c>
      <c r="AS55" s="1">
        <f t="shared" si="42"/>
        <v>3635.4025929216527</v>
      </c>
      <c r="AT55" s="1">
        <f t="shared" si="61"/>
        <v>1361263657.3000124</v>
      </c>
      <c r="AU55" s="2">
        <f t="shared" si="45"/>
        <v>5475952582.6269226</v>
      </c>
      <c r="AV55">
        <f t="shared" si="43"/>
        <v>0.75141062002275638</v>
      </c>
      <c r="AW55">
        <f t="shared" si="17"/>
        <v>9909.6985918444479</v>
      </c>
      <c r="AX55">
        <f t="shared" si="62"/>
        <v>0.16820995594383945</v>
      </c>
      <c r="AZ55" s="1">
        <f t="shared" si="19"/>
        <v>1931.9595827264593</v>
      </c>
      <c r="BA55">
        <f t="shared" si="63"/>
        <v>0</v>
      </c>
      <c r="BB55" s="1">
        <f t="shared" si="21"/>
        <v>79.027730758813064</v>
      </c>
      <c r="BC55">
        <f t="shared" si="64"/>
        <v>0</v>
      </c>
      <c r="BD55" s="1">
        <f t="shared" si="23"/>
        <v>251.82301281034316</v>
      </c>
      <c r="BE55">
        <f t="shared" si="65"/>
        <v>0</v>
      </c>
    </row>
    <row r="56" spans="1:57" x14ac:dyDescent="0.3">
      <c r="A56">
        <v>1</v>
      </c>
      <c r="B56">
        <v>44</v>
      </c>
      <c r="C56" s="30">
        <v>43678</v>
      </c>
      <c r="D56" s="10">
        <f>Decomposition!I54</f>
        <v>286470.72305539506</v>
      </c>
      <c r="E56" s="10"/>
      <c r="F56" s="9">
        <f t="shared" si="66"/>
        <v>246283.4527544369</v>
      </c>
      <c r="G56" s="10">
        <f t="shared" si="47"/>
        <v>150162.94833807304</v>
      </c>
      <c r="H56" s="9">
        <f t="shared" si="67"/>
        <v>277929.84697775892</v>
      </c>
      <c r="I56" s="10">
        <f t="shared" si="48"/>
        <v>36093.654733642266</v>
      </c>
      <c r="J56" s="9">
        <f t="shared" si="68"/>
        <v>286196.8812181807</v>
      </c>
      <c r="K56" s="10">
        <f t="shared" si="49"/>
        <v>61487.945139685879</v>
      </c>
      <c r="L56" s="9">
        <f t="shared" si="69"/>
        <v>285074.77091910731</v>
      </c>
      <c r="M56" s="10">
        <f t="shared" si="50"/>
        <v>68632.869081034267</v>
      </c>
      <c r="O56">
        <f>Decomposition!H54</f>
        <v>0.756269253937361</v>
      </c>
      <c r="Q56" s="118">
        <f>Decomposition!C54</f>
        <v>216649</v>
      </c>
      <c r="R56" s="31">
        <f t="shared" si="51"/>
        <v>216649</v>
      </c>
      <c r="S56" s="119">
        <f t="shared" si="52"/>
        <v>186256.6030717153</v>
      </c>
      <c r="T56" s="36">
        <f t="shared" si="53"/>
        <v>210189.79802079464</v>
      </c>
      <c r="U56" s="36">
        <f t="shared" si="54"/>
        <v>216441.90183807304</v>
      </c>
      <c r="V56" s="93">
        <f t="shared" si="55"/>
        <v>215593.28431935736</v>
      </c>
      <c r="W56" s="10"/>
      <c r="X56" s="10">
        <f t="shared" si="29"/>
        <v>30392.396928284696</v>
      </c>
      <c r="Y56" s="10">
        <f t="shared" si="30"/>
        <v>6459.2019792053616</v>
      </c>
      <c r="Z56" s="10">
        <f t="shared" si="31"/>
        <v>207.09816192695871</v>
      </c>
      <c r="AA56" s="10">
        <f t="shared" si="32"/>
        <v>1055.7156806426356</v>
      </c>
      <c r="AB56" s="10">
        <f t="shared" si="33"/>
        <v>0</v>
      </c>
      <c r="AC56" s="39">
        <f t="shared" si="34"/>
        <v>0.13619809684684236</v>
      </c>
      <c r="AD56" s="39">
        <f t="shared" si="35"/>
        <v>2.8945759651434588E-2</v>
      </c>
      <c r="AE56" s="39">
        <f t="shared" si="36"/>
        <v>9.2807341196181499E-4</v>
      </c>
      <c r="AF56" s="39">
        <f t="shared" si="37"/>
        <v>4.7310012058009426E-3</v>
      </c>
      <c r="AG56" s="47">
        <f t="shared" si="56"/>
        <v>0</v>
      </c>
      <c r="AH56" s="47">
        <f t="shared" si="57"/>
        <v>0</v>
      </c>
      <c r="AI56" s="47">
        <f t="shared" si="58"/>
        <v>0</v>
      </c>
      <c r="AJ56" s="47">
        <f t="shared" si="58"/>
        <v>0</v>
      </c>
      <c r="AK56" s="48">
        <f t="shared" si="38"/>
        <v>0.13619809684684236</v>
      </c>
      <c r="AL56" s="48">
        <f t="shared" si="39"/>
        <v>2.8945759651434588E-2</v>
      </c>
      <c r="AM56" s="48">
        <f t="shared" si="40"/>
        <v>9.2807341196181499E-4</v>
      </c>
      <c r="AN56" s="48">
        <f t="shared" si="41"/>
        <v>4.7310012058009426E-3</v>
      </c>
      <c r="AO56" s="48"/>
      <c r="AP56" s="1">
        <f t="shared" si="59"/>
        <v>69821.723055395065</v>
      </c>
      <c r="AQ56">
        <f t="shared" si="60"/>
        <v>2.685669872135538E-2</v>
      </c>
      <c r="AR56" s="1">
        <f t="shared" si="44"/>
        <v>8967939.7188971732</v>
      </c>
      <c r="AS56" s="1">
        <f t="shared" si="42"/>
        <v>2994.6518527029439</v>
      </c>
      <c r="AT56" s="1">
        <f t="shared" si="61"/>
        <v>923697791.04640901</v>
      </c>
      <c r="AU56" s="2">
        <f t="shared" si="45"/>
        <v>2173581009.811388</v>
      </c>
      <c r="AV56">
        <f t="shared" si="43"/>
        <v>0.57503410874639416</v>
      </c>
      <c r="AW56">
        <f t="shared" si="17"/>
        <v>28672.292189804652</v>
      </c>
      <c r="AX56">
        <f t="shared" si="62"/>
        <v>0.32228038465626457</v>
      </c>
      <c r="AZ56" s="1">
        <f t="shared" si="19"/>
        <v>1457.8927023113888</v>
      </c>
      <c r="BA56">
        <f t="shared" si="63"/>
        <v>0</v>
      </c>
      <c r="BB56" s="1">
        <f t="shared" si="21"/>
        <v>350.42383236545891</v>
      </c>
      <c r="BC56">
        <f t="shared" si="64"/>
        <v>0</v>
      </c>
      <c r="BD56" s="1">
        <f t="shared" si="23"/>
        <v>596.97034116199882</v>
      </c>
      <c r="BE56">
        <f t="shared" si="65"/>
        <v>0</v>
      </c>
    </row>
    <row r="57" spans="1:57" x14ac:dyDescent="0.3">
      <c r="A57">
        <v>1</v>
      </c>
      <c r="B57">
        <v>45</v>
      </c>
      <c r="C57" s="30">
        <v>43709</v>
      </c>
      <c r="D57" s="10">
        <f>Decomposition!I55</f>
        <v>275889.20651103667</v>
      </c>
      <c r="E57" s="10"/>
      <c r="F57" s="9">
        <f t="shared" si="66"/>
        <v>250302.17978453272</v>
      </c>
      <c r="G57" s="10">
        <f t="shared" si="47"/>
        <v>184604.74832986886</v>
      </c>
      <c r="H57" s="9">
        <f t="shared" si="67"/>
        <v>281346.1974088134</v>
      </c>
      <c r="I57" s="10">
        <f t="shared" si="48"/>
        <v>20151.170770474855</v>
      </c>
      <c r="J57" s="9">
        <f t="shared" si="68"/>
        <v>286388.5705042308</v>
      </c>
      <c r="K57" s="10">
        <f t="shared" si="49"/>
        <v>47070.35121400145</v>
      </c>
      <c r="L57" s="9">
        <f t="shared" si="69"/>
        <v>286470.72305539506</v>
      </c>
      <c r="M57" s="10">
        <f t="shared" si="50"/>
        <v>52194.876860583114</v>
      </c>
      <c r="O57">
        <f>Decomposition!H55</f>
        <v>0.81803490195971706</v>
      </c>
      <c r="Q57" s="118">
        <f>Decomposition!C55</f>
        <v>225687</v>
      </c>
      <c r="R57" s="31">
        <f t="shared" si="51"/>
        <v>225687.00000000003</v>
      </c>
      <c r="S57" s="119">
        <f t="shared" si="52"/>
        <v>204755.91910034372</v>
      </c>
      <c r="T57" s="36">
        <f t="shared" si="53"/>
        <v>230151.00901405787</v>
      </c>
      <c r="U57" s="36">
        <f t="shared" si="54"/>
        <v>234275.84619481195</v>
      </c>
      <c r="V57" s="93">
        <f t="shared" si="55"/>
        <v>234343.04984894936</v>
      </c>
      <c r="W57" s="10"/>
      <c r="X57" s="10">
        <f t="shared" si="29"/>
        <v>20931.080899656285</v>
      </c>
      <c r="Y57" s="10">
        <f t="shared" si="30"/>
        <v>4464.0090140578686</v>
      </c>
      <c r="Z57" s="10">
        <f t="shared" si="31"/>
        <v>8588.8461948119511</v>
      </c>
      <c r="AA57" s="10">
        <f t="shared" si="32"/>
        <v>8656.0498489493621</v>
      </c>
      <c r="AB57" s="10">
        <f t="shared" si="33"/>
        <v>0</v>
      </c>
      <c r="AC57" s="39">
        <f t="shared" si="34"/>
        <v>9.0042571201073118E-2</v>
      </c>
      <c r="AD57" s="39">
        <f t="shared" si="35"/>
        <v>1.9203540009113357E-2</v>
      </c>
      <c r="AE57" s="39">
        <f t="shared" si="36"/>
        <v>3.6948010412788598E-2</v>
      </c>
      <c r="AF57" s="39">
        <f t="shared" si="37"/>
        <v>3.7237111097155995E-2</v>
      </c>
      <c r="AG57" s="47">
        <f t="shared" si="56"/>
        <v>0</v>
      </c>
      <c r="AH57" s="47">
        <f t="shared" si="57"/>
        <v>0</v>
      </c>
      <c r="AI57" s="47">
        <f t="shared" si="58"/>
        <v>0</v>
      </c>
      <c r="AJ57" s="47">
        <f t="shared" si="58"/>
        <v>0</v>
      </c>
      <c r="AK57" s="48">
        <f t="shared" si="38"/>
        <v>9.0042571201073118E-2</v>
      </c>
      <c r="AL57" s="48">
        <f t="shared" si="39"/>
        <v>1.9203540009113357E-2</v>
      </c>
      <c r="AM57" s="48">
        <f t="shared" si="40"/>
        <v>3.6948010412788598E-2</v>
      </c>
      <c r="AN57" s="48">
        <f t="shared" si="41"/>
        <v>3.7237111097155995E-2</v>
      </c>
      <c r="AO57" s="48"/>
      <c r="AP57" s="1">
        <f t="shared" si="59"/>
        <v>50202.206511036668</v>
      </c>
      <c r="AQ57">
        <f t="shared" si="60"/>
        <v>1.8536810756725267E-2</v>
      </c>
      <c r="AR57" s="1">
        <f t="shared" si="44"/>
        <v>4253496.5789121948</v>
      </c>
      <c r="AS57" s="1">
        <f t="shared" si="42"/>
        <v>2062.400683405675</v>
      </c>
      <c r="AT57" s="1">
        <f t="shared" si="61"/>
        <v>438110147.62795615</v>
      </c>
      <c r="AU57" s="2">
        <f t="shared" si="45"/>
        <v>3097999934.4715824</v>
      </c>
      <c r="AV57">
        <f t="shared" si="43"/>
        <v>0.85858290610239041</v>
      </c>
      <c r="AW57">
        <f t="shared" si="17"/>
        <v>14822.685747328074</v>
      </c>
      <c r="AX57">
        <f t="shared" si="62"/>
        <v>0.22244172908070323</v>
      </c>
      <c r="AZ57" s="1">
        <f t="shared" si="19"/>
        <v>1792.2791099987269</v>
      </c>
      <c r="BA57">
        <f t="shared" si="63"/>
        <v>0</v>
      </c>
      <c r="BB57" s="1">
        <f t="shared" si="21"/>
        <v>195.64243466480443</v>
      </c>
      <c r="BC57">
        <f t="shared" si="64"/>
        <v>0</v>
      </c>
      <c r="BD57" s="1">
        <f t="shared" si="23"/>
        <v>456.99370110681019</v>
      </c>
      <c r="BE57">
        <f t="shared" si="65"/>
        <v>0</v>
      </c>
    </row>
    <row r="58" spans="1:57" x14ac:dyDescent="0.3">
      <c r="A58">
        <v>1</v>
      </c>
      <c r="B58">
        <v>46</v>
      </c>
      <c r="C58" s="30">
        <v>43739</v>
      </c>
      <c r="D58" s="10">
        <f>Decomposition!I56</f>
        <v>246297.68554399165</v>
      </c>
      <c r="E58" s="10"/>
      <c r="F58" s="9">
        <f t="shared" si="66"/>
        <v>252860.88245718312</v>
      </c>
      <c r="G58" s="10">
        <f t="shared" si="47"/>
        <v>228762.82883607064</v>
      </c>
      <c r="H58" s="9">
        <f t="shared" si="67"/>
        <v>279163.40104970272</v>
      </c>
      <c r="I58" s="10">
        <f t="shared" si="48"/>
        <v>2905.2938458381686</v>
      </c>
      <c r="J58" s="9">
        <f t="shared" si="68"/>
        <v>279039.01570899494</v>
      </c>
      <c r="K58" s="10">
        <f t="shared" si="49"/>
        <v>23511.185111332947</v>
      </c>
      <c r="L58" s="9">
        <f t="shared" si="69"/>
        <v>275889.20651103667</v>
      </c>
      <c r="M58" s="10">
        <f t="shared" si="50"/>
        <v>20236.990572666895</v>
      </c>
      <c r="O58">
        <f>Decomposition!H56</f>
        <v>0.91618806527394414</v>
      </c>
      <c r="Q58" s="118">
        <f>Decomposition!C56</f>
        <v>225655</v>
      </c>
      <c r="R58" s="31">
        <f t="shared" si="51"/>
        <v>225655</v>
      </c>
      <c r="S58" s="119">
        <f t="shared" si="52"/>
        <v>231668.1226819088</v>
      </c>
      <c r="T58" s="36">
        <f t="shared" si="53"/>
        <v>255766.17630302129</v>
      </c>
      <c r="U58" s="36">
        <f t="shared" si="54"/>
        <v>255652.21593836977</v>
      </c>
      <c r="V58" s="93">
        <f t="shared" si="55"/>
        <v>252766.39834331031</v>
      </c>
      <c r="W58" s="10"/>
      <c r="X58" s="10">
        <f t="shared" si="29"/>
        <v>6013.1226819088042</v>
      </c>
      <c r="Y58" s="10">
        <f t="shared" si="30"/>
        <v>30111.17630302129</v>
      </c>
      <c r="Z58" s="10">
        <f t="shared" si="31"/>
        <v>29997.215938369773</v>
      </c>
      <c r="AA58" s="10">
        <f t="shared" si="32"/>
        <v>27111.398343310313</v>
      </c>
      <c r="AB58" s="10">
        <f t="shared" si="33"/>
        <v>0</v>
      </c>
      <c r="AC58" s="39">
        <f t="shared" si="34"/>
        <v>2.5871277775007098E-2</v>
      </c>
      <c r="AD58" s="39">
        <f t="shared" si="35"/>
        <v>0.12955242184089033</v>
      </c>
      <c r="AE58" s="39">
        <f t="shared" si="36"/>
        <v>0.1290621108319181</v>
      </c>
      <c r="AF58" s="39">
        <f t="shared" si="37"/>
        <v>0.11664596824523696</v>
      </c>
      <c r="AG58" s="47">
        <f t="shared" si="56"/>
        <v>0</v>
      </c>
      <c r="AH58" s="47">
        <f t="shared" si="57"/>
        <v>0</v>
      </c>
      <c r="AI58" s="47">
        <f t="shared" si="58"/>
        <v>0</v>
      </c>
      <c r="AJ58" s="47">
        <f t="shared" si="58"/>
        <v>0</v>
      </c>
      <c r="AK58" s="48">
        <f t="shared" si="38"/>
        <v>2.5871277775007098E-2</v>
      </c>
      <c r="AL58" s="48">
        <f t="shared" si="39"/>
        <v>0.12955242184089033</v>
      </c>
      <c r="AM58" s="48">
        <f t="shared" si="40"/>
        <v>0.1290621108319181</v>
      </c>
      <c r="AN58" s="48">
        <f t="shared" si="41"/>
        <v>0.11664596824523696</v>
      </c>
      <c r="AO58" s="48"/>
      <c r="AP58" s="1">
        <f t="shared" si="59"/>
        <v>20642.685543991654</v>
      </c>
      <c r="AQ58">
        <f t="shared" si="60"/>
        <v>7.6232469714060747E-3</v>
      </c>
      <c r="AR58" s="1">
        <f t="shared" si="44"/>
        <v>351045.09114258381</v>
      </c>
      <c r="AS58" s="1">
        <f t="shared" si="42"/>
        <v>592.49058316785408</v>
      </c>
      <c r="AT58" s="1">
        <f t="shared" si="61"/>
        <v>36157644.387686133</v>
      </c>
      <c r="AU58" s="2">
        <f t="shared" si="45"/>
        <v>3094438738.9764366</v>
      </c>
      <c r="AV58">
        <f t="shared" si="43"/>
        <v>0.98831528188544904</v>
      </c>
      <c r="AW58">
        <f t="shared" si="17"/>
        <v>2506.188214310765</v>
      </c>
      <c r="AX58">
        <f t="shared" si="62"/>
        <v>9.14789636568729E-2</v>
      </c>
      <c r="AZ58" s="1">
        <f t="shared" si="19"/>
        <v>2220.9983382142782</v>
      </c>
      <c r="BA58">
        <f t="shared" si="63"/>
        <v>0</v>
      </c>
      <c r="BB58" s="1">
        <f t="shared" si="21"/>
        <v>28.206736367360861</v>
      </c>
      <c r="BC58">
        <f t="shared" si="64"/>
        <v>0</v>
      </c>
      <c r="BD58" s="1">
        <f t="shared" si="23"/>
        <v>228.26393311973735</v>
      </c>
      <c r="BE58">
        <f t="shared" si="65"/>
        <v>0</v>
      </c>
    </row>
    <row r="59" spans="1:57" x14ac:dyDescent="0.3">
      <c r="A59">
        <v>1</v>
      </c>
      <c r="B59">
        <v>47</v>
      </c>
      <c r="C59" s="30">
        <v>43770</v>
      </c>
      <c r="D59" s="10">
        <f>Decomposition!I57</f>
        <v>211239.26593227492</v>
      </c>
      <c r="E59" s="10"/>
      <c r="F59" s="9">
        <f t="shared" si="66"/>
        <v>252204.56276586399</v>
      </c>
      <c r="G59" s="10">
        <f t="shared" si="47"/>
        <v>236032.36466128545</v>
      </c>
      <c r="H59" s="9">
        <f t="shared" si="67"/>
        <v>266017.11484741827</v>
      </c>
      <c r="I59" s="10">
        <f t="shared" si="48"/>
        <v>59257.175450203969</v>
      </c>
      <c r="J59" s="9">
        <f t="shared" si="68"/>
        <v>256120.08459349265</v>
      </c>
      <c r="K59" s="10">
        <f t="shared" si="49"/>
        <v>33856.849221738987</v>
      </c>
      <c r="L59" s="9">
        <f t="shared" si="69"/>
        <v>246297.68554399165</v>
      </c>
      <c r="M59" s="10">
        <f t="shared" si="50"/>
        <v>53576.278525165602</v>
      </c>
      <c r="O59">
        <f>Decomposition!H57</f>
        <v>1.1708334570680377</v>
      </c>
      <c r="Q59" s="118">
        <f>Decomposition!C57</f>
        <v>247326</v>
      </c>
      <c r="R59" s="31">
        <f t="shared" si="51"/>
        <v>247326</v>
      </c>
      <c r="S59" s="119">
        <f t="shared" si="52"/>
        <v>295289.54011148942</v>
      </c>
      <c r="T59" s="36">
        <f t="shared" si="53"/>
        <v>311461.73821606796</v>
      </c>
      <c r="U59" s="36">
        <f t="shared" si="54"/>
        <v>299873.96406915726</v>
      </c>
      <c r="V59" s="93">
        <f t="shared" si="55"/>
        <v>288373.57063332817</v>
      </c>
      <c r="W59" s="10"/>
      <c r="X59" s="10">
        <f t="shared" si="29"/>
        <v>47963.540111489419</v>
      </c>
      <c r="Y59" s="10">
        <f t="shared" si="30"/>
        <v>64135.738216067955</v>
      </c>
      <c r="Z59" s="10">
        <f t="shared" si="31"/>
        <v>52547.964069157257</v>
      </c>
      <c r="AA59" s="10">
        <f t="shared" si="32"/>
        <v>41047.570633328171</v>
      </c>
      <c r="AB59" s="10">
        <f t="shared" si="33"/>
        <v>0</v>
      </c>
      <c r="AC59" s="39">
        <f t="shared" si="34"/>
        <v>0.18828001826561921</v>
      </c>
      <c r="AD59" s="39">
        <f t="shared" si="35"/>
        <v>0.25176369247831293</v>
      </c>
      <c r="AE59" s="39">
        <f t="shared" si="36"/>
        <v>0.20627609246032361</v>
      </c>
      <c r="AF59" s="39">
        <f t="shared" si="37"/>
        <v>0.16113150385976235</v>
      </c>
      <c r="AG59" s="47">
        <f t="shared" si="56"/>
        <v>0</v>
      </c>
      <c r="AH59" s="47">
        <f t="shared" si="57"/>
        <v>0</v>
      </c>
      <c r="AI59" s="47">
        <f t="shared" si="58"/>
        <v>0</v>
      </c>
      <c r="AJ59" s="47">
        <f t="shared" si="58"/>
        <v>0</v>
      </c>
      <c r="AK59" s="48">
        <f t="shared" si="38"/>
        <v>0.18828001826561921</v>
      </c>
      <c r="AL59" s="48">
        <f t="shared" si="39"/>
        <v>0.25176369247831293</v>
      </c>
      <c r="AM59" s="48">
        <f t="shared" si="40"/>
        <v>0.20627609246032361</v>
      </c>
      <c r="AN59" s="48">
        <f t="shared" si="41"/>
        <v>0.16113150385976235</v>
      </c>
      <c r="AO59" s="48"/>
      <c r="AP59" s="1">
        <f t="shared" si="59"/>
        <v>-36086.734067725076</v>
      </c>
      <c r="AQ59">
        <f t="shared" si="60"/>
        <v>-1.2158963630904513E-2</v>
      </c>
      <c r="AR59" s="1">
        <f t="shared" si="44"/>
        <v>22334962.912878197</v>
      </c>
      <c r="AS59" s="1">
        <f t="shared" si="42"/>
        <v>4725.9880356257991</v>
      </c>
      <c r="AT59" s="1">
        <f t="shared" si="61"/>
        <v>2300501180.0264544</v>
      </c>
      <c r="AU59" s="2">
        <f t="shared" si="45"/>
        <v>5975085869.7045927</v>
      </c>
      <c r="AV59">
        <f t="shared" si="43"/>
        <v>0.61498441525490732</v>
      </c>
      <c r="AW59">
        <f t="shared" si="17"/>
        <v>7659.0772159457129</v>
      </c>
      <c r="AX59">
        <f t="shared" si="62"/>
        <v>0.14590756357085416</v>
      </c>
      <c r="AZ59" s="1">
        <f t="shared" si="19"/>
        <v>2291.5763559348102</v>
      </c>
      <c r="BA59">
        <f t="shared" si="63"/>
        <v>0</v>
      </c>
      <c r="BB59" s="1">
        <f t="shared" si="21"/>
        <v>575.31238301168901</v>
      </c>
      <c r="BC59">
        <f t="shared" si="64"/>
        <v>0</v>
      </c>
      <c r="BD59" s="1">
        <f t="shared" si="23"/>
        <v>328.7072739974659</v>
      </c>
      <c r="BE59">
        <f t="shared" si="65"/>
        <v>0</v>
      </c>
    </row>
    <row r="60" spans="1:57" x14ac:dyDescent="0.3">
      <c r="A60">
        <v>1</v>
      </c>
      <c r="B60">
        <v>48</v>
      </c>
      <c r="C60" s="30">
        <v>43800</v>
      </c>
      <c r="D60" s="10">
        <f>Decomposition!I58</f>
        <v>220124.55486717151</v>
      </c>
      <c r="E60" s="10"/>
      <c r="F60" s="9">
        <f t="shared" si="66"/>
        <v>248108.03308250508</v>
      </c>
      <c r="G60" s="10">
        <f t="shared" si="47"/>
        <v>253678.32701890866</v>
      </c>
      <c r="H60" s="9">
        <f t="shared" si="67"/>
        <v>244105.97528136094</v>
      </c>
      <c r="I60" s="10">
        <f t="shared" si="48"/>
        <v>91652.685406097124</v>
      </c>
      <c r="J60" s="9">
        <f t="shared" si="68"/>
        <v>224703.51153064024</v>
      </c>
      <c r="K60" s="10">
        <f t="shared" si="49"/>
        <v>68649.279630220524</v>
      </c>
      <c r="L60" s="9">
        <f t="shared" si="69"/>
        <v>211239.26593227492</v>
      </c>
      <c r="M60" s="10">
        <f t="shared" si="50"/>
        <v>101515.98897930654</v>
      </c>
      <c r="O60">
        <f>Decomposition!H58</f>
        <v>1.3918574426414096</v>
      </c>
      <c r="Q60" s="118">
        <f>Decomposition!C58</f>
        <v>306382</v>
      </c>
      <c r="R60" s="31">
        <f t="shared" si="51"/>
        <v>306382</v>
      </c>
      <c r="S60" s="119">
        <f t="shared" si="52"/>
        <v>345331.01242500579</v>
      </c>
      <c r="T60" s="36">
        <f t="shared" si="53"/>
        <v>339760.7184886022</v>
      </c>
      <c r="U60" s="36">
        <f t="shared" si="54"/>
        <v>312755.25491158146</v>
      </c>
      <c r="V60" s="93">
        <f t="shared" si="55"/>
        <v>294014.94446594483</v>
      </c>
      <c r="W60" s="10"/>
      <c r="X60" s="10">
        <f t="shared" si="29"/>
        <v>38949.012425005785</v>
      </c>
      <c r="Y60" s="10">
        <f t="shared" si="30"/>
        <v>33378.718488602201</v>
      </c>
      <c r="Z60" s="10">
        <f t="shared" si="31"/>
        <v>6373.2549115814618</v>
      </c>
      <c r="AA60" s="10">
        <f t="shared" si="32"/>
        <v>12367.055534055165</v>
      </c>
      <c r="AB60" s="10">
        <f t="shared" si="33"/>
        <v>0</v>
      </c>
      <c r="AC60" s="39">
        <f t="shared" si="34"/>
        <v>0.1234229660029262</v>
      </c>
      <c r="AD60" s="39">
        <f t="shared" si="35"/>
        <v>0.10577162759061615</v>
      </c>
      <c r="AE60" s="39">
        <f t="shared" si="36"/>
        <v>2.019578868128347E-2</v>
      </c>
      <c r="AF60" s="39">
        <f t="shared" si="37"/>
        <v>3.918914960103162E-2</v>
      </c>
      <c r="AG60" s="47">
        <f t="shared" si="56"/>
        <v>0</v>
      </c>
      <c r="AH60" s="47">
        <f t="shared" si="57"/>
        <v>0</v>
      </c>
      <c r="AI60" s="47">
        <f t="shared" si="58"/>
        <v>0</v>
      </c>
      <c r="AJ60" s="47">
        <f t="shared" si="58"/>
        <v>0</v>
      </c>
      <c r="AK60" s="48">
        <f t="shared" si="38"/>
        <v>0.1234229660029262</v>
      </c>
      <c r="AL60" s="48">
        <f t="shared" si="39"/>
        <v>0.10577162759061615</v>
      </c>
      <c r="AM60" s="48">
        <f t="shared" si="40"/>
        <v>2.019578868128347E-2</v>
      </c>
      <c r="AN60" s="48">
        <f t="shared" si="41"/>
        <v>3.918914960103162E-2</v>
      </c>
      <c r="AO60" s="48"/>
      <c r="AP60" s="1">
        <f t="shared" si="59"/>
        <v>-86257.445132828492</v>
      </c>
      <c r="AQ60">
        <f t="shared" si="60"/>
        <v>-2.3461301341905553E-2</v>
      </c>
      <c r="AR60" s="1">
        <f t="shared" si="44"/>
        <v>14728403.581390824</v>
      </c>
      <c r="AS60" s="1">
        <f t="shared" si="42"/>
        <v>3837.7602297943035</v>
      </c>
      <c r="AT60" s="1">
        <f t="shared" si="61"/>
        <v>1517025568.883255</v>
      </c>
      <c r="AU60" s="2">
        <f t="shared" si="45"/>
        <v>18592598651.995857</v>
      </c>
      <c r="AV60">
        <f t="shared" si="43"/>
        <v>0.91840701790653634</v>
      </c>
      <c r="AW60">
        <f t="shared" si="17"/>
        <v>43759.713579258052</v>
      </c>
      <c r="AX60">
        <f t="shared" si="62"/>
        <v>0.28153561610286665</v>
      </c>
      <c r="AZ60" s="1">
        <f t="shared" si="19"/>
        <v>2462.8963788243559</v>
      </c>
      <c r="BA60">
        <f t="shared" si="63"/>
        <v>0</v>
      </c>
      <c r="BB60" s="1">
        <f t="shared" si="21"/>
        <v>889.83189714657397</v>
      </c>
      <c r="BC60">
        <f t="shared" si="64"/>
        <v>0</v>
      </c>
      <c r="BD60" s="1">
        <f t="shared" si="23"/>
        <v>666.4978604875779</v>
      </c>
      <c r="BE60">
        <f t="shared" si="65"/>
        <v>0</v>
      </c>
    </row>
    <row r="61" spans="1:57" x14ac:dyDescent="0.3">
      <c r="A61">
        <v>1</v>
      </c>
      <c r="B61">
        <v>49</v>
      </c>
      <c r="C61" s="30">
        <v>43831</v>
      </c>
      <c r="D61" s="10">
        <f>Decomposition!I59</f>
        <v>202874.66995175893</v>
      </c>
      <c r="E61" s="10"/>
      <c r="F61" s="9">
        <f t="shared" si="66"/>
        <v>245309.68526097172</v>
      </c>
      <c r="G61" s="10">
        <f t="shared" si="47"/>
        <v>261725.42960474122</v>
      </c>
      <c r="H61" s="9">
        <f t="shared" si="67"/>
        <v>234513.40711568517</v>
      </c>
      <c r="I61" s="10">
        <f t="shared" si="48"/>
        <v>111268.02463048103</v>
      </c>
      <c r="J61" s="9">
        <f t="shared" si="68"/>
        <v>221498.24186621211</v>
      </c>
      <c r="K61" s="10">
        <f t="shared" si="49"/>
        <v>102274.73988639913</v>
      </c>
      <c r="L61" s="9">
        <f t="shared" si="69"/>
        <v>220124.55486717151</v>
      </c>
      <c r="M61" s="10">
        <f t="shared" si="50"/>
        <v>116663.59213491279</v>
      </c>
      <c r="O61">
        <f>Decomposition!H59</f>
        <v>1.5205003171334823</v>
      </c>
      <c r="Q61" s="118">
        <f>Decomposition!C59</f>
        <v>308471</v>
      </c>
      <c r="R61" s="31">
        <f t="shared" si="51"/>
        <v>308471</v>
      </c>
      <c r="S61" s="119">
        <f t="shared" si="52"/>
        <v>372993.45423522225</v>
      </c>
      <c r="T61" s="36">
        <f t="shared" si="53"/>
        <v>356577.70989145275</v>
      </c>
      <c r="U61" s="36">
        <f t="shared" si="54"/>
        <v>336788.1470020843</v>
      </c>
      <c r="V61" s="93">
        <f t="shared" si="55"/>
        <v>334699.45548440091</v>
      </c>
      <c r="W61" s="10"/>
      <c r="X61" s="10">
        <f t="shared" si="29"/>
        <v>64522.454235222249</v>
      </c>
      <c r="Y61" s="10">
        <f t="shared" si="30"/>
        <v>48106.709891452745</v>
      </c>
      <c r="Z61" s="10">
        <f t="shared" si="31"/>
        <v>28317.147002084297</v>
      </c>
      <c r="AA61" s="10">
        <f t="shared" si="32"/>
        <v>26228.455484400911</v>
      </c>
      <c r="AB61" s="10">
        <f t="shared" si="33"/>
        <v>0</v>
      </c>
      <c r="AC61" s="39">
        <f t="shared" si="34"/>
        <v>0.20307633278872922</v>
      </c>
      <c r="AD61" s="39">
        <f t="shared" si="35"/>
        <v>0.15140983620481246</v>
      </c>
      <c r="AE61" s="39">
        <f t="shared" si="36"/>
        <v>8.9124668867345491E-2</v>
      </c>
      <c r="AF61" s="39">
        <f t="shared" si="37"/>
        <v>8.2550774263278809E-2</v>
      </c>
      <c r="AG61" s="47">
        <f t="shared" si="56"/>
        <v>0</v>
      </c>
      <c r="AH61" s="47">
        <f t="shared" si="57"/>
        <v>0</v>
      </c>
      <c r="AI61" s="47">
        <f t="shared" ref="AI61:AJ76" si="70">IF(AE61&gt;1,1,0)</f>
        <v>0</v>
      </c>
      <c r="AJ61" s="47">
        <f t="shared" si="70"/>
        <v>0</v>
      </c>
      <c r="AK61" s="48">
        <f t="shared" si="38"/>
        <v>0.20307633278872922</v>
      </c>
      <c r="AL61" s="48">
        <f t="shared" si="39"/>
        <v>0.15140983620481246</v>
      </c>
      <c r="AM61" s="48">
        <f t="shared" si="40"/>
        <v>8.9124668867345491E-2</v>
      </c>
      <c r="AN61" s="48">
        <f t="shared" si="41"/>
        <v>8.2550774263278809E-2</v>
      </c>
      <c r="AO61" s="48"/>
      <c r="AP61" s="1">
        <f t="shared" si="59"/>
        <v>-105596.33004824107</v>
      </c>
      <c r="AQ61">
        <f t="shared" si="60"/>
        <v>-2.8526811825704053E-2</v>
      </c>
      <c r="AR61" s="1">
        <f t="shared" si="44"/>
        <v>40418903.888702415</v>
      </c>
      <c r="AS61" s="1">
        <f t="shared" si="42"/>
        <v>6357.5863256980174</v>
      </c>
      <c r="AT61" s="1">
        <f t="shared" si="61"/>
        <v>4163147100.5363493</v>
      </c>
      <c r="AU61" s="2">
        <f t="shared" si="45"/>
        <v>19166652424.413334</v>
      </c>
      <c r="AV61">
        <f t="shared" si="43"/>
        <v>0.78279216378789329</v>
      </c>
      <c r="AW61">
        <f t="shared" si="17"/>
        <v>65581.136573749784</v>
      </c>
      <c r="AX61">
        <f t="shared" si="62"/>
        <v>0.34232174190844866</v>
      </c>
      <c r="AZ61" s="1">
        <f t="shared" si="19"/>
        <v>2541.0235883955456</v>
      </c>
      <c r="BA61">
        <f t="shared" si="63"/>
        <v>0</v>
      </c>
      <c r="BB61" s="1">
        <f t="shared" si="21"/>
        <v>1080.2720837910779</v>
      </c>
      <c r="BC61">
        <f t="shared" si="64"/>
        <v>0</v>
      </c>
      <c r="BD61" s="1">
        <f t="shared" si="23"/>
        <v>992.95863967377795</v>
      </c>
      <c r="BE61">
        <f t="shared" si="65"/>
        <v>0</v>
      </c>
    </row>
    <row r="62" spans="1:57" x14ac:dyDescent="0.3">
      <c r="A62">
        <v>1</v>
      </c>
      <c r="B62">
        <v>50</v>
      </c>
      <c r="C62" s="30">
        <v>43862</v>
      </c>
      <c r="D62" s="10">
        <f>Decomposition!I60</f>
        <v>224478.91969750417</v>
      </c>
      <c r="E62" s="10"/>
      <c r="F62" s="9">
        <f t="shared" si="66"/>
        <v>241066.18373005046</v>
      </c>
      <c r="G62" s="10">
        <f t="shared" si="47"/>
        <v>262886.5189104834</v>
      </c>
      <c r="H62" s="9">
        <f t="shared" si="67"/>
        <v>221857.91225011466</v>
      </c>
      <c r="I62" s="10">
        <f t="shared" si="48"/>
        <v>10961.387453817413</v>
      </c>
      <c r="J62" s="9">
        <f t="shared" si="68"/>
        <v>208461.74152609488</v>
      </c>
      <c r="K62" s="10">
        <f t="shared" si="49"/>
        <v>14951.791171016259</v>
      </c>
      <c r="L62" s="9">
        <f t="shared" si="69"/>
        <v>202874.66995175893</v>
      </c>
      <c r="M62" s="10">
        <f t="shared" si="50"/>
        <v>33935.033469371992</v>
      </c>
      <c r="O62">
        <f>Decomposition!H60</f>
        <v>1.1359864006100491</v>
      </c>
      <c r="Q62" s="118">
        <f>Decomposition!C60</f>
        <v>255005</v>
      </c>
      <c r="R62" s="31">
        <f t="shared" si="51"/>
        <v>255005</v>
      </c>
      <c r="S62" s="119">
        <f t="shared" si="52"/>
        <v>273847.90636430081</v>
      </c>
      <c r="T62" s="36">
        <f t="shared" si="53"/>
        <v>252027.57118386787</v>
      </c>
      <c r="U62" s="36">
        <f t="shared" si="54"/>
        <v>236809.70342113092</v>
      </c>
      <c r="V62" s="93">
        <f t="shared" si="55"/>
        <v>230462.86609345031</v>
      </c>
      <c r="W62" s="10"/>
      <c r="X62" s="10">
        <f t="shared" si="29"/>
        <v>18842.906364300812</v>
      </c>
      <c r="Y62" s="10">
        <f t="shared" si="30"/>
        <v>2977.428816132131</v>
      </c>
      <c r="Z62" s="10">
        <f t="shared" si="31"/>
        <v>18195.296578869078</v>
      </c>
      <c r="AA62" s="10">
        <f t="shared" si="32"/>
        <v>24542.133906549687</v>
      </c>
      <c r="AB62" s="10">
        <f t="shared" si="33"/>
        <v>0</v>
      </c>
      <c r="AC62" s="39">
        <f t="shared" si="34"/>
        <v>7.1740098620951515E-2</v>
      </c>
      <c r="AD62" s="39">
        <f t="shared" si="35"/>
        <v>1.133588591783611E-2</v>
      </c>
      <c r="AE62" s="39">
        <f t="shared" si="36"/>
        <v>6.9274471027387347E-2</v>
      </c>
      <c r="AF62" s="39">
        <f t="shared" si="37"/>
        <v>9.3438616781546788E-2</v>
      </c>
      <c r="AG62" s="47">
        <f t="shared" si="56"/>
        <v>0</v>
      </c>
      <c r="AH62" s="47">
        <f t="shared" si="57"/>
        <v>0</v>
      </c>
      <c r="AI62" s="47">
        <f t="shared" si="70"/>
        <v>0</v>
      </c>
      <c r="AJ62" s="47">
        <f t="shared" si="70"/>
        <v>0</v>
      </c>
      <c r="AK62" s="48">
        <f t="shared" si="38"/>
        <v>7.1740098620951515E-2</v>
      </c>
      <c r="AL62" s="48">
        <f t="shared" si="39"/>
        <v>1.133588591783611E-2</v>
      </c>
      <c r="AM62" s="48">
        <f t="shared" si="40"/>
        <v>6.9274471027387347E-2</v>
      </c>
      <c r="AN62" s="48">
        <f t="shared" si="41"/>
        <v>9.3438616781546788E-2</v>
      </c>
      <c r="AO62" s="48"/>
      <c r="AP62" s="1">
        <f t="shared" si="59"/>
        <v>-30526.08030249583</v>
      </c>
      <c r="AQ62">
        <f t="shared" si="60"/>
        <v>-9.9756476351757235E-3</v>
      </c>
      <c r="AR62" s="1">
        <f t="shared" si="44"/>
        <v>3447137.0898427959</v>
      </c>
      <c r="AS62" s="1">
        <f t="shared" si="42"/>
        <v>1856.6467326453883</v>
      </c>
      <c r="AT62" s="1">
        <f t="shared" si="61"/>
        <v>355055120.25380802</v>
      </c>
      <c r="AU62" s="2">
        <f t="shared" si="45"/>
        <v>7221206032.1803207</v>
      </c>
      <c r="AV62">
        <f t="shared" si="43"/>
        <v>0.95083160365850894</v>
      </c>
      <c r="AW62">
        <f t="shared" si="17"/>
        <v>5480.5402832089503</v>
      </c>
      <c r="AX62">
        <f t="shared" si="62"/>
        <v>0.1197077716221087</v>
      </c>
      <c r="AZ62" s="1">
        <f t="shared" si="19"/>
        <v>2552.2963001017806</v>
      </c>
      <c r="BA62">
        <f t="shared" si="63"/>
        <v>0</v>
      </c>
      <c r="BB62" s="1">
        <f t="shared" si="21"/>
        <v>106.42123741570305</v>
      </c>
      <c r="BC62">
        <f t="shared" si="64"/>
        <v>0</v>
      </c>
      <c r="BD62" s="1">
        <f t="shared" si="23"/>
        <v>145.16302107782775</v>
      </c>
      <c r="BE62">
        <f t="shared" si="65"/>
        <v>0</v>
      </c>
    </row>
    <row r="63" spans="1:57" x14ac:dyDescent="0.3">
      <c r="A63">
        <v>1</v>
      </c>
      <c r="B63">
        <v>51</v>
      </c>
      <c r="C63" s="30">
        <v>43891</v>
      </c>
      <c r="D63" s="10">
        <f>Decomposition!I61</f>
        <v>103849.6483521443</v>
      </c>
      <c r="E63" s="10"/>
      <c r="F63" s="9">
        <f t="shared" si="66"/>
        <v>239407.45732679585</v>
      </c>
      <c r="G63" s="10">
        <f t="shared" si="47"/>
        <v>258254.57428710267</v>
      </c>
      <c r="H63" s="9">
        <f t="shared" si="67"/>
        <v>222906.31522907046</v>
      </c>
      <c r="I63" s="10">
        <f t="shared" si="48"/>
        <v>15189.549924746098</v>
      </c>
      <c r="J63" s="9">
        <f t="shared" si="68"/>
        <v>219673.76624608139</v>
      </c>
      <c r="K63" s="10">
        <f t="shared" si="49"/>
        <v>27998.570083183789</v>
      </c>
      <c r="L63" s="9">
        <f t="shared" si="69"/>
        <v>224478.91969750417</v>
      </c>
      <c r="M63" s="10">
        <f t="shared" si="50"/>
        <v>26425.965614750079</v>
      </c>
      <c r="O63">
        <f>Decomposition!H61</f>
        <v>1.1421704539411746</v>
      </c>
      <c r="Q63" s="118">
        <f>Decomposition!C61</f>
        <v>118614</v>
      </c>
      <c r="R63" s="31">
        <f t="shared" si="51"/>
        <v>118614</v>
      </c>
      <c r="S63" s="119">
        <f t="shared" si="52"/>
        <v>273444.12421184877</v>
      </c>
      <c r="T63" s="36">
        <f t="shared" si="53"/>
        <v>254597.00725154195</v>
      </c>
      <c r="U63" s="36">
        <f t="shared" si="54"/>
        <v>250904.88531225425</v>
      </c>
      <c r="V63" s="93">
        <f t="shared" si="55"/>
        <v>256393.1896111228</v>
      </c>
      <c r="W63" s="10"/>
      <c r="X63" s="10">
        <f t="shared" si="29"/>
        <v>154830.12421184877</v>
      </c>
      <c r="Y63" s="10">
        <f t="shared" si="30"/>
        <v>135983.00725154195</v>
      </c>
      <c r="Z63" s="10">
        <f t="shared" si="31"/>
        <v>132290.88531225425</v>
      </c>
      <c r="AA63" s="10">
        <f t="shared" si="32"/>
        <v>137779.1896111228</v>
      </c>
      <c r="AB63" s="10">
        <f t="shared" si="33"/>
        <v>0</v>
      </c>
      <c r="AC63" s="39">
        <f t="shared" si="34"/>
        <v>1.2673083189466885</v>
      </c>
      <c r="AD63" s="39">
        <f t="shared" si="35"/>
        <v>1.1130417753167363</v>
      </c>
      <c r="AE63" s="39">
        <f t="shared" si="36"/>
        <v>1.0828211908404062</v>
      </c>
      <c r="AF63" s="39">
        <f t="shared" si="37"/>
        <v>1.127743803479728</v>
      </c>
      <c r="AG63" s="47">
        <f t="shared" si="56"/>
        <v>1</v>
      </c>
      <c r="AH63" s="47">
        <f t="shared" si="57"/>
        <v>1</v>
      </c>
      <c r="AI63" s="47">
        <f t="shared" si="70"/>
        <v>1</v>
      </c>
      <c r="AJ63" s="47">
        <f t="shared" si="70"/>
        <v>1</v>
      </c>
      <c r="AK63" s="48">
        <f t="shared" si="38"/>
        <v>0.2020714786066114</v>
      </c>
      <c r="AL63" s="48">
        <f t="shared" si="39"/>
        <v>0.12899154231725513</v>
      </c>
      <c r="AM63" s="48">
        <f t="shared" si="40"/>
        <v>0.10103008031342327</v>
      </c>
      <c r="AN63" s="48">
        <f t="shared" si="41"/>
        <v>8.8079578150214832E-2</v>
      </c>
      <c r="AO63" s="48"/>
      <c r="AP63" s="1">
        <f t="shared" si="59"/>
        <v>-14764.351647855699</v>
      </c>
      <c r="AQ63">
        <f t="shared" si="60"/>
        <v>-1.0372828142726056E-2</v>
      </c>
      <c r="AR63" s="1">
        <f t="shared" si="44"/>
        <v>232741430.71317008</v>
      </c>
      <c r="AS63" s="1">
        <f t="shared" si="42"/>
        <v>15255.86545277488</v>
      </c>
      <c r="AT63" s="1">
        <f t="shared" si="61"/>
        <v>23972367363.45652</v>
      </c>
      <c r="AU63" s="2">
        <f t="shared" si="45"/>
        <v>2643329513.3550744</v>
      </c>
      <c r="AV63">
        <f t="shared" si="43"/>
        <v>-8.0690045423165326</v>
      </c>
      <c r="AW63">
        <f t="shared" si="17"/>
        <v>1282.0650180432767</v>
      </c>
      <c r="AX63">
        <f t="shared" si="62"/>
        <v>0.12447393771271266</v>
      </c>
      <c r="AZ63" s="1">
        <f t="shared" si="19"/>
        <v>2507.3259639524531</v>
      </c>
      <c r="BA63">
        <f t="shared" si="63"/>
        <v>0</v>
      </c>
      <c r="BB63" s="1">
        <f t="shared" si="21"/>
        <v>147.47135849268057</v>
      </c>
      <c r="BC63">
        <f t="shared" si="64"/>
        <v>0</v>
      </c>
      <c r="BD63" s="1">
        <f t="shared" si="23"/>
        <v>271.83077750663875</v>
      </c>
      <c r="BE63">
        <f t="shared" si="65"/>
        <v>0</v>
      </c>
    </row>
    <row r="64" spans="1:57" x14ac:dyDescent="0.3">
      <c r="A64">
        <v>1</v>
      </c>
      <c r="B64">
        <v>52</v>
      </c>
      <c r="C64" s="30">
        <v>43922</v>
      </c>
      <c r="D64" s="10">
        <f>Decomposition!I62</f>
        <v>0</v>
      </c>
      <c r="E64" s="10"/>
      <c r="F64" s="9">
        <f t="shared" si="66"/>
        <v>225851.67642933069</v>
      </c>
      <c r="G64" s="10">
        <f t="shared" si="47"/>
        <v>131619.77014464731</v>
      </c>
      <c r="H64" s="9">
        <f t="shared" si="67"/>
        <v>175283.64847829999</v>
      </c>
      <c r="I64" s="10">
        <f t="shared" si="48"/>
        <v>69647.783399638021</v>
      </c>
      <c r="J64" s="9">
        <f t="shared" si="68"/>
        <v>138596.88372032542</v>
      </c>
      <c r="K64" s="10">
        <f t="shared" si="49"/>
        <v>51773.138588504749</v>
      </c>
      <c r="L64" s="9">
        <f t="shared" si="69"/>
        <v>103849.6483521443</v>
      </c>
      <c r="M64" s="10">
        <f t="shared" si="50"/>
        <v>19660.861537650941</v>
      </c>
      <c r="O64">
        <f>Decomposition!H62</f>
        <v>0.89114925656645383</v>
      </c>
      <c r="Q64" s="118">
        <f>Decomposition!C62</f>
        <v>0</v>
      </c>
      <c r="R64" s="31">
        <f t="shared" si="51"/>
        <v>0</v>
      </c>
      <c r="S64" s="119">
        <f t="shared" si="52"/>
        <v>201267.55354428533</v>
      </c>
      <c r="T64" s="36">
        <f t="shared" si="53"/>
        <v>156203.89302969267</v>
      </c>
      <c r="U64" s="36">
        <f t="shared" si="54"/>
        <v>123510.50988979524</v>
      </c>
      <c r="V64" s="93">
        <f t="shared" si="55"/>
        <v>92545.536923701045</v>
      </c>
      <c r="W64" s="10"/>
      <c r="X64" s="10">
        <f t="shared" si="29"/>
        <v>201267.55354428533</v>
      </c>
      <c r="Y64" s="10">
        <f t="shared" si="30"/>
        <v>156203.89302969267</v>
      </c>
      <c r="Z64" s="10">
        <f t="shared" si="31"/>
        <v>123510.50988979524</v>
      </c>
      <c r="AA64" s="10">
        <f t="shared" si="32"/>
        <v>92545.536923701045</v>
      </c>
      <c r="AB64" s="10">
        <f t="shared" si="33"/>
        <v>0</v>
      </c>
      <c r="AC64" s="39">
        <f t="shared" si="34"/>
        <v>0</v>
      </c>
      <c r="AD64" s="39">
        <f t="shared" si="35"/>
        <v>0</v>
      </c>
      <c r="AE64" s="39">
        <f t="shared" si="36"/>
        <v>0</v>
      </c>
      <c r="AF64" s="39">
        <f t="shared" si="37"/>
        <v>0</v>
      </c>
      <c r="AG64" s="47">
        <f t="shared" si="56"/>
        <v>0</v>
      </c>
      <c r="AH64" s="47">
        <f t="shared" si="57"/>
        <v>0</v>
      </c>
      <c r="AI64" s="47">
        <f t="shared" si="70"/>
        <v>0</v>
      </c>
      <c r="AJ64" s="47">
        <f t="shared" si="70"/>
        <v>0</v>
      </c>
      <c r="AK64" s="48">
        <f t="shared" si="38"/>
        <v>0</v>
      </c>
      <c r="AL64" s="48">
        <f t="shared" si="39"/>
        <v>0</v>
      </c>
      <c r="AM64" s="48">
        <f t="shared" si="40"/>
        <v>0</v>
      </c>
      <c r="AN64" s="48">
        <f t="shared" si="41"/>
        <v>0</v>
      </c>
      <c r="AO64" s="48"/>
      <c r="AP64" s="1">
        <f t="shared" si="59"/>
        <v>0</v>
      </c>
      <c r="AQ64">
        <f>((1/12)*AP64)/1</f>
        <v>0</v>
      </c>
      <c r="AR64" s="1">
        <f t="shared" si="44"/>
        <v>393287651.55050248</v>
      </c>
      <c r="AS64" s="1">
        <f t="shared" si="42"/>
        <v>19831.481325168388</v>
      </c>
      <c r="AT64" s="1">
        <f t="shared" si="61"/>
        <v>40508628109.701759</v>
      </c>
      <c r="AU64" s="2">
        <f t="shared" si="45"/>
        <v>28909289678.442451</v>
      </c>
      <c r="AV64">
        <f t="shared" si="43"/>
        <v>-0.40123221844184198</v>
      </c>
      <c r="AW64">
        <f t="shared" si="17"/>
        <v>0</v>
      </c>
      <c r="AX64">
        <f>ABS(AP64)/1</f>
        <v>0</v>
      </c>
      <c r="AZ64" s="1">
        <f t="shared" si="19"/>
        <v>1277.8618460645371</v>
      </c>
      <c r="BA64">
        <f t="shared" si="63"/>
        <v>0</v>
      </c>
      <c r="BB64" s="1">
        <f t="shared" si="21"/>
        <v>676.19207184114589</v>
      </c>
      <c r="BC64">
        <f t="shared" si="64"/>
        <v>0</v>
      </c>
      <c r="BD64" s="1">
        <f t="shared" si="23"/>
        <v>502.65183095635678</v>
      </c>
      <c r="BE64">
        <f t="shared" si="65"/>
        <v>0</v>
      </c>
    </row>
    <row r="65" spans="1:57" x14ac:dyDescent="0.3">
      <c r="A65">
        <v>1</v>
      </c>
      <c r="B65">
        <v>53</v>
      </c>
      <c r="C65" s="30">
        <v>43952</v>
      </c>
      <c r="D65" s="10">
        <f>Decomposition!I63</f>
        <v>0</v>
      </c>
      <c r="E65" s="10"/>
      <c r="F65" s="9">
        <f t="shared" si="66"/>
        <v>203266.50878639764</v>
      </c>
      <c r="G65" s="10">
        <f t="shared" si="47"/>
        <v>21023.737450035769</v>
      </c>
      <c r="H65" s="9">
        <f t="shared" si="67"/>
        <v>105170.18908698</v>
      </c>
      <c r="I65" s="10">
        <f t="shared" si="48"/>
        <v>126788.42505093098</v>
      </c>
      <c r="J65" s="9">
        <f t="shared" si="68"/>
        <v>41579.065116097634</v>
      </c>
      <c r="K65" s="10">
        <f t="shared" si="49"/>
        <v>74934.556240856269</v>
      </c>
      <c r="L65" s="9">
        <f t="shared" si="69"/>
        <v>0</v>
      </c>
      <c r="M65" s="10">
        <f t="shared" si="50"/>
        <v>30235.632846123724</v>
      </c>
      <c r="O65">
        <f>Decomposition!H63</f>
        <v>0.72718404710878848</v>
      </c>
      <c r="Q65" s="118">
        <f>Decomposition!C63</f>
        <v>0</v>
      </c>
      <c r="R65" s="31">
        <f t="shared" si="51"/>
        <v>0</v>
      </c>
      <c r="S65" s="119">
        <f t="shared" si="52"/>
        <v>147812.16250096675</v>
      </c>
      <c r="T65" s="36">
        <f t="shared" si="53"/>
        <v>76478.083735466658</v>
      </c>
      <c r="U65" s="36">
        <f t="shared" si="54"/>
        <v>30235.632846123724</v>
      </c>
      <c r="V65" s="93">
        <f t="shared" si="55"/>
        <v>0</v>
      </c>
      <c r="W65" s="10"/>
      <c r="X65" s="10">
        <f t="shared" si="29"/>
        <v>147812.16250096675</v>
      </c>
      <c r="Y65" s="10">
        <f t="shared" si="30"/>
        <v>76478.083735466658</v>
      </c>
      <c r="Z65" s="10">
        <f t="shared" si="31"/>
        <v>30235.632846123724</v>
      </c>
      <c r="AA65" s="10">
        <f t="shared" si="32"/>
        <v>0</v>
      </c>
      <c r="AB65" s="10">
        <f t="shared" si="33"/>
        <v>0</v>
      </c>
      <c r="AC65" s="39">
        <f t="shared" si="34"/>
        <v>0</v>
      </c>
      <c r="AD65" s="39">
        <f t="shared" si="35"/>
        <v>0</v>
      </c>
      <c r="AE65" s="39">
        <f t="shared" si="36"/>
        <v>0</v>
      </c>
      <c r="AF65" s="39">
        <f t="shared" si="37"/>
        <v>0</v>
      </c>
      <c r="AG65" s="47">
        <f t="shared" si="56"/>
        <v>0</v>
      </c>
      <c r="AH65" s="47">
        <f t="shared" si="57"/>
        <v>0</v>
      </c>
      <c r="AI65" s="47">
        <f t="shared" si="70"/>
        <v>0</v>
      </c>
      <c r="AJ65" s="47">
        <f t="shared" si="70"/>
        <v>0</v>
      </c>
      <c r="AK65" s="48">
        <f t="shared" si="38"/>
        <v>0</v>
      </c>
      <c r="AL65" s="48">
        <f t="shared" si="39"/>
        <v>0</v>
      </c>
      <c r="AM65" s="48">
        <f t="shared" si="40"/>
        <v>0</v>
      </c>
      <c r="AN65" s="48">
        <f t="shared" si="41"/>
        <v>0</v>
      </c>
      <c r="AO65" s="48"/>
      <c r="AP65" s="1">
        <f t="shared" si="59"/>
        <v>0</v>
      </c>
      <c r="AQ65">
        <v>0</v>
      </c>
      <c r="AR65" s="1">
        <f t="shared" si="44"/>
        <v>212120731.87584659</v>
      </c>
      <c r="AS65" s="1">
        <f t="shared" si="42"/>
        <v>14564.365138098075</v>
      </c>
      <c r="AT65" s="1">
        <f t="shared" si="61"/>
        <v>21848435383.2122</v>
      </c>
      <c r="AU65" s="2">
        <f t="shared" si="45"/>
        <v>28909289678.442451</v>
      </c>
      <c r="AV65">
        <f t="shared" si="43"/>
        <v>0.24424170824561986</v>
      </c>
      <c r="AW65">
        <f t="shared" si="17"/>
        <v>0</v>
      </c>
      <c r="AX65">
        <v>0</v>
      </c>
      <c r="AZ65" s="1">
        <f t="shared" si="19"/>
        <v>204.11395582558998</v>
      </c>
      <c r="BA65">
        <f t="shared" si="63"/>
        <v>0</v>
      </c>
      <c r="BB65" s="1">
        <f t="shared" si="21"/>
        <v>1230.9555830187473</v>
      </c>
      <c r="BC65">
        <f t="shared" si="64"/>
        <v>0</v>
      </c>
      <c r="BD65" s="1">
        <f t="shared" si="23"/>
        <v>727.51996350345894</v>
      </c>
      <c r="BE65">
        <f t="shared" si="65"/>
        <v>0</v>
      </c>
    </row>
    <row r="66" spans="1:57" x14ac:dyDescent="0.3">
      <c r="A66">
        <v>1</v>
      </c>
      <c r="B66">
        <v>54</v>
      </c>
      <c r="C66" s="30">
        <v>43983</v>
      </c>
      <c r="D66" s="10">
        <f>Decomposition!I64</f>
        <v>0</v>
      </c>
      <c r="E66" s="10"/>
      <c r="F66" s="9">
        <f t="shared" si="66"/>
        <v>182939.85790775789</v>
      </c>
      <c r="G66" s="10">
        <f t="shared" si="47"/>
        <v>17152.867036720883</v>
      </c>
      <c r="H66" s="9">
        <f t="shared" si="67"/>
        <v>63102.113452187994</v>
      </c>
      <c r="I66" s="10">
        <f t="shared" si="48"/>
        <v>140420.65092442406</v>
      </c>
      <c r="J66" s="9">
        <f t="shared" si="68"/>
        <v>12473.719534829292</v>
      </c>
      <c r="K66" s="10">
        <f t="shared" si="49"/>
        <v>54697.122973456717</v>
      </c>
      <c r="L66" s="9">
        <f t="shared" si="69"/>
        <v>0</v>
      </c>
      <c r="M66" s="10">
        <f t="shared" si="50"/>
        <v>8404.9904787312807</v>
      </c>
      <c r="O66">
        <f>Decomposition!H64</f>
        <v>0.67381589390901009</v>
      </c>
      <c r="Q66" s="118">
        <f>Decomposition!C64</f>
        <v>0</v>
      </c>
      <c r="R66" s="31">
        <f t="shared" si="51"/>
        <v>0</v>
      </c>
      <c r="S66" s="119">
        <f t="shared" si="52"/>
        <v>123267.78388770318</v>
      </c>
      <c r="T66" s="36">
        <f t="shared" si="53"/>
        <v>42519.206983333825</v>
      </c>
      <c r="U66" s="36">
        <f t="shared" si="54"/>
        <v>8404.9904787312807</v>
      </c>
      <c r="V66" s="93">
        <f t="shared" si="55"/>
        <v>0</v>
      </c>
      <c r="W66" s="10"/>
      <c r="X66" s="10">
        <f t="shared" si="29"/>
        <v>123267.78388770318</v>
      </c>
      <c r="Y66" s="10">
        <f t="shared" si="30"/>
        <v>42519.206983333825</v>
      </c>
      <c r="Z66" s="10">
        <f t="shared" si="31"/>
        <v>8404.9904787312807</v>
      </c>
      <c r="AA66" s="10">
        <f t="shared" si="32"/>
        <v>0</v>
      </c>
      <c r="AB66" s="10">
        <f t="shared" si="33"/>
        <v>0</v>
      </c>
      <c r="AC66" s="39">
        <f t="shared" si="34"/>
        <v>0</v>
      </c>
      <c r="AD66" s="39">
        <f t="shared" si="35"/>
        <v>0</v>
      </c>
      <c r="AE66" s="39">
        <f t="shared" si="36"/>
        <v>0</v>
      </c>
      <c r="AF66" s="39">
        <f t="shared" si="37"/>
        <v>0</v>
      </c>
      <c r="AG66" s="47">
        <f t="shared" si="56"/>
        <v>0</v>
      </c>
      <c r="AH66" s="47">
        <f t="shared" si="57"/>
        <v>0</v>
      </c>
      <c r="AI66" s="47">
        <f t="shared" si="70"/>
        <v>0</v>
      </c>
      <c r="AJ66" s="47">
        <f t="shared" si="70"/>
        <v>0</v>
      </c>
      <c r="AK66" s="48">
        <f t="shared" si="38"/>
        <v>0</v>
      </c>
      <c r="AL66" s="48">
        <f t="shared" si="39"/>
        <v>0</v>
      </c>
      <c r="AM66" s="48">
        <f t="shared" si="40"/>
        <v>0</v>
      </c>
      <c r="AN66" s="48">
        <f t="shared" si="41"/>
        <v>0</v>
      </c>
      <c r="AO66" s="48"/>
      <c r="AP66" s="1">
        <f t="shared" si="59"/>
        <v>0</v>
      </c>
      <c r="AQ66">
        <v>0</v>
      </c>
      <c r="AR66" s="1">
        <f t="shared" si="44"/>
        <v>147523752.86005333</v>
      </c>
      <c r="AS66" s="1">
        <f t="shared" si="42"/>
        <v>12145.935651898266</v>
      </c>
      <c r="AT66" s="1">
        <f t="shared" si="61"/>
        <v>15194946544.585495</v>
      </c>
      <c r="AU66" s="2">
        <f t="shared" si="45"/>
        <v>28909289678.442451</v>
      </c>
      <c r="AV66">
        <f t="shared" si="43"/>
        <v>0.47439225544457742</v>
      </c>
      <c r="AW66">
        <f t="shared" si="17"/>
        <v>0</v>
      </c>
      <c r="AX66">
        <v>0</v>
      </c>
      <c r="AZ66" s="1">
        <f t="shared" si="19"/>
        <v>166.53268967690178</v>
      </c>
      <c r="BA66">
        <f t="shared" si="63"/>
        <v>0</v>
      </c>
      <c r="BB66" s="1">
        <f t="shared" si="21"/>
        <v>1363.3072905283889</v>
      </c>
      <c r="BC66">
        <f t="shared" si="64"/>
        <v>0</v>
      </c>
      <c r="BD66" s="1">
        <f t="shared" si="23"/>
        <v>531.04002886851185</v>
      </c>
      <c r="BE66">
        <f t="shared" si="65"/>
        <v>0</v>
      </c>
    </row>
    <row r="67" spans="1:57" x14ac:dyDescent="0.3">
      <c r="A67">
        <v>1</v>
      </c>
      <c r="B67">
        <v>55</v>
      </c>
      <c r="C67" s="30">
        <v>44013</v>
      </c>
      <c r="D67" s="10">
        <f>Decomposition!I65</f>
        <v>578.26392819220052</v>
      </c>
      <c r="E67" s="10"/>
      <c r="F67" s="9">
        <f t="shared" si="66"/>
        <v>164645.87211698209</v>
      </c>
      <c r="G67" s="10">
        <f t="shared" si="47"/>
        <v>8702.3682039814594</v>
      </c>
      <c r="H67" s="9">
        <f t="shared" si="67"/>
        <v>37861.268071312792</v>
      </c>
      <c r="I67" s="10">
        <f t="shared" si="48"/>
        <v>132236.22873166844</v>
      </c>
      <c r="J67" s="9">
        <f t="shared" si="68"/>
        <v>3742.1158604487882</v>
      </c>
      <c r="K67" s="10">
        <f t="shared" si="49"/>
        <v>34657.977565690111</v>
      </c>
      <c r="L67" s="9">
        <f t="shared" si="69"/>
        <v>0</v>
      </c>
      <c r="M67" s="10">
        <f t="shared" si="50"/>
        <v>3203.2905056226787</v>
      </c>
      <c r="O67">
        <f>Decomposition!H65</f>
        <v>0.85601050985057181</v>
      </c>
      <c r="Q67" s="118">
        <f>Decomposition!C65</f>
        <v>495</v>
      </c>
      <c r="R67" s="31">
        <f t="shared" si="51"/>
        <v>495</v>
      </c>
      <c r="S67" s="119">
        <f t="shared" si="52"/>
        <v>140938.5969356499</v>
      </c>
      <c r="T67" s="36">
        <f t="shared" si="53"/>
        <v>32409.64338531364</v>
      </c>
      <c r="U67" s="36">
        <f t="shared" si="54"/>
        <v>3203.2905056226787</v>
      </c>
      <c r="V67" s="93">
        <f t="shared" si="55"/>
        <v>0</v>
      </c>
      <c r="W67" s="10"/>
      <c r="X67" s="10">
        <f t="shared" si="29"/>
        <v>140443.5969356499</v>
      </c>
      <c r="Y67" s="10">
        <f t="shared" si="30"/>
        <v>31914.64338531364</v>
      </c>
      <c r="Z67" s="10">
        <f t="shared" si="31"/>
        <v>2708.2905056226787</v>
      </c>
      <c r="AA67" s="10">
        <f t="shared" si="32"/>
        <v>495</v>
      </c>
      <c r="AB67" s="10">
        <f t="shared" si="33"/>
        <v>0</v>
      </c>
      <c r="AC67" s="39">
        <f t="shared" si="34"/>
        <v>275.46061966392057</v>
      </c>
      <c r="AD67" s="39">
        <f t="shared" si="35"/>
        <v>62.596142758288991</v>
      </c>
      <c r="AE67" s="39">
        <f t="shared" si="36"/>
        <v>5.3119358745173653</v>
      </c>
      <c r="AF67" s="39">
        <f t="shared" si="37"/>
        <v>0.970873786407767</v>
      </c>
      <c r="AG67" s="47">
        <f t="shared" si="56"/>
        <v>1</v>
      </c>
      <c r="AH67" s="47">
        <f t="shared" si="57"/>
        <v>1</v>
      </c>
      <c r="AI67" s="47">
        <f t="shared" si="70"/>
        <v>1</v>
      </c>
      <c r="AJ67" s="47">
        <f t="shared" si="70"/>
        <v>0</v>
      </c>
      <c r="AK67" s="48">
        <f t="shared" si="38"/>
        <v>0.2020714786066114</v>
      </c>
      <c r="AL67" s="48">
        <f t="shared" si="39"/>
        <v>0.12899154231725513</v>
      </c>
      <c r="AM67" s="48">
        <f t="shared" si="40"/>
        <v>0.10103008031342327</v>
      </c>
      <c r="AN67" s="48">
        <f t="shared" si="41"/>
        <v>0.970873786407767</v>
      </c>
      <c r="AO67" s="48"/>
      <c r="AP67" s="1">
        <f t="shared" si="59"/>
        <v>83.263928192200524</v>
      </c>
      <c r="AQ67">
        <f t="shared" ref="AQ67:AQ114" si="71">((1/12)*AP67)/Q67</f>
        <v>1.4017496328653288E-2</v>
      </c>
      <c r="AR67" s="1">
        <f t="shared" si="44"/>
        <v>191499067.18663386</v>
      </c>
      <c r="AS67" s="1">
        <f t="shared" si="42"/>
        <v>13838.318799140085</v>
      </c>
      <c r="AT67" s="1">
        <f t="shared" si="61"/>
        <v>19724403920.223289</v>
      </c>
      <c r="AU67" s="2">
        <f t="shared" si="45"/>
        <v>28741207656.257984</v>
      </c>
      <c r="AV67">
        <f t="shared" si="43"/>
        <v>0.31372389928338362</v>
      </c>
      <c r="AW67">
        <f t="shared" si="17"/>
        <v>4.0775104390052927E-2</v>
      </c>
      <c r="AX67">
        <f t="shared" ref="AX67:AX114" si="72">ABS(AP67)/ABS(Q67)</f>
        <v>0.16820995594383945</v>
      </c>
      <c r="AZ67" s="1">
        <f t="shared" si="19"/>
        <v>84.489011689140384</v>
      </c>
      <c r="BA67">
        <f t="shared" si="63"/>
        <v>0</v>
      </c>
      <c r="BB67" s="1">
        <f t="shared" si="21"/>
        <v>1283.8468808899847</v>
      </c>
      <c r="BC67">
        <f t="shared" si="64"/>
        <v>0</v>
      </c>
      <c r="BD67" s="1">
        <f t="shared" si="23"/>
        <v>336.48521908436999</v>
      </c>
      <c r="BE67">
        <f t="shared" si="65"/>
        <v>0</v>
      </c>
    </row>
    <row r="68" spans="1:57" x14ac:dyDescent="0.3">
      <c r="A68">
        <v>1</v>
      </c>
      <c r="B68">
        <v>56</v>
      </c>
      <c r="C68" s="30">
        <v>44044</v>
      </c>
      <c r="D68" s="10">
        <f>Decomposition!I66</f>
        <v>1176.8295423440757</v>
      </c>
      <c r="E68" s="10"/>
      <c r="F68" s="9">
        <f t="shared" si="66"/>
        <v>148239.11129810312</v>
      </c>
      <c r="G68" s="10">
        <f t="shared" si="47"/>
        <v>18775.512126079644</v>
      </c>
      <c r="H68" s="9">
        <f t="shared" si="67"/>
        <v>22948.066414064553</v>
      </c>
      <c r="I68" s="10">
        <f t="shared" si="48"/>
        <v>130884.19423183351</v>
      </c>
      <c r="J68" s="9">
        <f t="shared" si="68"/>
        <v>1527.4195078691771</v>
      </c>
      <c r="K68" s="10">
        <f t="shared" si="49"/>
        <v>21792.926002398959</v>
      </c>
      <c r="L68" s="9">
        <f t="shared" si="69"/>
        <v>578.26392819220052</v>
      </c>
      <c r="M68" s="10">
        <f t="shared" si="50"/>
        <v>576.87648347339302</v>
      </c>
      <c r="O68">
        <f>Decomposition!H66</f>
        <v>0.756269253937361</v>
      </c>
      <c r="Q68" s="118">
        <f>Decomposition!C66</f>
        <v>890</v>
      </c>
      <c r="R68" s="31">
        <f t="shared" si="51"/>
        <v>890.00000000000011</v>
      </c>
      <c r="S68" s="119">
        <f t="shared" si="52"/>
        <v>112108.68210575386</v>
      </c>
      <c r="T68" s="36">
        <f t="shared" si="53"/>
        <v>17354.917066269612</v>
      </c>
      <c r="U68" s="36">
        <f t="shared" si="54"/>
        <v>1155.1404116655935</v>
      </c>
      <c r="V68" s="93">
        <f t="shared" si="55"/>
        <v>437.32322955280318</v>
      </c>
      <c r="W68" s="10"/>
      <c r="X68" s="10">
        <f t="shared" si="29"/>
        <v>111218.68210575386</v>
      </c>
      <c r="Y68" s="10">
        <f t="shared" si="30"/>
        <v>16464.917066269612</v>
      </c>
      <c r="Z68" s="10">
        <f t="shared" si="31"/>
        <v>265.14041166559355</v>
      </c>
      <c r="AA68" s="10">
        <f t="shared" si="32"/>
        <v>452.67677044719682</v>
      </c>
      <c r="AB68" s="10">
        <f t="shared" si="33"/>
        <v>0</v>
      </c>
      <c r="AC68" s="39">
        <f t="shared" si="34"/>
        <v>121.32505956774722</v>
      </c>
      <c r="AD68" s="39">
        <f t="shared" si="35"/>
        <v>17.961074578673081</v>
      </c>
      <c r="AE68" s="39">
        <f t="shared" si="36"/>
        <v>0.2892335678690886</v>
      </c>
      <c r="AF68" s="39">
        <f t="shared" si="37"/>
        <v>0.49381124735158377</v>
      </c>
      <c r="AG68" s="47">
        <f t="shared" si="56"/>
        <v>1</v>
      </c>
      <c r="AH68" s="47">
        <f t="shared" si="57"/>
        <v>1</v>
      </c>
      <c r="AI68" s="47">
        <f t="shared" si="70"/>
        <v>0</v>
      </c>
      <c r="AJ68" s="47">
        <f t="shared" si="70"/>
        <v>0</v>
      </c>
      <c r="AK68" s="48">
        <f t="shared" si="38"/>
        <v>0.2020714786066114</v>
      </c>
      <c r="AL68" s="48">
        <f t="shared" si="39"/>
        <v>0.12899154231725513</v>
      </c>
      <c r="AM68" s="48">
        <f t="shared" si="40"/>
        <v>0.2892335678690886</v>
      </c>
      <c r="AN68" s="48">
        <f t="shared" si="41"/>
        <v>0.49381124735158377</v>
      </c>
      <c r="AO68" s="48"/>
      <c r="AP68" s="1">
        <f t="shared" si="59"/>
        <v>286.82954234407566</v>
      </c>
      <c r="AQ68">
        <f t="shared" si="71"/>
        <v>2.6856698721355401E-2</v>
      </c>
      <c r="AR68" s="1">
        <f t="shared" si="44"/>
        <v>120093157.76058964</v>
      </c>
      <c r="AS68" s="1">
        <f t="shared" si="42"/>
        <v>10958.702375764644</v>
      </c>
      <c r="AT68" s="1">
        <f t="shared" si="61"/>
        <v>12369595249.340734</v>
      </c>
      <c r="AU68" s="2">
        <f t="shared" si="45"/>
        <v>28607433148.151188</v>
      </c>
      <c r="AV68">
        <f t="shared" si="43"/>
        <v>0.56760904813509483</v>
      </c>
      <c r="AW68">
        <f t="shared" si="17"/>
        <v>0.4838703931427083</v>
      </c>
      <c r="AX68">
        <f t="shared" si="72"/>
        <v>0.3222803846562648</v>
      </c>
      <c r="AZ68" s="1">
        <f t="shared" si="19"/>
        <v>182.28652549591888</v>
      </c>
      <c r="BA68">
        <f t="shared" si="63"/>
        <v>0</v>
      </c>
      <c r="BB68" s="1">
        <f t="shared" si="21"/>
        <v>1270.7203323478982</v>
      </c>
      <c r="BC68">
        <f t="shared" si="64"/>
        <v>0</v>
      </c>
      <c r="BD68" s="1">
        <f t="shared" si="23"/>
        <v>211.58180584853358</v>
      </c>
      <c r="BE68">
        <f t="shared" si="65"/>
        <v>0</v>
      </c>
    </row>
    <row r="69" spans="1:57" x14ac:dyDescent="0.3">
      <c r="A69">
        <v>1</v>
      </c>
      <c r="B69">
        <v>57</v>
      </c>
      <c r="C69" s="30">
        <v>44075</v>
      </c>
      <c r="D69" s="10">
        <f>Decomposition!I67</f>
        <v>1701.6388868803388</v>
      </c>
      <c r="E69" s="10"/>
      <c r="F69" s="9">
        <f t="shared" si="66"/>
        <v>133532.88312252724</v>
      </c>
      <c r="G69" s="10">
        <f t="shared" si="47"/>
        <v>12649.857557757801</v>
      </c>
      <c r="H69" s="9">
        <f t="shared" si="67"/>
        <v>14239.571665376361</v>
      </c>
      <c r="I69" s="10">
        <f t="shared" si="48"/>
        <v>121884.41651129273</v>
      </c>
      <c r="J69" s="9">
        <f t="shared" si="68"/>
        <v>1282.006532001606</v>
      </c>
      <c r="K69" s="10">
        <f t="shared" si="49"/>
        <v>13190.845577658711</v>
      </c>
      <c r="L69" s="9">
        <f t="shared" si="69"/>
        <v>1176.8295423440757</v>
      </c>
      <c r="M69" s="10">
        <f t="shared" si="50"/>
        <v>128.10345462642499</v>
      </c>
      <c r="O69">
        <f>Decomposition!H67</f>
        <v>0.81803490195971706</v>
      </c>
      <c r="Q69" s="118">
        <f>Decomposition!C67</f>
        <v>1392</v>
      </c>
      <c r="R69" s="31">
        <f t="shared" si="51"/>
        <v>1392</v>
      </c>
      <c r="S69" s="119">
        <f t="shared" si="52"/>
        <v>109234.55895353493</v>
      </c>
      <c r="T69" s="36">
        <f t="shared" si="53"/>
        <v>11648.466611234517</v>
      </c>
      <c r="U69" s="36">
        <f t="shared" si="54"/>
        <v>1048.7260877176507</v>
      </c>
      <c r="V69" s="93">
        <f t="shared" si="55"/>
        <v>962.68763929473459</v>
      </c>
      <c r="W69" s="10"/>
      <c r="X69" s="10">
        <f t="shared" si="29"/>
        <v>107842.55895353493</v>
      </c>
      <c r="Y69" s="10">
        <f t="shared" si="30"/>
        <v>10256.466611234517</v>
      </c>
      <c r="Z69" s="10">
        <f t="shared" si="31"/>
        <v>343.27391228234933</v>
      </c>
      <c r="AA69" s="10">
        <f t="shared" si="32"/>
        <v>429.31236070526541</v>
      </c>
      <c r="AB69" s="10">
        <f t="shared" si="33"/>
        <v>0</v>
      </c>
      <c r="AC69" s="39">
        <f t="shared" si="34"/>
        <v>75.216604559713574</v>
      </c>
      <c r="AD69" s="39">
        <f t="shared" si="35"/>
        <v>7.1535449525963317</v>
      </c>
      <c r="AE69" s="39">
        <f t="shared" si="36"/>
        <v>0.23942215732225011</v>
      </c>
      <c r="AF69" s="39">
        <f t="shared" si="37"/>
        <v>0.2994311186706739</v>
      </c>
      <c r="AG69" s="47">
        <f t="shared" si="56"/>
        <v>1</v>
      </c>
      <c r="AH69" s="47">
        <f t="shared" si="57"/>
        <v>1</v>
      </c>
      <c r="AI69" s="47">
        <f t="shared" si="70"/>
        <v>0</v>
      </c>
      <c r="AJ69" s="47">
        <f t="shared" si="70"/>
        <v>0</v>
      </c>
      <c r="AK69" s="48">
        <f t="shared" si="38"/>
        <v>0.2020714786066114</v>
      </c>
      <c r="AL69" s="48">
        <f t="shared" si="39"/>
        <v>0.12899154231725513</v>
      </c>
      <c r="AM69" s="48">
        <f t="shared" si="40"/>
        <v>0.23942215732225011</v>
      </c>
      <c r="AN69" s="48">
        <f t="shared" si="41"/>
        <v>0.2994311186706739</v>
      </c>
      <c r="AO69" s="48"/>
      <c r="AP69" s="1">
        <f t="shared" si="59"/>
        <v>309.63888688033876</v>
      </c>
      <c r="AQ69">
        <f t="shared" si="71"/>
        <v>1.853681075672526E-2</v>
      </c>
      <c r="AR69" s="1">
        <f t="shared" si="44"/>
        <v>112912791.47229762</v>
      </c>
      <c r="AS69" s="1">
        <f t="shared" si="42"/>
        <v>10626.043076907679</v>
      </c>
      <c r="AT69" s="1">
        <f t="shared" si="61"/>
        <v>11630017521.646656</v>
      </c>
      <c r="AU69" s="2">
        <f t="shared" si="45"/>
        <v>28437871282.481285</v>
      </c>
      <c r="AV69">
        <f t="shared" si="43"/>
        <v>0.59103769033474918</v>
      </c>
      <c r="AW69">
        <f t="shared" si="17"/>
        <v>0.56388726264408506</v>
      </c>
      <c r="AX69">
        <f t="shared" si="72"/>
        <v>0.22244172908070314</v>
      </c>
      <c r="AZ69" s="1">
        <f t="shared" si="19"/>
        <v>122.81415104619225</v>
      </c>
      <c r="BA69">
        <f t="shared" si="63"/>
        <v>0</v>
      </c>
      <c r="BB69" s="1">
        <f t="shared" si="21"/>
        <v>1183.3438496242013</v>
      </c>
      <c r="BC69">
        <f t="shared" si="64"/>
        <v>0</v>
      </c>
      <c r="BD69" s="1">
        <f t="shared" si="23"/>
        <v>128.0664619190166</v>
      </c>
      <c r="BE69">
        <f t="shared" si="65"/>
        <v>0</v>
      </c>
    </row>
    <row r="70" spans="1:57" x14ac:dyDescent="0.3">
      <c r="A70">
        <v>1</v>
      </c>
      <c r="B70">
        <v>58</v>
      </c>
      <c r="C70" s="30">
        <v>44105</v>
      </c>
      <c r="D70" s="10">
        <f>Decomposition!I68</f>
        <v>1996.3150245284205</v>
      </c>
      <c r="E70" s="10"/>
      <c r="F70" s="9">
        <f t="shared" si="66"/>
        <v>120349.75869896256</v>
      </c>
      <c r="G70" s="10">
        <f t="shared" si="47"/>
        <v>1635.4622558892006</v>
      </c>
      <c r="H70" s="9">
        <f t="shared" si="67"/>
        <v>9224.3985539779515</v>
      </c>
      <c r="I70" s="10">
        <f t="shared" si="48"/>
        <v>111898.47483447773</v>
      </c>
      <c r="J70" s="9">
        <f t="shared" si="68"/>
        <v>1575.7491804167189</v>
      </c>
      <c r="K70" s="10">
        <f t="shared" si="49"/>
        <v>7780.7159610149547</v>
      </c>
      <c r="L70" s="9">
        <f t="shared" si="69"/>
        <v>1701.6388868803388</v>
      </c>
      <c r="M70" s="10">
        <f t="shared" si="50"/>
        <v>257.95629391734201</v>
      </c>
      <c r="O70">
        <f>Decomposition!H68</f>
        <v>0.91618806527394414</v>
      </c>
      <c r="Q70" s="118">
        <f>Decomposition!C68</f>
        <v>1829</v>
      </c>
      <c r="R70" s="31">
        <f t="shared" si="51"/>
        <v>1829</v>
      </c>
      <c r="S70" s="119">
        <f t="shared" si="52"/>
        <v>110263.01257858853</v>
      </c>
      <c r="T70" s="36">
        <f t="shared" si="53"/>
        <v>8451.2838644848271</v>
      </c>
      <c r="U70" s="36">
        <f t="shared" si="54"/>
        <v>1443.6825929629968</v>
      </c>
      <c r="V70" s="93">
        <f t="shared" si="55"/>
        <v>1559.0212395658054</v>
      </c>
      <c r="W70" s="10"/>
      <c r="X70" s="10">
        <f t="shared" si="29"/>
        <v>108434.01257858853</v>
      </c>
      <c r="Y70" s="10">
        <f t="shared" si="30"/>
        <v>6622.2838644848271</v>
      </c>
      <c r="Z70" s="10">
        <f t="shared" si="31"/>
        <v>385.31740703700325</v>
      </c>
      <c r="AA70" s="10">
        <f t="shared" si="32"/>
        <v>269.97876043419456</v>
      </c>
      <c r="AB70" s="10">
        <f t="shared" si="33"/>
        <v>0</v>
      </c>
      <c r="AC70" s="39">
        <f t="shared" si="34"/>
        <v>57.559180080678885</v>
      </c>
      <c r="AD70" s="39">
        <f t="shared" si="35"/>
        <v>3.5152552269980557</v>
      </c>
      <c r="AE70" s="39">
        <f t="shared" si="36"/>
        <v>0.20453503003763701</v>
      </c>
      <c r="AF70" s="39">
        <f t="shared" si="37"/>
        <v>0.14331071699968392</v>
      </c>
      <c r="AG70" s="47">
        <f t="shared" si="56"/>
        <v>1</v>
      </c>
      <c r="AH70" s="47">
        <f t="shared" si="57"/>
        <v>1</v>
      </c>
      <c r="AI70" s="47">
        <f t="shared" si="70"/>
        <v>0</v>
      </c>
      <c r="AJ70" s="47">
        <f t="shared" si="70"/>
        <v>0</v>
      </c>
      <c r="AK70" s="48">
        <f t="shared" si="38"/>
        <v>0.2020714786066114</v>
      </c>
      <c r="AL70" s="48">
        <f t="shared" si="39"/>
        <v>0.12899154231725513</v>
      </c>
      <c r="AM70" s="48">
        <f t="shared" si="40"/>
        <v>0.20453503003763701</v>
      </c>
      <c r="AN70" s="48">
        <f t="shared" si="41"/>
        <v>0.14331071699968392</v>
      </c>
      <c r="AO70" s="48"/>
      <c r="AP70" s="1">
        <f t="shared" si="59"/>
        <v>167.31502452842051</v>
      </c>
      <c r="AQ70">
        <f t="shared" si="71"/>
        <v>7.623246971406073E-3</v>
      </c>
      <c r="AR70" s="1">
        <f t="shared" si="44"/>
        <v>114154709.55236402</v>
      </c>
      <c r="AS70" s="1">
        <f t="shared" si="42"/>
        <v>10684.320734251851</v>
      </c>
      <c r="AT70" s="1">
        <f t="shared" si="61"/>
        <v>11757935083.893496</v>
      </c>
      <c r="AU70" s="2">
        <f t="shared" si="45"/>
        <v>28290674981.461868</v>
      </c>
      <c r="AV70">
        <f t="shared" si="43"/>
        <v>0.58438831552806147</v>
      </c>
      <c r="AW70">
        <f t="shared" si="17"/>
        <v>0.16464599553181081</v>
      </c>
      <c r="AX70">
        <f t="shared" si="72"/>
        <v>9.1478963656872886E-2</v>
      </c>
      <c r="AZ70" s="1">
        <f t="shared" si="19"/>
        <v>15.878274329021366</v>
      </c>
      <c r="BA70">
        <f t="shared" si="63"/>
        <v>0</v>
      </c>
      <c r="BB70" s="1">
        <f t="shared" si="21"/>
        <v>1086.3929595580362</v>
      </c>
      <c r="BC70">
        <f t="shared" si="64"/>
        <v>0</v>
      </c>
      <c r="BD70" s="1">
        <f t="shared" si="23"/>
        <v>75.540931660339368</v>
      </c>
      <c r="BE70">
        <f t="shared" si="65"/>
        <v>0</v>
      </c>
    </row>
    <row r="71" spans="1:57" x14ac:dyDescent="0.3">
      <c r="A71">
        <v>1</v>
      </c>
      <c r="B71">
        <v>59</v>
      </c>
      <c r="C71" s="30">
        <v>44136</v>
      </c>
      <c r="D71" s="10">
        <f>Decomposition!I69</f>
        <v>3328.3982247643812</v>
      </c>
      <c r="E71" s="10"/>
      <c r="F71" s="9">
        <f t="shared" si="66"/>
        <v>108514.41433151915</v>
      </c>
      <c r="G71" s="10">
        <f t="shared" si="47"/>
        <v>25952.974179589466</v>
      </c>
      <c r="H71" s="9">
        <f t="shared" si="67"/>
        <v>6333.1651421981396</v>
      </c>
      <c r="I71" s="10">
        <f t="shared" si="48"/>
        <v>101099.3326938965</v>
      </c>
      <c r="J71" s="9">
        <f t="shared" si="68"/>
        <v>1870.1452712949101</v>
      </c>
      <c r="K71" s="10">
        <f t="shared" si="49"/>
        <v>4143.5364889884768</v>
      </c>
      <c r="L71" s="9">
        <f t="shared" si="69"/>
        <v>1996.3150245284205</v>
      </c>
      <c r="M71" s="10">
        <f t="shared" si="50"/>
        <v>193.31362868124234</v>
      </c>
      <c r="O71">
        <f>Decomposition!H69</f>
        <v>1.1708334570680377</v>
      </c>
      <c r="Q71" s="118">
        <f>Decomposition!C69</f>
        <v>3897</v>
      </c>
      <c r="R71" s="31">
        <f t="shared" si="51"/>
        <v>3897</v>
      </c>
      <c r="S71" s="119">
        <f t="shared" si="52"/>
        <v>127052.30687348597</v>
      </c>
      <c r="T71" s="36">
        <f t="shared" si="53"/>
        <v>7415.0816376226385</v>
      </c>
      <c r="U71" s="36">
        <f t="shared" si="54"/>
        <v>2189.6286532096628</v>
      </c>
      <c r="V71" s="93">
        <f t="shared" si="55"/>
        <v>2337.3524215654747</v>
      </c>
      <c r="W71" s="10"/>
      <c r="X71" s="10">
        <f t="shared" si="29"/>
        <v>123155.30687348597</v>
      </c>
      <c r="Y71" s="10">
        <f t="shared" si="30"/>
        <v>3518.0816376226385</v>
      </c>
      <c r="Z71" s="10">
        <f t="shared" si="31"/>
        <v>1707.3713467903372</v>
      </c>
      <c r="AA71" s="10">
        <f t="shared" si="32"/>
        <v>1559.6475784345253</v>
      </c>
      <c r="AB71" s="10">
        <f t="shared" si="33"/>
        <v>0</v>
      </c>
      <c r="AC71" s="39">
        <f t="shared" si="34"/>
        <v>30.682129612643525</v>
      </c>
      <c r="AD71" s="39">
        <f t="shared" si="35"/>
        <v>0.8764724763690861</v>
      </c>
      <c r="AE71" s="39">
        <f t="shared" si="36"/>
        <v>0.42536363465806087</v>
      </c>
      <c r="AF71" s="39">
        <f t="shared" si="37"/>
        <v>0.3885606748617994</v>
      </c>
      <c r="AG71" s="47">
        <f t="shared" si="56"/>
        <v>1</v>
      </c>
      <c r="AH71" s="47">
        <f t="shared" si="57"/>
        <v>0</v>
      </c>
      <c r="AI71" s="47">
        <f t="shared" si="70"/>
        <v>0</v>
      </c>
      <c r="AJ71" s="47">
        <f t="shared" si="70"/>
        <v>0</v>
      </c>
      <c r="AK71" s="48">
        <f t="shared" si="38"/>
        <v>0.2020714786066114</v>
      </c>
      <c r="AL71" s="48">
        <f t="shared" si="39"/>
        <v>0.8764724763690861</v>
      </c>
      <c r="AM71" s="48">
        <f t="shared" si="40"/>
        <v>0.42536363465806087</v>
      </c>
      <c r="AN71" s="48">
        <f t="shared" si="41"/>
        <v>0.3885606748617994</v>
      </c>
      <c r="AO71" s="48"/>
      <c r="AP71" s="1">
        <f t="shared" si="59"/>
        <v>-568.60177523561879</v>
      </c>
      <c r="AQ71">
        <f t="shared" si="71"/>
        <v>-1.2158963630904516E-2</v>
      </c>
      <c r="AR71" s="1">
        <f t="shared" si="44"/>
        <v>147254656.41847086</v>
      </c>
      <c r="AS71" s="1">
        <f t="shared" si="42"/>
        <v>12134.852962375393</v>
      </c>
      <c r="AT71" s="1">
        <f t="shared" si="61"/>
        <v>15167229611.102501</v>
      </c>
      <c r="AU71" s="2">
        <f t="shared" si="45"/>
        <v>27599283352.335655</v>
      </c>
      <c r="AV71">
        <f t="shared" si="43"/>
        <v>0.45044842587121237</v>
      </c>
      <c r="AW71">
        <f t="shared" si="17"/>
        <v>1.9015060524546774</v>
      </c>
      <c r="AX71">
        <f t="shared" si="72"/>
        <v>0.14590756357085419</v>
      </c>
      <c r="AZ71" s="1">
        <f t="shared" si="19"/>
        <v>251.97062310281035</v>
      </c>
      <c r="BA71">
        <f t="shared" si="63"/>
        <v>0</v>
      </c>
      <c r="BB71" s="1">
        <f t="shared" si="21"/>
        <v>981.54691935821847</v>
      </c>
      <c r="BC71">
        <f t="shared" si="64"/>
        <v>0</v>
      </c>
      <c r="BD71" s="1">
        <f t="shared" si="23"/>
        <v>40.22850960182987</v>
      </c>
      <c r="BE71">
        <f t="shared" si="65"/>
        <v>0</v>
      </c>
    </row>
    <row r="72" spans="1:57" x14ac:dyDescent="0.3">
      <c r="A72">
        <v>1</v>
      </c>
      <c r="B72">
        <v>60</v>
      </c>
      <c r="C72" s="30">
        <v>44166</v>
      </c>
      <c r="D72" s="10">
        <f>Decomposition!I70</f>
        <v>5650.7223793509538</v>
      </c>
      <c r="E72" s="10"/>
      <c r="F72" s="9">
        <f t="shared" si="66"/>
        <v>97995.812720843678</v>
      </c>
      <c r="G72" s="10">
        <f t="shared" si="47"/>
        <v>45542.368722028797</v>
      </c>
      <c r="H72" s="9">
        <f t="shared" si="67"/>
        <v>5131.2583752246355</v>
      </c>
      <c r="I72" s="10">
        <f t="shared" si="48"/>
        <v>90853.832561171206</v>
      </c>
      <c r="J72" s="9">
        <f t="shared" si="68"/>
        <v>2890.9223387235402</v>
      </c>
      <c r="K72" s="10">
        <f t="shared" si="49"/>
        <v>1107.5066019739656</v>
      </c>
      <c r="L72" s="9">
        <f t="shared" si="69"/>
        <v>3328.3982247643812</v>
      </c>
      <c r="M72" s="10">
        <f t="shared" si="50"/>
        <v>695.35354848628867</v>
      </c>
      <c r="O72">
        <f>Decomposition!H70</f>
        <v>1.3918574426414096</v>
      </c>
      <c r="Q72" s="118">
        <f>Decomposition!C70</f>
        <v>7865</v>
      </c>
      <c r="R72" s="31">
        <f t="shared" si="51"/>
        <v>7865</v>
      </c>
      <c r="S72" s="119">
        <f t="shared" si="52"/>
        <v>136396.2012832</v>
      </c>
      <c r="T72" s="36">
        <f t="shared" si="53"/>
        <v>7141.9801596724756</v>
      </c>
      <c r="U72" s="36">
        <f t="shared" si="54"/>
        <v>4023.7517732506699</v>
      </c>
      <c r="V72" s="93">
        <f t="shared" si="55"/>
        <v>4632.6558412127597</v>
      </c>
      <c r="W72" s="10"/>
      <c r="X72" s="10">
        <f t="shared" si="29"/>
        <v>128531.2012832</v>
      </c>
      <c r="Y72" s="10">
        <f t="shared" si="30"/>
        <v>723.01984032752443</v>
      </c>
      <c r="Z72" s="10">
        <f t="shared" si="31"/>
        <v>3841.2482267493301</v>
      </c>
      <c r="AA72" s="10">
        <f t="shared" si="32"/>
        <v>3232.3441587872403</v>
      </c>
      <c r="AB72" s="10">
        <f t="shared" si="33"/>
        <v>0</v>
      </c>
      <c r="AC72" s="39">
        <f t="shared" si="34"/>
        <v>15.866188691844785</v>
      </c>
      <c r="AD72" s="39">
        <f t="shared" si="35"/>
        <v>8.9251240944275001E-2</v>
      </c>
      <c r="AE72" s="39">
        <f t="shared" si="36"/>
        <v>0.47417256331039331</v>
      </c>
      <c r="AF72" s="39">
        <f t="shared" si="37"/>
        <v>0.39900803717924938</v>
      </c>
      <c r="AG72" s="47">
        <f t="shared" si="56"/>
        <v>1</v>
      </c>
      <c r="AH72" s="47">
        <f t="shared" si="57"/>
        <v>0</v>
      </c>
      <c r="AI72" s="47">
        <f t="shared" si="70"/>
        <v>0</v>
      </c>
      <c r="AJ72" s="47">
        <f t="shared" si="70"/>
        <v>0</v>
      </c>
      <c r="AK72" s="48">
        <f t="shared" si="38"/>
        <v>0.2020714786066114</v>
      </c>
      <c r="AL72" s="48">
        <f t="shared" si="39"/>
        <v>8.9251240944275001E-2</v>
      </c>
      <c r="AM72" s="48">
        <f t="shared" si="40"/>
        <v>0.47417256331039331</v>
      </c>
      <c r="AN72" s="48">
        <f t="shared" si="41"/>
        <v>0.39900803717924938</v>
      </c>
      <c r="AO72" s="48"/>
      <c r="AP72" s="1">
        <f t="shared" si="59"/>
        <v>-2214.2776206490462</v>
      </c>
      <c r="AQ72">
        <f t="shared" si="71"/>
        <v>-2.3461301341905553E-2</v>
      </c>
      <c r="AR72" s="1">
        <f t="shared" si="44"/>
        <v>160390967.9932279</v>
      </c>
      <c r="AS72" s="1">
        <f t="shared" si="42"/>
        <v>12664.555578196492</v>
      </c>
      <c r="AT72" s="1">
        <f t="shared" si="61"/>
        <v>16520269703.302475</v>
      </c>
      <c r="AU72" s="2">
        <f t="shared" si="45"/>
        <v>26296618153.733711</v>
      </c>
      <c r="AV72">
        <f t="shared" si="43"/>
        <v>0.37177208085379398</v>
      </c>
      <c r="AW72">
        <f t="shared" si="17"/>
        <v>28.836691480571986</v>
      </c>
      <c r="AX72">
        <f t="shared" si="72"/>
        <v>0.28153561610286665</v>
      </c>
      <c r="AZ72" s="1">
        <f t="shared" si="19"/>
        <v>442.15891963134754</v>
      </c>
      <c r="BA72">
        <f t="shared" si="63"/>
        <v>0</v>
      </c>
      <c r="BB72" s="1">
        <f t="shared" si="21"/>
        <v>882.07604428321554</v>
      </c>
      <c r="BC72">
        <f t="shared" si="64"/>
        <v>0</v>
      </c>
      <c r="BD72" s="1">
        <f t="shared" si="23"/>
        <v>10.752491281300637</v>
      </c>
      <c r="BE72">
        <f t="shared" si="65"/>
        <v>0</v>
      </c>
    </row>
    <row r="73" spans="1:57" x14ac:dyDescent="0.3">
      <c r="A73">
        <v>1</v>
      </c>
      <c r="B73">
        <v>61</v>
      </c>
      <c r="C73" s="30">
        <v>44197</v>
      </c>
      <c r="D73" s="10">
        <f>Decomposition!I71</f>
        <v>5412.0343858353754</v>
      </c>
      <c r="E73" s="10"/>
      <c r="F73" s="9">
        <f t="shared" si="66"/>
        <v>88761.303686694402</v>
      </c>
      <c r="G73" s="10">
        <f t="shared" si="47"/>
        <v>54318.304778134057</v>
      </c>
      <c r="H73" s="9">
        <f t="shared" si="67"/>
        <v>5339.0439768751621</v>
      </c>
      <c r="I73" s="10">
        <f t="shared" si="48"/>
        <v>80643.285626666111</v>
      </c>
      <c r="J73" s="9">
        <f t="shared" si="68"/>
        <v>4822.7823671627293</v>
      </c>
      <c r="K73" s="10">
        <f t="shared" si="49"/>
        <v>1993.9981418615344</v>
      </c>
      <c r="L73" s="9">
        <f t="shared" si="69"/>
        <v>5650.7223793509538</v>
      </c>
      <c r="M73" s="10">
        <f t="shared" si="50"/>
        <v>1682.3197393857427</v>
      </c>
      <c r="O73">
        <f>Decomposition!H71</f>
        <v>1.5205003171334823</v>
      </c>
      <c r="Q73" s="118">
        <f>Decomposition!C71</f>
        <v>8229</v>
      </c>
      <c r="R73" s="31">
        <f t="shared" si="51"/>
        <v>8229</v>
      </c>
      <c r="S73" s="119">
        <f t="shared" si="52"/>
        <v>134961.59040480017</v>
      </c>
      <c r="T73" s="36">
        <f t="shared" si="53"/>
        <v>8118.0180600282929</v>
      </c>
      <c r="U73" s="36">
        <f t="shared" si="54"/>
        <v>7333.0421187366965</v>
      </c>
      <c r="V73" s="93">
        <f t="shared" si="55"/>
        <v>8591.9251698363914</v>
      </c>
      <c r="W73" s="10"/>
      <c r="X73" s="10">
        <f t="shared" si="29"/>
        <v>126732.59040480017</v>
      </c>
      <c r="Y73" s="10">
        <f t="shared" si="30"/>
        <v>110.98193997170711</v>
      </c>
      <c r="Z73" s="10">
        <f t="shared" si="31"/>
        <v>895.95788126330353</v>
      </c>
      <c r="AA73" s="10">
        <f t="shared" si="32"/>
        <v>362.92516983639143</v>
      </c>
      <c r="AB73" s="10">
        <f t="shared" si="33"/>
        <v>0</v>
      </c>
      <c r="AC73" s="39">
        <f t="shared" si="34"/>
        <v>14.95216307055207</v>
      </c>
      <c r="AD73" s="39">
        <f t="shared" si="35"/>
        <v>1.3093870006466252E-2</v>
      </c>
      <c r="AE73" s="39">
        <f t="shared" si="36"/>
        <v>0.10570689277481882</v>
      </c>
      <c r="AF73" s="39">
        <f t="shared" si="37"/>
        <v>4.2818633348127265E-2</v>
      </c>
      <c r="AG73" s="47">
        <f t="shared" si="56"/>
        <v>1</v>
      </c>
      <c r="AH73" s="47">
        <f t="shared" si="57"/>
        <v>0</v>
      </c>
      <c r="AI73" s="47">
        <f t="shared" si="70"/>
        <v>0</v>
      </c>
      <c r="AJ73" s="47">
        <f t="shared" si="70"/>
        <v>0</v>
      </c>
      <c r="AK73" s="48">
        <f t="shared" si="38"/>
        <v>0.2020714786066114</v>
      </c>
      <c r="AL73" s="48">
        <f t="shared" si="39"/>
        <v>1.3093870006466252E-2</v>
      </c>
      <c r="AM73" s="48">
        <f t="shared" si="40"/>
        <v>0.10570689277481882</v>
      </c>
      <c r="AN73" s="48">
        <f t="shared" si="41"/>
        <v>4.2818633348127265E-2</v>
      </c>
      <c r="AO73" s="48"/>
      <c r="AP73" s="1">
        <f t="shared" si="59"/>
        <v>-2816.9656141646246</v>
      </c>
      <c r="AQ73">
        <f t="shared" si="71"/>
        <v>-2.852681182570406E-2</v>
      </c>
      <c r="AR73" s="1">
        <f t="shared" si="44"/>
        <v>155933490.00690141</v>
      </c>
      <c r="AS73" s="1">
        <f t="shared" si="42"/>
        <v>12487.333182345277</v>
      </c>
      <c r="AT73" s="1">
        <f t="shared" si="61"/>
        <v>16061149470.710848</v>
      </c>
      <c r="AU73" s="2">
        <f t="shared" si="45"/>
        <v>26178696480.490993</v>
      </c>
      <c r="AV73">
        <f t="shared" si="43"/>
        <v>0.38648016784640093</v>
      </c>
      <c r="AW73">
        <f t="shared" si="17"/>
        <v>46.67070711495856</v>
      </c>
      <c r="AX73">
        <f t="shared" si="72"/>
        <v>0.34232174190844872</v>
      </c>
      <c r="AZ73" s="1">
        <f t="shared" si="19"/>
        <v>527.36218231198109</v>
      </c>
      <c r="BA73">
        <f t="shared" si="63"/>
        <v>0</v>
      </c>
      <c r="BB73" s="1">
        <f t="shared" si="21"/>
        <v>782.94452064724385</v>
      </c>
      <c r="BC73">
        <f t="shared" si="64"/>
        <v>0</v>
      </c>
      <c r="BD73" s="1">
        <f t="shared" si="23"/>
        <v>19.359205260791594</v>
      </c>
      <c r="BE73">
        <f t="shared" si="65"/>
        <v>0</v>
      </c>
    </row>
    <row r="74" spans="1:57" x14ac:dyDescent="0.3">
      <c r="A74">
        <v>1</v>
      </c>
      <c r="B74">
        <v>62</v>
      </c>
      <c r="C74" s="30">
        <v>44228</v>
      </c>
      <c r="D74" s="10">
        <f>Decomposition!I72</f>
        <v>3211.3060491225474</v>
      </c>
      <c r="E74" s="10"/>
      <c r="F74" s="9">
        <f t="shared" si="66"/>
        <v>80426.376756608501</v>
      </c>
      <c r="G74" s="10">
        <f t="shared" si="47"/>
        <v>17035.141284009587</v>
      </c>
      <c r="H74" s="9">
        <f t="shared" si="67"/>
        <v>5368.2401404592474</v>
      </c>
      <c r="I74" s="10">
        <f t="shared" si="48"/>
        <v>74328.128961837821</v>
      </c>
      <c r="J74" s="9">
        <f t="shared" si="68"/>
        <v>5235.258780233582</v>
      </c>
      <c r="K74" s="10">
        <f t="shared" si="49"/>
        <v>578.9426375604553</v>
      </c>
      <c r="L74" s="9">
        <f t="shared" si="69"/>
        <v>5412.0343858353754</v>
      </c>
      <c r="M74" s="10">
        <f t="shared" si="50"/>
        <v>535.14839218432735</v>
      </c>
      <c r="O74">
        <f>Decomposition!H72</f>
        <v>1.1359864006100491</v>
      </c>
      <c r="Q74" s="118">
        <f>Decomposition!C72</f>
        <v>3648</v>
      </c>
      <c r="R74" s="31">
        <f t="shared" si="51"/>
        <v>3648</v>
      </c>
      <c r="S74" s="119">
        <f t="shared" si="52"/>
        <v>91363.270245847409</v>
      </c>
      <c r="T74" s="36">
        <f t="shared" si="53"/>
        <v>6098.2477947706848</v>
      </c>
      <c r="U74" s="36">
        <f t="shared" si="54"/>
        <v>5947.1827780197027</v>
      </c>
      <c r="V74" s="93">
        <f t="shared" si="55"/>
        <v>6147.9974619429458</v>
      </c>
      <c r="W74" s="10"/>
      <c r="X74" s="10">
        <f t="shared" si="29"/>
        <v>87715.270245847409</v>
      </c>
      <c r="Y74" s="10">
        <f t="shared" si="30"/>
        <v>2450.2477947706848</v>
      </c>
      <c r="Z74" s="10">
        <f t="shared" si="31"/>
        <v>2299.1827780197027</v>
      </c>
      <c r="AA74" s="10">
        <f t="shared" si="32"/>
        <v>2499.9974619429458</v>
      </c>
      <c r="AB74" s="10">
        <f t="shared" si="33"/>
        <v>0</v>
      </c>
      <c r="AC74" s="39">
        <f t="shared" si="34"/>
        <v>23.344423396207898</v>
      </c>
      <c r="AD74" s="39">
        <f t="shared" si="35"/>
        <v>0.65210563436027846</v>
      </c>
      <c r="AE74" s="39">
        <f t="shared" si="36"/>
        <v>0.6119013951040343</v>
      </c>
      <c r="AF74" s="39">
        <f t="shared" si="37"/>
        <v>0.66534594349954901</v>
      </c>
      <c r="AG74" s="47">
        <f t="shared" si="56"/>
        <v>1</v>
      </c>
      <c r="AH74" s="47">
        <f t="shared" si="57"/>
        <v>0</v>
      </c>
      <c r="AI74" s="47">
        <f t="shared" si="70"/>
        <v>0</v>
      </c>
      <c r="AJ74" s="47">
        <f t="shared" si="70"/>
        <v>0</v>
      </c>
      <c r="AK74" s="48">
        <f t="shared" si="38"/>
        <v>0.2020714786066114</v>
      </c>
      <c r="AL74" s="48">
        <f t="shared" si="39"/>
        <v>0.65210563436027846</v>
      </c>
      <c r="AM74" s="48">
        <f t="shared" si="40"/>
        <v>0.6119013951040343</v>
      </c>
      <c r="AN74" s="48">
        <f t="shared" si="41"/>
        <v>0.66534594349954901</v>
      </c>
      <c r="AO74" s="48"/>
      <c r="AP74" s="1">
        <f t="shared" si="59"/>
        <v>-436.69395087745261</v>
      </c>
      <c r="AQ74">
        <f t="shared" si="71"/>
        <v>-9.9756476351757269E-3</v>
      </c>
      <c r="AR74" s="1">
        <f t="shared" si="44"/>
        <v>74698724.604874209</v>
      </c>
      <c r="AS74" s="1">
        <f t="shared" si="42"/>
        <v>8642.842391532673</v>
      </c>
      <c r="AT74" s="1">
        <f t="shared" si="61"/>
        <v>7693968634.3020439</v>
      </c>
      <c r="AU74" s="2">
        <f t="shared" si="45"/>
        <v>27682078252.889053</v>
      </c>
      <c r="AV74">
        <f t="shared" si="43"/>
        <v>0.72205957356185646</v>
      </c>
      <c r="AW74">
        <f t="shared" si="17"/>
        <v>1.1215939079519017</v>
      </c>
      <c r="AX74">
        <f t="shared" si="72"/>
        <v>0.11970777162210872</v>
      </c>
      <c r="AZ74" s="1">
        <f t="shared" si="19"/>
        <v>165.38972120397656</v>
      </c>
      <c r="BA74">
        <f t="shared" si="63"/>
        <v>0</v>
      </c>
      <c r="BB74" s="1">
        <f t="shared" si="21"/>
        <v>721.63232001784297</v>
      </c>
      <c r="BC74">
        <f t="shared" si="64"/>
        <v>0</v>
      </c>
      <c r="BD74" s="1">
        <f t="shared" si="23"/>
        <v>5.6208023064121875</v>
      </c>
      <c r="BE74">
        <f t="shared" si="65"/>
        <v>0</v>
      </c>
    </row>
    <row r="75" spans="1:57" x14ac:dyDescent="0.3">
      <c r="A75">
        <v>1</v>
      </c>
      <c r="B75">
        <v>63</v>
      </c>
      <c r="C75" s="30">
        <v>44256</v>
      </c>
      <c r="D75" s="10">
        <f>Decomposition!I73</f>
        <v>5064.04274426967</v>
      </c>
      <c r="E75" s="10"/>
      <c r="F75" s="9">
        <f t="shared" si="66"/>
        <v>72704.8696858599</v>
      </c>
      <c r="G75" s="10">
        <f t="shared" si="47"/>
        <v>15482.495048976925</v>
      </c>
      <c r="H75" s="9">
        <f t="shared" si="67"/>
        <v>4505.4665039245674</v>
      </c>
      <c r="I75" s="10">
        <f t="shared" si="48"/>
        <v>67558.858963855615</v>
      </c>
      <c r="J75" s="9">
        <f t="shared" si="68"/>
        <v>3818.4918684558579</v>
      </c>
      <c r="K75" s="10">
        <f t="shared" si="49"/>
        <v>144.09791315965595</v>
      </c>
      <c r="L75" s="9">
        <f t="shared" si="69"/>
        <v>3211.3060491225474</v>
      </c>
      <c r="M75" s="10">
        <f t="shared" si="50"/>
        <v>1150.0625416423641</v>
      </c>
      <c r="O75">
        <f>Decomposition!H73</f>
        <v>1.1421704539411746</v>
      </c>
      <c r="Q75" s="118">
        <f>Decomposition!C73</f>
        <v>5784</v>
      </c>
      <c r="R75" s="31">
        <f t="shared" si="51"/>
        <v>5784</v>
      </c>
      <c r="S75" s="119">
        <f t="shared" si="52"/>
        <v>83041.35401283254</v>
      </c>
      <c r="T75" s="36">
        <f t="shared" si="53"/>
        <v>5146.0107220042801</v>
      </c>
      <c r="U75" s="36">
        <f t="shared" si="54"/>
        <v>4361.3685907649115</v>
      </c>
      <c r="V75" s="93">
        <f t="shared" si="55"/>
        <v>3667.8588878703399</v>
      </c>
      <c r="W75" s="10"/>
      <c r="X75" s="10">
        <f t="shared" si="29"/>
        <v>77257.35401283254</v>
      </c>
      <c r="Y75" s="10">
        <f t="shared" si="30"/>
        <v>637.98927799571993</v>
      </c>
      <c r="Z75" s="10">
        <f t="shared" si="31"/>
        <v>1422.6314092350885</v>
      </c>
      <c r="AA75" s="10">
        <f t="shared" si="32"/>
        <v>2116.1411121296601</v>
      </c>
      <c r="AB75" s="10">
        <f t="shared" si="33"/>
        <v>0</v>
      </c>
      <c r="AC75" s="39">
        <f t="shared" si="34"/>
        <v>12.968039387670126</v>
      </c>
      <c r="AD75" s="39">
        <f t="shared" si="35"/>
        <v>0.1070897417038835</v>
      </c>
      <c r="AE75" s="39">
        <f t="shared" si="36"/>
        <v>0.23879590991471089</v>
      </c>
      <c r="AF75" s="39">
        <f t="shared" si="37"/>
        <v>0.35520503701702388</v>
      </c>
      <c r="AG75" s="47">
        <f t="shared" si="56"/>
        <v>1</v>
      </c>
      <c r="AH75" s="47">
        <f t="shared" si="57"/>
        <v>0</v>
      </c>
      <c r="AI75" s="47">
        <f t="shared" si="70"/>
        <v>0</v>
      </c>
      <c r="AJ75" s="47">
        <f t="shared" si="70"/>
        <v>0</v>
      </c>
      <c r="AK75" s="48">
        <f t="shared" si="38"/>
        <v>0.2020714786066114</v>
      </c>
      <c r="AL75" s="48">
        <f t="shared" si="39"/>
        <v>0.1070897417038835</v>
      </c>
      <c r="AM75" s="48">
        <f t="shared" si="40"/>
        <v>0.23879590991471089</v>
      </c>
      <c r="AN75" s="48">
        <f t="shared" si="41"/>
        <v>0.35520503701702388</v>
      </c>
      <c r="AO75" s="48"/>
      <c r="AP75" s="1">
        <f t="shared" si="59"/>
        <v>-719.95725573032996</v>
      </c>
      <c r="AQ75">
        <f t="shared" si="71"/>
        <v>-1.0372828142726054E-2</v>
      </c>
      <c r="AR75" s="1">
        <f t="shared" si="44"/>
        <v>57948531.544311963</v>
      </c>
      <c r="AS75" s="1">
        <f t="shared" si="42"/>
        <v>7612.3932862347547</v>
      </c>
      <c r="AT75" s="1">
        <f t="shared" si="61"/>
        <v>5968698749.0641327</v>
      </c>
      <c r="AU75" s="2">
        <f t="shared" si="45"/>
        <v>26975868292.190022</v>
      </c>
      <c r="AV75">
        <f t="shared" si="43"/>
        <v>0.77873932789061795</v>
      </c>
      <c r="AW75">
        <f t="shared" si="17"/>
        <v>3.0485597778924065</v>
      </c>
      <c r="AX75">
        <f t="shared" si="72"/>
        <v>0.12447393771271265</v>
      </c>
      <c r="AZ75" s="1">
        <f t="shared" si="19"/>
        <v>150.31548591239732</v>
      </c>
      <c r="BA75">
        <f t="shared" si="63"/>
        <v>0</v>
      </c>
      <c r="BB75" s="1">
        <f t="shared" si="21"/>
        <v>655.91125207626806</v>
      </c>
      <c r="BC75">
        <f t="shared" si="64"/>
        <v>0</v>
      </c>
      <c r="BD75" s="1">
        <f t="shared" si="23"/>
        <v>1.3990088656277275</v>
      </c>
      <c r="BE75">
        <f t="shared" si="65"/>
        <v>1</v>
      </c>
    </row>
    <row r="76" spans="1:57" x14ac:dyDescent="0.3">
      <c r="A76">
        <v>1</v>
      </c>
      <c r="B76">
        <v>64</v>
      </c>
      <c r="C76" s="30">
        <v>44287</v>
      </c>
      <c r="D76" s="10">
        <f>Decomposition!I74</f>
        <v>5564.7243864700486</v>
      </c>
      <c r="E76" s="10"/>
      <c r="F76" s="9">
        <f t="shared" si="66"/>
        <v>65940.786991700879</v>
      </c>
      <c r="G76" s="10">
        <f t="shared" si="47"/>
        <v>2963.5506406546265</v>
      </c>
      <c r="H76" s="9">
        <f t="shared" si="67"/>
        <v>4728.8970000626086</v>
      </c>
      <c r="I76" s="10">
        <f t="shared" si="48"/>
        <v>61726.633945715752</v>
      </c>
      <c r="J76" s="9">
        <f t="shared" si="68"/>
        <v>4690.3774815255265</v>
      </c>
      <c r="K76" s="10">
        <f t="shared" si="49"/>
        <v>549.07059438509987</v>
      </c>
      <c r="L76" s="9">
        <f t="shared" si="69"/>
        <v>5064.04274426967</v>
      </c>
      <c r="M76" s="10">
        <f t="shared" si="50"/>
        <v>884.21633859216126</v>
      </c>
      <c r="O76">
        <f>Decomposition!H74</f>
        <v>0.89114925656645383</v>
      </c>
      <c r="Q76" s="118">
        <f>Decomposition!C74</f>
        <v>4959</v>
      </c>
      <c r="R76" s="31">
        <f t="shared" si="51"/>
        <v>4959</v>
      </c>
      <c r="S76" s="119">
        <f t="shared" si="52"/>
        <v>58763.083305061125</v>
      </c>
      <c r="T76" s="36">
        <f t="shared" si="53"/>
        <v>4214.1530459851274</v>
      </c>
      <c r="U76" s="36">
        <f t="shared" si="54"/>
        <v>4179.8264056775088</v>
      </c>
      <c r="V76" s="93">
        <f t="shared" si="55"/>
        <v>4512.8179267766609</v>
      </c>
      <c r="W76" s="10"/>
      <c r="X76" s="10">
        <f t="shared" si="29"/>
        <v>53804.083305061125</v>
      </c>
      <c r="Y76" s="10">
        <f t="shared" si="30"/>
        <v>744.84695401487261</v>
      </c>
      <c r="Z76" s="10">
        <f t="shared" si="31"/>
        <v>779.17359432249123</v>
      </c>
      <c r="AA76" s="10">
        <f t="shared" si="32"/>
        <v>446.1820732233391</v>
      </c>
      <c r="AB76" s="10">
        <f t="shared" si="33"/>
        <v>0</v>
      </c>
      <c r="AC76" s="39">
        <f t="shared" si="34"/>
        <v>10.533771744824282</v>
      </c>
      <c r="AD76" s="39">
        <f t="shared" si="35"/>
        <v>0.1458262517722749</v>
      </c>
      <c r="AE76" s="39">
        <f t="shared" si="36"/>
        <v>0.15254672671684341</v>
      </c>
      <c r="AF76" s="39">
        <f t="shared" si="37"/>
        <v>8.7353595252593411E-2</v>
      </c>
      <c r="AG76" s="47">
        <f t="shared" si="56"/>
        <v>1</v>
      </c>
      <c r="AH76" s="47">
        <f t="shared" si="57"/>
        <v>0</v>
      </c>
      <c r="AI76" s="47">
        <f t="shared" si="70"/>
        <v>0</v>
      </c>
      <c r="AJ76" s="47">
        <f t="shared" si="70"/>
        <v>0</v>
      </c>
      <c r="AK76" s="48">
        <f t="shared" si="38"/>
        <v>0.2020714786066114</v>
      </c>
      <c r="AL76" s="48">
        <f t="shared" si="39"/>
        <v>0.1458262517722749</v>
      </c>
      <c r="AM76" s="48">
        <f t="shared" si="40"/>
        <v>0.15254672671684341</v>
      </c>
      <c r="AN76" s="48">
        <f t="shared" si="41"/>
        <v>8.7353595252593411E-2</v>
      </c>
      <c r="AO76" s="48"/>
      <c r="AP76" s="1">
        <f t="shared" si="59"/>
        <v>605.72438647004856</v>
      </c>
      <c r="AQ76">
        <f t="shared" si="71"/>
        <v>1.0178873201419112E-2</v>
      </c>
      <c r="AR76" s="1">
        <f t="shared" si="44"/>
        <v>28105625.051436476</v>
      </c>
      <c r="AS76" s="1">
        <f t="shared" si="42"/>
        <v>5301.4738565267371</v>
      </c>
      <c r="AT76" s="1">
        <f t="shared" si="61"/>
        <v>2894879380.2979574</v>
      </c>
      <c r="AU76" s="2">
        <f t="shared" si="45"/>
        <v>27247550395.830799</v>
      </c>
      <c r="AV76">
        <f t="shared" si="43"/>
        <v>0.89375634366233125</v>
      </c>
      <c r="AW76">
        <f t="shared" si="17"/>
        <v>2.1579004569765448</v>
      </c>
      <c r="AX76">
        <f t="shared" si="72"/>
        <v>0.12214647841702936</v>
      </c>
      <c r="AZ76" s="1">
        <f t="shared" si="19"/>
        <v>28.772336317035208</v>
      </c>
      <c r="BA76">
        <f t="shared" si="63"/>
        <v>0</v>
      </c>
      <c r="BB76" s="1">
        <f t="shared" si="21"/>
        <v>599.28770821083253</v>
      </c>
      <c r="BC76">
        <f t="shared" si="64"/>
        <v>0</v>
      </c>
      <c r="BD76" s="1">
        <f t="shared" si="23"/>
        <v>5.3307824697582511</v>
      </c>
      <c r="BE76">
        <f t="shared" si="65"/>
        <v>0</v>
      </c>
    </row>
    <row r="77" spans="1:57" x14ac:dyDescent="0.3">
      <c r="A77">
        <v>1</v>
      </c>
      <c r="B77">
        <v>65</v>
      </c>
      <c r="C77" s="30">
        <v>44317</v>
      </c>
      <c r="D77" s="10">
        <f>Decomposition!I75</f>
        <v>4621.9385771222596</v>
      </c>
      <c r="E77" s="10"/>
      <c r="F77" s="9">
        <f t="shared" si="66"/>
        <v>59903.180731177796</v>
      </c>
      <c r="G77" s="10">
        <f t="shared" ref="G77:G108" si="73">ABS(I77-S77)</f>
        <v>12660.644736911752</v>
      </c>
      <c r="H77" s="9">
        <f t="shared" si="67"/>
        <v>5063.227954625585</v>
      </c>
      <c r="I77" s="10">
        <f t="shared" ref="I77:I108" si="74">ABS(F77-T77)</f>
        <v>56221.282135698813</v>
      </c>
      <c r="J77" s="9">
        <f t="shared" si="68"/>
        <v>5302.4203149866917</v>
      </c>
      <c r="K77" s="10">
        <f t="shared" ref="K77:K108" si="75">ABS(H77-U77)</f>
        <v>1207.3924905017057</v>
      </c>
      <c r="L77" s="9">
        <f t="shared" si="69"/>
        <v>5564.7243864700486</v>
      </c>
      <c r="M77" s="10">
        <f t="shared" ref="M77:M108" si="76">ABS(L77-U77)</f>
        <v>1708.8889223461692</v>
      </c>
      <c r="O77">
        <f>Decomposition!H75</f>
        <v>0.72718404710878848</v>
      </c>
      <c r="Q77" s="118">
        <f>Decomposition!C75</f>
        <v>3361</v>
      </c>
      <c r="R77" s="31">
        <f t="shared" ref="R77:R108" si="77">D77*O77</f>
        <v>3361</v>
      </c>
      <c r="S77" s="119">
        <f t="shared" ref="S77:S108" si="78">F77*O77</f>
        <v>43560.637398787061</v>
      </c>
      <c r="T77" s="36">
        <f t="shared" ref="T77:T108" si="79">H77*O77</f>
        <v>3681.898595478986</v>
      </c>
      <c r="U77" s="36">
        <f t="shared" ref="U77:U108" si="80">J77*O77</f>
        <v>3855.8354641238793</v>
      </c>
      <c r="V77" s="93">
        <f t="shared" ref="V77:V108" si="81">L77*O77</f>
        <v>4046.5788003982598</v>
      </c>
      <c r="W77" s="10"/>
      <c r="X77" s="10">
        <f t="shared" si="29"/>
        <v>40199.637398787061</v>
      </c>
      <c r="Y77" s="10">
        <f t="shared" si="30"/>
        <v>320.89859547898595</v>
      </c>
      <c r="Z77" s="10">
        <f t="shared" si="31"/>
        <v>494.83546412387932</v>
      </c>
      <c r="AA77" s="10">
        <f t="shared" si="32"/>
        <v>685.57880039825977</v>
      </c>
      <c r="AB77" s="10">
        <f t="shared" si="33"/>
        <v>0</v>
      </c>
      <c r="AC77" s="39">
        <f t="shared" si="34"/>
        <v>11.612250572323616</v>
      </c>
      <c r="AD77" s="39">
        <f t="shared" si="35"/>
        <v>9.2696231611311353E-2</v>
      </c>
      <c r="AE77" s="39">
        <f t="shared" si="36"/>
        <v>0.14294042865301859</v>
      </c>
      <c r="AF77" s="39">
        <f t="shared" si="37"/>
        <v>0.1980394185729108</v>
      </c>
      <c r="AG77" s="47">
        <f t="shared" ref="AG77:AG108" si="82">IF(AC77&gt;1,1,0)</f>
        <v>1</v>
      </c>
      <c r="AH77" s="47">
        <f t="shared" ref="AH77:AH108" si="83">IF(AD77&gt;1,1,0)</f>
        <v>0</v>
      </c>
      <c r="AI77" s="47">
        <f t="shared" ref="AI77:AJ92" si="84">IF(AE77&gt;1,1,0)</f>
        <v>0</v>
      </c>
      <c r="AJ77" s="47">
        <f t="shared" si="84"/>
        <v>0</v>
      </c>
      <c r="AK77" s="48">
        <f t="shared" si="38"/>
        <v>0.2020714786066114</v>
      </c>
      <c r="AL77" s="48">
        <f t="shared" si="39"/>
        <v>9.2696231611311353E-2</v>
      </c>
      <c r="AM77" s="48">
        <f t="shared" si="40"/>
        <v>0.14294042865301859</v>
      </c>
      <c r="AN77" s="48">
        <f t="shared" si="41"/>
        <v>0.1980394185729108</v>
      </c>
      <c r="AO77" s="48"/>
      <c r="AP77" s="1">
        <f t="shared" ref="AP77:AP108" si="85">D77-Q77</f>
        <v>1260.9385771222596</v>
      </c>
      <c r="AQ77">
        <f t="shared" si="71"/>
        <v>3.1263973448434484E-2</v>
      </c>
      <c r="AR77" s="1">
        <f t="shared" si="44"/>
        <v>15689425.698970478</v>
      </c>
      <c r="AS77" s="1">
        <f t="shared" si="42"/>
        <v>3960.9879700613178</v>
      </c>
      <c r="AT77" s="1">
        <f t="shared" ref="AT77:AT108" si="86">(Q77-S77)^2</f>
        <v>1616010846.9939594</v>
      </c>
      <c r="AU77" s="2">
        <f t="shared" si="45"/>
        <v>27777662351.791965</v>
      </c>
      <c r="AV77">
        <f t="shared" si="43"/>
        <v>0.94182336776479292</v>
      </c>
      <c r="AW77">
        <f t="shared" ref="AW77:AW114" si="87">((AP77)^2)/AVERAGE($Q$13:$Q$115)</f>
        <v>9.3512389164491907</v>
      </c>
      <c r="AX77">
        <f t="shared" si="72"/>
        <v>0.37516768138121381</v>
      </c>
      <c r="AZ77" s="1">
        <f t="shared" ref="AZ77:AZ114" si="88">G77/COUNT($A$13:$A$115)</f>
        <v>122.9188809408908</v>
      </c>
      <c r="BA77">
        <f t="shared" ref="BA77:BA108" si="89">IF($BA$116=AZ77,1,0)</f>
        <v>0</v>
      </c>
      <c r="BB77" s="1">
        <f t="shared" ref="BB77:BB114" si="90">I77/SUM($A$13:$A$115)</f>
        <v>545.83769063785257</v>
      </c>
      <c r="BC77">
        <f t="shared" ref="BC77:BC108" si="91">IF($BC$116=BB77,1,0)</f>
        <v>0</v>
      </c>
      <c r="BD77" s="1">
        <f t="shared" ref="BD77:BD114" si="92">K77/SUM($A$13:$A$115)</f>
        <v>11.722257189336949</v>
      </c>
      <c r="BE77">
        <f t="shared" ref="BE77:BE108" si="93">IF($BE$116=BD77,1,0)</f>
        <v>0</v>
      </c>
    </row>
    <row r="78" spans="1:57" x14ac:dyDescent="0.3">
      <c r="A78">
        <v>1</v>
      </c>
      <c r="B78">
        <v>66</v>
      </c>
      <c r="C78" s="30">
        <v>44348</v>
      </c>
      <c r="D78" s="10">
        <f>Decomposition!I76</f>
        <v>3922.4364160767364</v>
      </c>
      <c r="E78" s="10"/>
      <c r="F78" s="9">
        <f t="shared" ref="F78:F109" si="94">$S$3*D77+(1-$S$3)*F77</f>
        <v>54375.056515772245</v>
      </c>
      <c r="G78" s="10">
        <f t="shared" si="73"/>
        <v>14443.534851483077</v>
      </c>
      <c r="H78" s="9">
        <f t="shared" ref="H78:H109" si="95">$T$3*D77+(1-$T$3)*H77</f>
        <v>4886.7122036242545</v>
      </c>
      <c r="I78" s="10">
        <f t="shared" si="74"/>
        <v>51082.312164011099</v>
      </c>
      <c r="J78" s="9">
        <f t="shared" ref="J78:J109" si="96">$U$3*D77+(1-$U$3)*J77</f>
        <v>4826.0830984815893</v>
      </c>
      <c r="K78" s="10">
        <f t="shared" si="75"/>
        <v>1634.8207065417173</v>
      </c>
      <c r="L78" s="9">
        <f t="shared" ref="L78:L109" si="97">$V$3*D77+(1-$V$3)*L77</f>
        <v>4621.9385771222596</v>
      </c>
      <c r="M78" s="10">
        <f t="shared" si="76"/>
        <v>1370.0470800397225</v>
      </c>
      <c r="O78">
        <f>Decomposition!H76</f>
        <v>0.67381589390901009</v>
      </c>
      <c r="Q78" s="118">
        <f>Decomposition!C76</f>
        <v>2643</v>
      </c>
      <c r="R78" s="31">
        <f t="shared" si="77"/>
        <v>2643</v>
      </c>
      <c r="S78" s="119">
        <f t="shared" si="78"/>
        <v>36638.777312528022</v>
      </c>
      <c r="T78" s="36">
        <f t="shared" si="79"/>
        <v>3292.7443517611455</v>
      </c>
      <c r="U78" s="36">
        <f t="shared" si="80"/>
        <v>3251.8914970825372</v>
      </c>
      <c r="V78" s="93">
        <f t="shared" si="81"/>
        <v>3114.3356739361734</v>
      </c>
      <c r="W78" s="10"/>
      <c r="X78" s="10">
        <f t="shared" ref="X78:X114" si="98">ABS($Q78-S78)</f>
        <v>33995.777312528022</v>
      </c>
      <c r="Y78" s="10">
        <f t="shared" ref="Y78:Y114" si="99">ABS($Q78-T78)</f>
        <v>649.74435176114548</v>
      </c>
      <c r="Z78" s="10">
        <f t="shared" ref="Z78:Z114" si="100">ABS($Q78-U78)</f>
        <v>608.89149708253717</v>
      </c>
      <c r="AA78" s="10">
        <f t="shared" ref="AA78:AA114" si="101">ABS($Q78-V78)</f>
        <v>471.33567393617341</v>
      </c>
      <c r="AB78" s="10">
        <f t="shared" ref="AB78:AB114" si="102">IF(X78&lt;Y78&lt;Z78&lt;AA78,1,0)</f>
        <v>0</v>
      </c>
      <c r="AC78" s="39">
        <f t="shared" ref="AC78:AC115" si="103">IF($Q78=0,0,(ABS(($Q78-S78)/$Q78))*100/COUNT($A$13:$A$133))</f>
        <v>12.487933802984996</v>
      </c>
      <c r="AD78" s="39">
        <f t="shared" ref="AD78:AD115" si="104">IF($Q78=0,0,(ABS(($Q78-T78)/$Q78))*100/COUNT($A$13:$A$133))</f>
        <v>0.23867565606939212</v>
      </c>
      <c r="AE78" s="39">
        <f t="shared" ref="AE78:AE115" si="105">IF($Q78=0,0,(ABS(($Q78-U78)/$Q78))*100/COUNT($A$13:$A$133))</f>
        <v>0.22366885860159541</v>
      </c>
      <c r="AF78" s="39">
        <f t="shared" ref="AF78:AF115" si="106">IF($Q78=0,0,(ABS(($Q78-V78)/$Q78))*100/COUNT($A$13:$A$133))</f>
        <v>0.17313940613827822</v>
      </c>
      <c r="AG78" s="47">
        <f t="shared" si="82"/>
        <v>1</v>
      </c>
      <c r="AH78" s="47">
        <f t="shared" si="83"/>
        <v>0</v>
      </c>
      <c r="AI78" s="47">
        <f t="shared" si="84"/>
        <v>0</v>
      </c>
      <c r="AJ78" s="47">
        <f t="shared" si="84"/>
        <v>0</v>
      </c>
      <c r="AK78" s="48">
        <f t="shared" ref="AK78:AK115" si="107">IF(AG78=1,AVERAGE(AC$13:AC$66,AC$88:AC$115),AC78)</f>
        <v>0.2020714786066114</v>
      </c>
      <c r="AL78" s="48">
        <f t="shared" ref="AL78:AL115" si="108">IF(AH78=1,AVERAGE(AD$13:AD$66,AD$88:AD$115),AD78)</f>
        <v>0.23867565606939212</v>
      </c>
      <c r="AM78" s="48">
        <f t="shared" ref="AM78:AM115" si="109">IF(AI78=1,AVERAGE(AE$13:AE$66,AE$88:AE$115),AE78)</f>
        <v>0.22366885860159541</v>
      </c>
      <c r="AN78" s="48">
        <f t="shared" ref="AN78:AN115" si="110">IF(AJ78=1,AVERAGE(AF$13:AF$66,AF$88:AF$115),AF78)</f>
        <v>0.17313940613827822</v>
      </c>
      <c r="AO78" s="48"/>
      <c r="AP78" s="1">
        <f t="shared" si="85"/>
        <v>1279.4364160767364</v>
      </c>
      <c r="AQ78">
        <f t="shared" si="71"/>
        <v>4.0340409133457447E-2</v>
      </c>
      <c r="AR78" s="1">
        <f t="shared" si="44"/>
        <v>11220513.350320337</v>
      </c>
      <c r="AS78" s="1">
        <f t="shared" ref="AS78:AS114" si="111">SQRT(AR78)</f>
        <v>3349.7034719987287</v>
      </c>
      <c r="AT78" s="1">
        <f t="shared" si="86"/>
        <v>1155712875.0829949</v>
      </c>
      <c r="AU78" s="2">
        <f t="shared" si="45"/>
        <v>28017510711.869633</v>
      </c>
      <c r="AV78">
        <f t="shared" ref="AV78:AV114" si="112">1-(AT78/AU78)</f>
        <v>0.95875033699573542</v>
      </c>
      <c r="AW78">
        <f t="shared" si="87"/>
        <v>9.6276147800506671</v>
      </c>
      <c r="AX78">
        <f t="shared" si="72"/>
        <v>0.48408490960148937</v>
      </c>
      <c r="AZ78" s="1">
        <f t="shared" si="88"/>
        <v>140.22849370371918</v>
      </c>
      <c r="BA78">
        <f t="shared" si="89"/>
        <v>0</v>
      </c>
      <c r="BB78" s="1">
        <f t="shared" si="90"/>
        <v>495.94477829136991</v>
      </c>
      <c r="BC78">
        <f t="shared" si="91"/>
        <v>0</v>
      </c>
      <c r="BD78" s="1">
        <f t="shared" si="92"/>
        <v>15.87204569457978</v>
      </c>
      <c r="BE78">
        <f t="shared" si="93"/>
        <v>0</v>
      </c>
    </row>
    <row r="79" spans="1:57" x14ac:dyDescent="0.3">
      <c r="A79">
        <v>1</v>
      </c>
      <c r="B79">
        <v>67</v>
      </c>
      <c r="C79" s="30">
        <v>44378</v>
      </c>
      <c r="D79" s="10">
        <f>Decomposition!I77</f>
        <v>2341.0927517114542</v>
      </c>
      <c r="E79" s="10"/>
      <c r="F79" s="9">
        <f t="shared" si="94"/>
        <v>49329.794505802696</v>
      </c>
      <c r="G79" s="10">
        <f t="shared" si="73"/>
        <v>3250.0670385632257</v>
      </c>
      <c r="H79" s="9">
        <f t="shared" si="95"/>
        <v>4501.0018886052476</v>
      </c>
      <c r="I79" s="10">
        <f t="shared" si="74"/>
        <v>45476.88958429933</v>
      </c>
      <c r="J79" s="9">
        <f t="shared" si="96"/>
        <v>4193.5304207981917</v>
      </c>
      <c r="K79" s="10">
        <f t="shared" si="75"/>
        <v>911.29577502390475</v>
      </c>
      <c r="L79" s="9">
        <f t="shared" si="97"/>
        <v>3922.4364160767364</v>
      </c>
      <c r="M79" s="10">
        <f t="shared" si="76"/>
        <v>332.73030249539352</v>
      </c>
      <c r="O79">
        <f>Decomposition!H77</f>
        <v>0.85601050985057181</v>
      </c>
      <c r="Q79" s="118">
        <f>Decomposition!C77</f>
        <v>2004</v>
      </c>
      <c r="R79" s="31">
        <f t="shared" si="77"/>
        <v>2004</v>
      </c>
      <c r="S79" s="119">
        <f t="shared" si="78"/>
        <v>42226.822545736104</v>
      </c>
      <c r="T79" s="36">
        <f t="shared" si="79"/>
        <v>3852.9049215033647</v>
      </c>
      <c r="U79" s="36">
        <f t="shared" si="80"/>
        <v>3589.7061135813428</v>
      </c>
      <c r="V79" s="93">
        <f t="shared" si="81"/>
        <v>3357.6467963822965</v>
      </c>
      <c r="W79" s="10"/>
      <c r="X79" s="10">
        <f t="shared" si="98"/>
        <v>40222.822545736104</v>
      </c>
      <c r="Y79" s="10">
        <f t="shared" si="99"/>
        <v>1848.9049215033647</v>
      </c>
      <c r="Z79" s="10">
        <f t="shared" si="100"/>
        <v>1585.7061135813428</v>
      </c>
      <c r="AA79" s="10">
        <f t="shared" si="101"/>
        <v>1353.6467963822965</v>
      </c>
      <c r="AB79" s="10">
        <f t="shared" si="102"/>
        <v>0</v>
      </c>
      <c r="AC79" s="39">
        <f t="shared" si="103"/>
        <v>19.486668675142969</v>
      </c>
      <c r="AD79" s="39">
        <f t="shared" si="104"/>
        <v>0.89573519054287765</v>
      </c>
      <c r="AE79" s="39">
        <f t="shared" si="105"/>
        <v>0.7682238017079156</v>
      </c>
      <c r="AF79" s="39">
        <f t="shared" si="106"/>
        <v>0.65579849833454296</v>
      </c>
      <c r="AG79" s="47">
        <f t="shared" si="82"/>
        <v>1</v>
      </c>
      <c r="AH79" s="47">
        <f t="shared" si="83"/>
        <v>0</v>
      </c>
      <c r="AI79" s="47">
        <f t="shared" si="84"/>
        <v>0</v>
      </c>
      <c r="AJ79" s="47">
        <f t="shared" si="84"/>
        <v>0</v>
      </c>
      <c r="AK79" s="48">
        <f t="shared" si="107"/>
        <v>0.2020714786066114</v>
      </c>
      <c r="AL79" s="48">
        <f t="shared" si="108"/>
        <v>0.89573519054287765</v>
      </c>
      <c r="AM79" s="48">
        <f t="shared" si="109"/>
        <v>0.7682238017079156</v>
      </c>
      <c r="AN79" s="48">
        <f t="shared" si="110"/>
        <v>0.65579849833454296</v>
      </c>
      <c r="AO79" s="48"/>
      <c r="AP79" s="1">
        <f t="shared" si="85"/>
        <v>337.09275171145418</v>
      </c>
      <c r="AQ79">
        <f t="shared" si="71"/>
        <v>1.4017496328653284E-2</v>
      </c>
      <c r="AR79" s="1">
        <f t="shared" ref="AR79:AR115" si="113">1/SUM($A$13:$A$133)*(SUM(Q79-S79))^2</f>
        <v>15707528.675201714</v>
      </c>
      <c r="AS79" s="1">
        <f t="shared" si="111"/>
        <v>3963.2724704720608</v>
      </c>
      <c r="AT79" s="1">
        <f t="shared" si="86"/>
        <v>1617875453.5457766</v>
      </c>
      <c r="AU79" s="2">
        <f t="shared" ref="AU79:AU115" si="114">(Q79-AVERAGE($Q$13:$Q$115))^2</f>
        <v>28231836194.325947</v>
      </c>
      <c r="AV79">
        <f t="shared" si="112"/>
        <v>0.94269322610086059</v>
      </c>
      <c r="AW79">
        <f t="shared" si="87"/>
        <v>0.66831332162890611</v>
      </c>
      <c r="AX79">
        <f t="shared" si="72"/>
        <v>0.16820995594383942</v>
      </c>
      <c r="AZ79" s="1">
        <f t="shared" si="88"/>
        <v>31.55404891808957</v>
      </c>
      <c r="BA79">
        <f t="shared" si="89"/>
        <v>0</v>
      </c>
      <c r="BB79" s="1">
        <f t="shared" si="90"/>
        <v>441.52319984756633</v>
      </c>
      <c r="BC79">
        <f t="shared" si="91"/>
        <v>0</v>
      </c>
      <c r="BD79" s="1">
        <f t="shared" si="92"/>
        <v>8.8475317963485907</v>
      </c>
      <c r="BE79">
        <f t="shared" si="93"/>
        <v>0</v>
      </c>
    </row>
    <row r="80" spans="1:57" x14ac:dyDescent="0.3">
      <c r="A80">
        <v>1</v>
      </c>
      <c r="B80">
        <v>68</v>
      </c>
      <c r="C80" s="30">
        <v>44409</v>
      </c>
      <c r="D80" s="10">
        <f>Decomposition!I78</f>
        <v>2489.8539643077465</v>
      </c>
      <c r="E80" s="10"/>
      <c r="F80" s="9">
        <f t="shared" si="94"/>
        <v>44630.924330393573</v>
      </c>
      <c r="G80" s="10">
        <f t="shared" si="73"/>
        <v>8127.3482928583326</v>
      </c>
      <c r="H80" s="9">
        <f t="shared" si="95"/>
        <v>3637.0382338477302</v>
      </c>
      <c r="I80" s="10">
        <f t="shared" si="74"/>
        <v>41880.344138739893</v>
      </c>
      <c r="J80" s="9">
        <f t="shared" si="96"/>
        <v>2896.8240524374755</v>
      </c>
      <c r="K80" s="10">
        <f t="shared" si="75"/>
        <v>1446.2592689230378</v>
      </c>
      <c r="L80" s="9">
        <f t="shared" si="97"/>
        <v>2341.0927517114542</v>
      </c>
      <c r="M80" s="10">
        <f t="shared" si="76"/>
        <v>150.31378678676174</v>
      </c>
      <c r="O80">
        <f>Decomposition!H78</f>
        <v>0.756269253937361</v>
      </c>
      <c r="Q80" s="118">
        <f>Decomposition!C78</f>
        <v>1883</v>
      </c>
      <c r="R80" s="31">
        <f t="shared" si="77"/>
        <v>1883.0000000000002</v>
      </c>
      <c r="S80" s="119">
        <f t="shared" si="78"/>
        <v>33752.99584588156</v>
      </c>
      <c r="T80" s="36">
        <f t="shared" si="79"/>
        <v>2750.5801916536802</v>
      </c>
      <c r="U80" s="36">
        <f t="shared" si="80"/>
        <v>2190.7789649246924</v>
      </c>
      <c r="V80" s="93">
        <f t="shared" si="81"/>
        <v>1770.496468734985</v>
      </c>
      <c r="W80" s="10"/>
      <c r="X80" s="10">
        <f t="shared" si="98"/>
        <v>31869.99584588156</v>
      </c>
      <c r="Y80" s="10">
        <f t="shared" si="99"/>
        <v>867.58019165368023</v>
      </c>
      <c r="Z80" s="10">
        <f t="shared" si="100"/>
        <v>307.77896492469245</v>
      </c>
      <c r="AA80" s="10">
        <f t="shared" si="101"/>
        <v>112.503531265015</v>
      </c>
      <c r="AB80" s="10">
        <f t="shared" si="102"/>
        <v>0</v>
      </c>
      <c r="AC80" s="39">
        <f t="shared" si="103"/>
        <v>16.432152702969113</v>
      </c>
      <c r="AD80" s="39">
        <f t="shared" si="104"/>
        <v>0.44732387981050697</v>
      </c>
      <c r="AE80" s="39">
        <f t="shared" si="105"/>
        <v>0.15869066864211337</v>
      </c>
      <c r="AF80" s="39">
        <f t="shared" si="106"/>
        <v>5.8006760161184126E-2</v>
      </c>
      <c r="AG80" s="47">
        <f t="shared" si="82"/>
        <v>1</v>
      </c>
      <c r="AH80" s="47">
        <f t="shared" si="83"/>
        <v>0</v>
      </c>
      <c r="AI80" s="47">
        <f t="shared" si="84"/>
        <v>0</v>
      </c>
      <c r="AJ80" s="47">
        <f t="shared" si="84"/>
        <v>0</v>
      </c>
      <c r="AK80" s="48">
        <f t="shared" si="107"/>
        <v>0.2020714786066114</v>
      </c>
      <c r="AL80" s="48">
        <f t="shared" si="108"/>
        <v>0.44732387981050697</v>
      </c>
      <c r="AM80" s="48">
        <f t="shared" si="109"/>
        <v>0.15869066864211337</v>
      </c>
      <c r="AN80" s="48">
        <f t="shared" si="110"/>
        <v>5.8006760161184126E-2</v>
      </c>
      <c r="AO80" s="48"/>
      <c r="AP80" s="1">
        <f t="shared" si="85"/>
        <v>606.85396430774654</v>
      </c>
      <c r="AQ80">
        <f t="shared" si="71"/>
        <v>2.6856698721355397E-2</v>
      </c>
      <c r="AR80" s="1">
        <f t="shared" si="113"/>
        <v>9861132.3807427939</v>
      </c>
      <c r="AS80" s="1">
        <f t="shared" si="111"/>
        <v>3140.2440001921495</v>
      </c>
      <c r="AT80" s="1">
        <f t="shared" si="86"/>
        <v>1015696635.2165079</v>
      </c>
      <c r="AU80" s="2">
        <f t="shared" si="114"/>
        <v>28272512478.859924</v>
      </c>
      <c r="AV80">
        <f t="shared" si="112"/>
        <v>0.96407476569420669</v>
      </c>
      <c r="AW80">
        <f t="shared" si="87"/>
        <v>2.1659562307685594</v>
      </c>
      <c r="AX80">
        <f t="shared" si="72"/>
        <v>0.32228038465626474</v>
      </c>
      <c r="AZ80" s="1">
        <f t="shared" si="88"/>
        <v>78.906294105420699</v>
      </c>
      <c r="BA80">
        <f t="shared" si="89"/>
        <v>0</v>
      </c>
      <c r="BB80" s="1">
        <f t="shared" si="90"/>
        <v>406.60528290038729</v>
      </c>
      <c r="BC80">
        <f t="shared" si="91"/>
        <v>0</v>
      </c>
      <c r="BD80" s="1">
        <f t="shared" si="92"/>
        <v>14.041352125466386</v>
      </c>
      <c r="BE80">
        <f t="shared" si="93"/>
        <v>0</v>
      </c>
    </row>
    <row r="81" spans="1:57" x14ac:dyDescent="0.3">
      <c r="A81">
        <v>1</v>
      </c>
      <c r="B81">
        <v>69</v>
      </c>
      <c r="C81" s="30">
        <v>44440</v>
      </c>
      <c r="D81" s="10">
        <f>Decomposition!I79</f>
        <v>2394.7633472690973</v>
      </c>
      <c r="E81" s="10"/>
      <c r="F81" s="9">
        <f t="shared" si="94"/>
        <v>40416.817293784996</v>
      </c>
      <c r="G81" s="10">
        <f t="shared" si="73"/>
        <v>4754.6006148755696</v>
      </c>
      <c r="H81" s="9">
        <f t="shared" si="95"/>
        <v>3178.1645260317368</v>
      </c>
      <c r="I81" s="10">
        <f t="shared" si="74"/>
        <v>37816.967787320777</v>
      </c>
      <c r="J81" s="9">
        <f t="shared" si="96"/>
        <v>2611.9449907466651</v>
      </c>
      <c r="K81" s="10">
        <f t="shared" si="75"/>
        <v>1041.5023616021144</v>
      </c>
      <c r="L81" s="9">
        <f t="shared" si="97"/>
        <v>2489.8539643077465</v>
      </c>
      <c r="M81" s="10">
        <f t="shared" si="76"/>
        <v>353.19179987812413</v>
      </c>
      <c r="O81">
        <f>Decomposition!H79</f>
        <v>0.81803490195971706</v>
      </c>
      <c r="Q81" s="118">
        <f>Decomposition!C79</f>
        <v>1959</v>
      </c>
      <c r="R81" s="31">
        <f t="shared" si="77"/>
        <v>1958.9999999999998</v>
      </c>
      <c r="S81" s="119">
        <f t="shared" si="78"/>
        <v>33062.367172445207</v>
      </c>
      <c r="T81" s="36">
        <f t="shared" si="79"/>
        <v>2599.8495064642225</v>
      </c>
      <c r="U81" s="36">
        <f t="shared" si="80"/>
        <v>2136.6621644296224</v>
      </c>
      <c r="V81" s="93">
        <f t="shared" si="81"/>
        <v>2036.7874435865003</v>
      </c>
      <c r="W81" s="10"/>
      <c r="X81" s="10">
        <f t="shared" si="98"/>
        <v>31103.367172445207</v>
      </c>
      <c r="Y81" s="10">
        <f t="shared" si="99"/>
        <v>640.84950646422249</v>
      </c>
      <c r="Z81" s="10">
        <f t="shared" si="100"/>
        <v>177.66216442962241</v>
      </c>
      <c r="AA81" s="10">
        <f t="shared" si="101"/>
        <v>77.787443586500331</v>
      </c>
      <c r="AB81" s="10">
        <f t="shared" si="102"/>
        <v>0</v>
      </c>
      <c r="AC81" s="39">
        <f t="shared" si="103"/>
        <v>15.414723765565553</v>
      </c>
      <c r="AD81" s="39">
        <f t="shared" si="104"/>
        <v>0.3176028518930416</v>
      </c>
      <c r="AE81" s="39">
        <f t="shared" si="105"/>
        <v>8.8048768903107089E-2</v>
      </c>
      <c r="AF81" s="39">
        <f t="shared" si="106"/>
        <v>3.8551194430733099E-2</v>
      </c>
      <c r="AG81" s="47">
        <f t="shared" si="82"/>
        <v>1</v>
      </c>
      <c r="AH81" s="47">
        <f t="shared" si="83"/>
        <v>0</v>
      </c>
      <c r="AI81" s="47">
        <f t="shared" si="84"/>
        <v>0</v>
      </c>
      <c r="AJ81" s="47">
        <f t="shared" si="84"/>
        <v>0</v>
      </c>
      <c r="AK81" s="48">
        <f t="shared" si="107"/>
        <v>0.2020714786066114</v>
      </c>
      <c r="AL81" s="48">
        <f t="shared" si="108"/>
        <v>0.3176028518930416</v>
      </c>
      <c r="AM81" s="48">
        <f t="shared" si="109"/>
        <v>8.8048768903107089E-2</v>
      </c>
      <c r="AN81" s="48">
        <f t="shared" si="110"/>
        <v>3.8551194430733099E-2</v>
      </c>
      <c r="AO81" s="48"/>
      <c r="AP81" s="1">
        <f t="shared" si="85"/>
        <v>435.76334726909727</v>
      </c>
      <c r="AQ81">
        <f t="shared" si="71"/>
        <v>1.8536810756725253E-2</v>
      </c>
      <c r="AR81" s="1">
        <f t="shared" si="113"/>
        <v>9392421.839455748</v>
      </c>
      <c r="AS81" s="1">
        <f t="shared" si="111"/>
        <v>3064.7058324504405</v>
      </c>
      <c r="AT81" s="1">
        <f t="shared" si="86"/>
        <v>967419449.46394217</v>
      </c>
      <c r="AU81" s="2">
        <f t="shared" si="114"/>
        <v>28246960318.160896</v>
      </c>
      <c r="AV81">
        <f t="shared" si="112"/>
        <v>0.96575137860614491</v>
      </c>
      <c r="AW81">
        <f t="shared" si="87"/>
        <v>1.116818722952593</v>
      </c>
      <c r="AX81">
        <f t="shared" si="72"/>
        <v>0.22244172908070303</v>
      </c>
      <c r="AZ81" s="1">
        <f t="shared" si="88"/>
        <v>46.161171018209416</v>
      </c>
      <c r="BA81">
        <f t="shared" si="89"/>
        <v>0</v>
      </c>
      <c r="BB81" s="1">
        <f t="shared" si="90"/>
        <v>367.15502706136675</v>
      </c>
      <c r="BC81">
        <f t="shared" si="91"/>
        <v>0</v>
      </c>
      <c r="BD81" s="1">
        <f t="shared" si="92"/>
        <v>10.111673413612762</v>
      </c>
      <c r="BE81">
        <f t="shared" si="93"/>
        <v>0</v>
      </c>
    </row>
    <row r="82" spans="1:57" x14ac:dyDescent="0.3">
      <c r="A82">
        <v>1</v>
      </c>
      <c r="B82">
        <v>70</v>
      </c>
      <c r="C82" s="30">
        <v>44470</v>
      </c>
      <c r="D82" s="10">
        <f>Decomposition!I80</f>
        <v>10663.749474927648</v>
      </c>
      <c r="E82" s="10"/>
      <c r="F82" s="9">
        <f t="shared" si="94"/>
        <v>36614.611899133408</v>
      </c>
      <c r="G82" s="10">
        <f t="shared" si="73"/>
        <v>444.04217840428464</v>
      </c>
      <c r="H82" s="9">
        <f t="shared" si="95"/>
        <v>2864.8040545266808</v>
      </c>
      <c r="I82" s="10">
        <f t="shared" si="74"/>
        <v>33989.912615027657</v>
      </c>
      <c r="J82" s="9">
        <f t="shared" si="96"/>
        <v>2459.9178403123678</v>
      </c>
      <c r="K82" s="10">
        <f t="shared" si="75"/>
        <v>611.05668767803354</v>
      </c>
      <c r="L82" s="9">
        <f t="shared" si="97"/>
        <v>2394.7633472690973</v>
      </c>
      <c r="M82" s="10">
        <f t="shared" si="76"/>
        <v>141.01598042044998</v>
      </c>
      <c r="O82">
        <f>Decomposition!H80</f>
        <v>0.91618806527394414</v>
      </c>
      <c r="Q82" s="118">
        <f>Decomposition!C80</f>
        <v>9770</v>
      </c>
      <c r="R82" s="31">
        <f t="shared" si="77"/>
        <v>9770</v>
      </c>
      <c r="S82" s="119">
        <f t="shared" si="78"/>
        <v>33545.870436623372</v>
      </c>
      <c r="T82" s="36">
        <f t="shared" si="79"/>
        <v>2624.6992841057504</v>
      </c>
      <c r="U82" s="36">
        <f t="shared" si="80"/>
        <v>2253.7473668486473</v>
      </c>
      <c r="V82" s="93">
        <f t="shared" si="81"/>
        <v>2194.0535979234287</v>
      </c>
      <c r="W82" s="10"/>
      <c r="X82" s="10">
        <f t="shared" si="98"/>
        <v>23775.870436623372</v>
      </c>
      <c r="Y82" s="10">
        <f t="shared" si="99"/>
        <v>7145.3007158942492</v>
      </c>
      <c r="Z82" s="10">
        <f t="shared" si="100"/>
        <v>7516.2526331513527</v>
      </c>
      <c r="AA82" s="10">
        <f t="shared" si="101"/>
        <v>7575.9464020765718</v>
      </c>
      <c r="AB82" s="10">
        <f t="shared" si="102"/>
        <v>0</v>
      </c>
      <c r="AC82" s="39">
        <f t="shared" si="103"/>
        <v>2.3626785420619267</v>
      </c>
      <c r="AD82" s="39">
        <f t="shared" si="104"/>
        <v>0.71004965824589328</v>
      </c>
      <c r="AE82" s="39">
        <f t="shared" si="105"/>
        <v>0.74691224703633585</v>
      </c>
      <c r="AF82" s="39">
        <f t="shared" si="106"/>
        <v>0.75284419334763353</v>
      </c>
      <c r="AG82" s="47">
        <f t="shared" si="82"/>
        <v>1</v>
      </c>
      <c r="AH82" s="47">
        <f t="shared" si="83"/>
        <v>0</v>
      </c>
      <c r="AI82" s="47">
        <f t="shared" si="84"/>
        <v>0</v>
      </c>
      <c r="AJ82" s="47">
        <f t="shared" si="84"/>
        <v>0</v>
      </c>
      <c r="AK82" s="48">
        <f t="shared" si="107"/>
        <v>0.2020714786066114</v>
      </c>
      <c r="AL82" s="48">
        <f t="shared" si="108"/>
        <v>0.71004965824589328</v>
      </c>
      <c r="AM82" s="48">
        <f t="shared" si="109"/>
        <v>0.74691224703633585</v>
      </c>
      <c r="AN82" s="48">
        <f t="shared" si="110"/>
        <v>0.75284419334763353</v>
      </c>
      <c r="AO82" s="48"/>
      <c r="AP82" s="1">
        <f t="shared" si="85"/>
        <v>893.74947492764841</v>
      </c>
      <c r="AQ82">
        <f t="shared" si="71"/>
        <v>7.6232469714060756E-3</v>
      </c>
      <c r="AR82" s="1">
        <f t="shared" si="113"/>
        <v>5488271.9904767107</v>
      </c>
      <c r="AS82" s="1">
        <f t="shared" si="111"/>
        <v>2342.7061255045865</v>
      </c>
      <c r="AT82" s="1">
        <f t="shared" si="86"/>
        <v>565292015.01910126</v>
      </c>
      <c r="AU82" s="2">
        <f t="shared" si="114"/>
        <v>25682408738.0541</v>
      </c>
      <c r="AV82">
        <f t="shared" si="112"/>
        <v>0.9779891356459296</v>
      </c>
      <c r="AW82">
        <f t="shared" si="87"/>
        <v>4.6979986634440971</v>
      </c>
      <c r="AX82">
        <f t="shared" si="72"/>
        <v>9.1478963656872914E-2</v>
      </c>
      <c r="AZ82" s="1">
        <f t="shared" si="88"/>
        <v>4.3110891107212099</v>
      </c>
      <c r="BA82">
        <f t="shared" si="89"/>
        <v>1</v>
      </c>
      <c r="BB82" s="1">
        <f t="shared" si="90"/>
        <v>329.99915160221025</v>
      </c>
      <c r="BC82">
        <f t="shared" si="91"/>
        <v>0</v>
      </c>
      <c r="BD82" s="1">
        <f t="shared" si="92"/>
        <v>5.9325892007576071</v>
      </c>
      <c r="BE82">
        <f t="shared" si="93"/>
        <v>0</v>
      </c>
    </row>
    <row r="83" spans="1:57" x14ac:dyDescent="0.3">
      <c r="A83">
        <v>1</v>
      </c>
      <c r="B83">
        <v>71</v>
      </c>
      <c r="C83" s="30">
        <v>44501</v>
      </c>
      <c r="D83" s="10">
        <f>Decomposition!I81</f>
        <v>30136.651619402412</v>
      </c>
      <c r="E83" s="10"/>
      <c r="F83" s="9">
        <f t="shared" si="94"/>
        <v>34019.525656712838</v>
      </c>
      <c r="G83" s="10">
        <f t="shared" si="73"/>
        <v>12818.388101956265</v>
      </c>
      <c r="H83" s="9">
        <f t="shared" si="95"/>
        <v>5984.382222687068</v>
      </c>
      <c r="I83" s="10">
        <f t="shared" si="74"/>
        <v>27012.81073050763</v>
      </c>
      <c r="J83" s="9">
        <f t="shared" si="96"/>
        <v>8202.5999845430633</v>
      </c>
      <c r="K83" s="10">
        <f t="shared" si="75"/>
        <v>3619.4962741617192</v>
      </c>
      <c r="L83" s="9">
        <f t="shared" si="97"/>
        <v>10663.749474927648</v>
      </c>
      <c r="M83" s="10">
        <f t="shared" si="76"/>
        <v>1059.8709780788613</v>
      </c>
      <c r="O83">
        <f>Decomposition!H81</f>
        <v>1.1708334570680377</v>
      </c>
      <c r="Q83" s="118">
        <f>Decomposition!C81</f>
        <v>35285</v>
      </c>
      <c r="R83" s="31">
        <f t="shared" si="77"/>
        <v>35285</v>
      </c>
      <c r="S83" s="119">
        <f t="shared" si="78"/>
        <v>39831.198832463895</v>
      </c>
      <c r="T83" s="36">
        <f t="shared" si="79"/>
        <v>7006.7149262052071</v>
      </c>
      <c r="U83" s="36">
        <f t="shared" si="80"/>
        <v>9603.8784968487871</v>
      </c>
      <c r="V83" s="93">
        <f t="shared" si="81"/>
        <v>12485.47466303701</v>
      </c>
      <c r="W83" s="10"/>
      <c r="X83" s="10">
        <f t="shared" si="98"/>
        <v>4546.1988324638951</v>
      </c>
      <c r="Y83" s="10">
        <f t="shared" si="99"/>
        <v>28278.285073794792</v>
      </c>
      <c r="Z83" s="10">
        <f t="shared" si="100"/>
        <v>25681.121503151211</v>
      </c>
      <c r="AA83" s="10">
        <f t="shared" si="101"/>
        <v>22799.52533696299</v>
      </c>
      <c r="AB83" s="10">
        <f t="shared" si="102"/>
        <v>0</v>
      </c>
      <c r="AC83" s="39">
        <f t="shared" si="103"/>
        <v>0.12508956424080464</v>
      </c>
      <c r="AD83" s="39">
        <f t="shared" si="104"/>
        <v>0.77808263292371793</v>
      </c>
      <c r="AE83" s="39">
        <f t="shared" si="105"/>
        <v>0.7066211612005765</v>
      </c>
      <c r="AF83" s="39">
        <f t="shared" si="106"/>
        <v>0.62733347009202434</v>
      </c>
      <c r="AG83" s="47">
        <f t="shared" si="82"/>
        <v>0</v>
      </c>
      <c r="AH83" s="47">
        <f t="shared" si="83"/>
        <v>0</v>
      </c>
      <c r="AI83" s="47">
        <f t="shared" si="84"/>
        <v>0</v>
      </c>
      <c r="AJ83" s="47">
        <f t="shared" si="84"/>
        <v>0</v>
      </c>
      <c r="AK83" s="48">
        <f t="shared" si="107"/>
        <v>0.12508956424080464</v>
      </c>
      <c r="AL83" s="48">
        <f t="shared" si="108"/>
        <v>0.77808263292371793</v>
      </c>
      <c r="AM83" s="48">
        <f t="shared" si="109"/>
        <v>0.7066211612005765</v>
      </c>
      <c r="AN83" s="48">
        <f t="shared" si="110"/>
        <v>0.62733347009202434</v>
      </c>
      <c r="AO83" s="48"/>
      <c r="AP83" s="1">
        <f t="shared" si="85"/>
        <v>-5148.3483805975884</v>
      </c>
      <c r="AQ83">
        <f t="shared" si="71"/>
        <v>-1.2158963630904511E-2</v>
      </c>
      <c r="AR83" s="1">
        <f t="shared" si="113"/>
        <v>200659.45460481633</v>
      </c>
      <c r="AS83" s="1">
        <f t="shared" si="111"/>
        <v>447.95028139830021</v>
      </c>
      <c r="AT83" s="1">
        <f t="shared" si="86"/>
        <v>20667923.824296083</v>
      </c>
      <c r="AU83" s="2">
        <f t="shared" si="114"/>
        <v>18155492903.636627</v>
      </c>
      <c r="AV83">
        <f t="shared" si="112"/>
        <v>0.99886161593441747</v>
      </c>
      <c r="AW83">
        <f t="shared" si="87"/>
        <v>155.88960049162782</v>
      </c>
      <c r="AX83">
        <f t="shared" si="72"/>
        <v>0.14590756357085413</v>
      </c>
      <c r="AZ83" s="1">
        <f t="shared" si="88"/>
        <v>124.45036992190549</v>
      </c>
      <c r="BA83">
        <f t="shared" si="89"/>
        <v>0</v>
      </c>
      <c r="BB83" s="1">
        <f t="shared" si="90"/>
        <v>262.26029835444302</v>
      </c>
      <c r="BC83">
        <f t="shared" si="91"/>
        <v>0</v>
      </c>
      <c r="BD83" s="1">
        <f t="shared" si="92"/>
        <v>35.140740525841935</v>
      </c>
      <c r="BE83">
        <f t="shared" si="93"/>
        <v>0</v>
      </c>
    </row>
    <row r="84" spans="1:57" x14ac:dyDescent="0.3">
      <c r="A84">
        <v>1</v>
      </c>
      <c r="B84">
        <v>72</v>
      </c>
      <c r="C84" s="30">
        <v>44531</v>
      </c>
      <c r="D84" s="10">
        <f>Decomposition!I82</f>
        <v>38354.502669964568</v>
      </c>
      <c r="E84" s="10"/>
      <c r="F84" s="9">
        <f t="shared" si="94"/>
        <v>33631.238252981799</v>
      </c>
      <c r="G84" s="10">
        <f t="shared" si="73"/>
        <v>34954.664317534771</v>
      </c>
      <c r="H84" s="9">
        <f t="shared" si="95"/>
        <v>15645.289981373207</v>
      </c>
      <c r="I84" s="10">
        <f t="shared" si="74"/>
        <v>11855.224950124419</v>
      </c>
      <c r="J84" s="9">
        <f t="shared" si="96"/>
        <v>23556.436128944606</v>
      </c>
      <c r="K84" s="10">
        <f t="shared" si="75"/>
        <v>17141.910966805342</v>
      </c>
      <c r="L84" s="9">
        <f t="shared" si="97"/>
        <v>30136.651619402412</v>
      </c>
      <c r="M84" s="10">
        <f t="shared" si="76"/>
        <v>2650.5493287761383</v>
      </c>
      <c r="O84">
        <f>Decomposition!H82</f>
        <v>1.3918574426414096</v>
      </c>
      <c r="Q84" s="118">
        <f>Decomposition!C82</f>
        <v>53384</v>
      </c>
      <c r="R84" s="31">
        <f t="shared" si="77"/>
        <v>53384</v>
      </c>
      <c r="S84" s="119">
        <f t="shared" si="78"/>
        <v>46809.889267659193</v>
      </c>
      <c r="T84" s="36">
        <f t="shared" si="79"/>
        <v>21776.01330285738</v>
      </c>
      <c r="U84" s="36">
        <f t="shared" si="80"/>
        <v>32787.20094817855</v>
      </c>
      <c r="V84" s="93">
        <f t="shared" si="81"/>
        <v>41945.922852756536</v>
      </c>
      <c r="W84" s="10"/>
      <c r="X84" s="10">
        <f t="shared" si="98"/>
        <v>6574.1107323408069</v>
      </c>
      <c r="Y84" s="10">
        <f t="shared" si="99"/>
        <v>31607.98669714262</v>
      </c>
      <c r="Z84" s="10">
        <f t="shared" si="100"/>
        <v>20596.79905182145</v>
      </c>
      <c r="AA84" s="10">
        <f t="shared" si="101"/>
        <v>11438.077147243464</v>
      </c>
      <c r="AB84" s="10">
        <f t="shared" si="102"/>
        <v>0</v>
      </c>
      <c r="AC84" s="39">
        <f t="shared" si="103"/>
        <v>0.11956076313074435</v>
      </c>
      <c r="AD84" s="39">
        <f t="shared" si="104"/>
        <v>0.57484200744382563</v>
      </c>
      <c r="AE84" s="39">
        <f t="shared" si="105"/>
        <v>0.37458587373223801</v>
      </c>
      <c r="AF84" s="39">
        <f t="shared" si="106"/>
        <v>0.20801980498217465</v>
      </c>
      <c r="AG84" s="47">
        <f t="shared" si="82"/>
        <v>0</v>
      </c>
      <c r="AH84" s="47">
        <f t="shared" si="83"/>
        <v>0</v>
      </c>
      <c r="AI84" s="47">
        <f t="shared" si="84"/>
        <v>0</v>
      </c>
      <c r="AJ84" s="47">
        <f t="shared" si="84"/>
        <v>0</v>
      </c>
      <c r="AK84" s="48">
        <f t="shared" si="107"/>
        <v>0.11956076313074435</v>
      </c>
      <c r="AL84" s="48">
        <f t="shared" si="108"/>
        <v>0.57484200744382563</v>
      </c>
      <c r="AM84" s="48">
        <f t="shared" si="109"/>
        <v>0.37458587373223801</v>
      </c>
      <c r="AN84" s="48">
        <f t="shared" si="110"/>
        <v>0.20801980498217465</v>
      </c>
      <c r="AO84" s="48"/>
      <c r="AP84" s="1">
        <f t="shared" si="85"/>
        <v>-15029.497330035432</v>
      </c>
      <c r="AQ84">
        <f t="shared" si="71"/>
        <v>-2.3461301341905549E-2</v>
      </c>
      <c r="AR84" s="1">
        <f t="shared" si="113"/>
        <v>419601.28078717063</v>
      </c>
      <c r="AS84" s="1">
        <f t="shared" si="111"/>
        <v>647.7663782469499</v>
      </c>
      <c r="AT84" s="1">
        <f t="shared" si="86"/>
        <v>43218931.921078578</v>
      </c>
      <c r="AU84" s="2">
        <f t="shared" si="114"/>
        <v>13605664191.219151</v>
      </c>
      <c r="AV84">
        <f t="shared" si="112"/>
        <v>0.99682346033874836</v>
      </c>
      <c r="AW84">
        <f t="shared" si="87"/>
        <v>1328.5264360904448</v>
      </c>
      <c r="AX84">
        <f t="shared" si="72"/>
        <v>0.28153561610286665</v>
      </c>
      <c r="AZ84" s="1">
        <f t="shared" si="88"/>
        <v>339.36567298577449</v>
      </c>
      <c r="BA84">
        <f t="shared" si="89"/>
        <v>0</v>
      </c>
      <c r="BB84" s="1">
        <f t="shared" si="90"/>
        <v>115.09927136043125</v>
      </c>
      <c r="BC84">
        <f t="shared" si="91"/>
        <v>0</v>
      </c>
      <c r="BD84" s="1">
        <f t="shared" si="92"/>
        <v>166.4263200660713</v>
      </c>
      <c r="BE84">
        <f t="shared" si="93"/>
        <v>0</v>
      </c>
    </row>
    <row r="85" spans="1:57" x14ac:dyDescent="0.3">
      <c r="A85">
        <v>1</v>
      </c>
      <c r="B85">
        <v>73</v>
      </c>
      <c r="C85" s="30">
        <v>44562</v>
      </c>
      <c r="D85" s="10">
        <f>Decomposition!I83</f>
        <v>42799.728001823882</v>
      </c>
      <c r="E85" s="10"/>
      <c r="F85" s="9">
        <f t="shared" si="94"/>
        <v>34103.564694680077</v>
      </c>
      <c r="G85" s="10">
        <f t="shared" si="73"/>
        <v>48357.631212058164</v>
      </c>
      <c r="H85" s="9">
        <f t="shared" si="95"/>
        <v>24728.975056809752</v>
      </c>
      <c r="I85" s="10">
        <f t="shared" si="74"/>
        <v>3496.8497215851239</v>
      </c>
      <c r="J85" s="9">
        <f t="shared" si="96"/>
        <v>33915.082707658577</v>
      </c>
      <c r="K85" s="10">
        <f t="shared" si="75"/>
        <v>26838.918955793401</v>
      </c>
      <c r="L85" s="9">
        <f t="shared" si="97"/>
        <v>38354.502669964568</v>
      </c>
      <c r="M85" s="10">
        <f t="shared" si="76"/>
        <v>13213.391342638584</v>
      </c>
      <c r="O85">
        <f>Decomposition!H83</f>
        <v>1.5205003171334823</v>
      </c>
      <c r="Q85" s="118">
        <f>Decomposition!C83</f>
        <v>65077</v>
      </c>
      <c r="R85" s="31">
        <f t="shared" si="77"/>
        <v>65076.999999999993</v>
      </c>
      <c r="S85" s="119">
        <f t="shared" si="78"/>
        <v>51854.480933643288</v>
      </c>
      <c r="T85" s="36">
        <f t="shared" si="79"/>
        <v>37600.414416265201</v>
      </c>
      <c r="U85" s="36">
        <f t="shared" si="80"/>
        <v>51567.894012603152</v>
      </c>
      <c r="V85" s="93">
        <f t="shared" si="81"/>
        <v>58318.033473178119</v>
      </c>
      <c r="W85" s="10"/>
      <c r="X85" s="10">
        <f t="shared" si="98"/>
        <v>13222.519066356712</v>
      </c>
      <c r="Y85" s="10">
        <f t="shared" si="99"/>
        <v>27476.585583734799</v>
      </c>
      <c r="Z85" s="10">
        <f t="shared" si="100"/>
        <v>13509.105987396848</v>
      </c>
      <c r="AA85" s="10">
        <f t="shared" si="101"/>
        <v>6758.9665268218814</v>
      </c>
      <c r="AB85" s="10">
        <f t="shared" si="102"/>
        <v>0</v>
      </c>
      <c r="AC85" s="39">
        <f t="shared" si="103"/>
        <v>0.19726473488025928</v>
      </c>
      <c r="AD85" s="39">
        <f t="shared" si="104"/>
        <v>0.40991896804151501</v>
      </c>
      <c r="AE85" s="39">
        <f t="shared" si="105"/>
        <v>0.20154028122021317</v>
      </c>
      <c r="AF85" s="39">
        <f t="shared" si="106"/>
        <v>0.10083598543416129</v>
      </c>
      <c r="AG85" s="47">
        <f t="shared" si="82"/>
        <v>0</v>
      </c>
      <c r="AH85" s="47">
        <f t="shared" si="83"/>
        <v>0</v>
      </c>
      <c r="AI85" s="47">
        <f t="shared" si="84"/>
        <v>0</v>
      </c>
      <c r="AJ85" s="47">
        <f t="shared" si="84"/>
        <v>0</v>
      </c>
      <c r="AK85" s="48">
        <f t="shared" si="107"/>
        <v>0.19726473488025928</v>
      </c>
      <c r="AL85" s="48">
        <f t="shared" si="108"/>
        <v>0.40991896804151501</v>
      </c>
      <c r="AM85" s="48">
        <f t="shared" si="109"/>
        <v>0.20154028122021317</v>
      </c>
      <c r="AN85" s="48">
        <f t="shared" si="110"/>
        <v>0.10083598543416129</v>
      </c>
      <c r="AO85" s="48"/>
      <c r="AP85" s="1">
        <f t="shared" si="85"/>
        <v>-22277.271998176118</v>
      </c>
      <c r="AQ85">
        <f t="shared" si="71"/>
        <v>-2.852681182570406E-2</v>
      </c>
      <c r="AR85" s="1">
        <f t="shared" si="113"/>
        <v>1697427.2860210366</v>
      </c>
      <c r="AS85" s="1">
        <f t="shared" si="111"/>
        <v>1302.8535167166863</v>
      </c>
      <c r="AT85" s="1">
        <f t="shared" si="86"/>
        <v>174835010.46016678</v>
      </c>
      <c r="AU85" s="2">
        <f t="shared" si="114"/>
        <v>11014569749.617208</v>
      </c>
      <c r="AV85">
        <f t="shared" si="112"/>
        <v>0.984126932378249</v>
      </c>
      <c r="AW85">
        <f t="shared" si="87"/>
        <v>2918.8064985509664</v>
      </c>
      <c r="AX85">
        <f t="shared" si="72"/>
        <v>0.34232174190844872</v>
      </c>
      <c r="AZ85" s="1">
        <f t="shared" si="88"/>
        <v>469.49156516561322</v>
      </c>
      <c r="BA85">
        <f t="shared" si="89"/>
        <v>0</v>
      </c>
      <c r="BB85" s="1">
        <f t="shared" si="90"/>
        <v>33.949997296942954</v>
      </c>
      <c r="BC85">
        <f t="shared" si="91"/>
        <v>0</v>
      </c>
      <c r="BD85" s="1">
        <f t="shared" si="92"/>
        <v>260.57202869702331</v>
      </c>
      <c r="BE85">
        <f t="shared" si="93"/>
        <v>0</v>
      </c>
    </row>
    <row r="86" spans="1:57" x14ac:dyDescent="0.3">
      <c r="A86">
        <v>1</v>
      </c>
      <c r="B86">
        <v>74</v>
      </c>
      <c r="C86" s="30">
        <v>44593</v>
      </c>
      <c r="D86" s="10">
        <f>Decomposition!I84</f>
        <v>48242.654991793577</v>
      </c>
      <c r="E86" s="10"/>
      <c r="F86" s="9">
        <f t="shared" si="94"/>
        <v>34973.181025394457</v>
      </c>
      <c r="G86" s="10">
        <f t="shared" si="73"/>
        <v>38399.207853026957</v>
      </c>
      <c r="H86" s="9">
        <f t="shared" si="95"/>
        <v>31957.276234815406</v>
      </c>
      <c r="I86" s="10">
        <f t="shared" si="74"/>
        <v>1329.8501778945574</v>
      </c>
      <c r="J86" s="9">
        <f t="shared" si="96"/>
        <v>40134.334413574295</v>
      </c>
      <c r="K86" s="10">
        <f t="shared" si="75"/>
        <v>13634.781856540882</v>
      </c>
      <c r="L86" s="9">
        <f t="shared" si="97"/>
        <v>42799.728001823882</v>
      </c>
      <c r="M86" s="10">
        <f t="shared" si="76"/>
        <v>2792.3300895324064</v>
      </c>
      <c r="O86">
        <f>Decomposition!H84</f>
        <v>1.1359864006100491</v>
      </c>
      <c r="Q86" s="118">
        <f>Decomposition!C84</f>
        <v>54803</v>
      </c>
      <c r="R86" s="31">
        <f t="shared" si="77"/>
        <v>54803</v>
      </c>
      <c r="S86" s="119">
        <f t="shared" si="78"/>
        <v>39729.058030921515</v>
      </c>
      <c r="T86" s="36">
        <f t="shared" si="79"/>
        <v>36303.031203289014</v>
      </c>
      <c r="U86" s="36">
        <f t="shared" si="80"/>
        <v>45592.058091356288</v>
      </c>
      <c r="V86" s="93">
        <f t="shared" si="81"/>
        <v>48619.908959881039</v>
      </c>
      <c r="W86" s="10"/>
      <c r="X86" s="10">
        <f t="shared" si="98"/>
        <v>15073.941969078485</v>
      </c>
      <c r="Y86" s="10">
        <f t="shared" si="99"/>
        <v>18499.968796710986</v>
      </c>
      <c r="Z86" s="10">
        <f t="shared" si="100"/>
        <v>9210.9419086437119</v>
      </c>
      <c r="AA86" s="10">
        <f t="shared" si="101"/>
        <v>6183.0910401189612</v>
      </c>
      <c r="AB86" s="10">
        <f t="shared" si="102"/>
        <v>0</v>
      </c>
      <c r="AC86" s="39">
        <f t="shared" si="103"/>
        <v>0.26704551056712555</v>
      </c>
      <c r="AD86" s="39">
        <f t="shared" si="104"/>
        <v>0.32773999149842775</v>
      </c>
      <c r="AE86" s="39">
        <f t="shared" si="105"/>
        <v>0.16317833051524377</v>
      </c>
      <c r="AF86" s="39">
        <f t="shared" si="106"/>
        <v>0.10953781745204158</v>
      </c>
      <c r="AG86" s="47">
        <f t="shared" si="82"/>
        <v>0</v>
      </c>
      <c r="AH86" s="47">
        <f t="shared" si="83"/>
        <v>0</v>
      </c>
      <c r="AI86" s="47">
        <f t="shared" si="84"/>
        <v>0</v>
      </c>
      <c r="AJ86" s="47">
        <f t="shared" si="84"/>
        <v>0</v>
      </c>
      <c r="AK86" s="48">
        <f t="shared" si="107"/>
        <v>0.26704551056712555</v>
      </c>
      <c r="AL86" s="48">
        <f t="shared" si="108"/>
        <v>0.32773999149842775</v>
      </c>
      <c r="AM86" s="48">
        <f t="shared" si="109"/>
        <v>0.16317833051524377</v>
      </c>
      <c r="AN86" s="48">
        <f t="shared" si="110"/>
        <v>0.10953781745204158</v>
      </c>
      <c r="AO86" s="48"/>
      <c r="AP86" s="1">
        <f t="shared" si="85"/>
        <v>-6560.3450082064228</v>
      </c>
      <c r="AQ86">
        <f t="shared" si="71"/>
        <v>-9.9756476351757235E-3</v>
      </c>
      <c r="AR86" s="1">
        <f t="shared" si="113"/>
        <v>2206055.59696258</v>
      </c>
      <c r="AS86" s="1">
        <f t="shared" si="111"/>
        <v>1485.2796359482547</v>
      </c>
      <c r="AT86" s="1">
        <f t="shared" si="86"/>
        <v>227223726.48714575</v>
      </c>
      <c r="AU86" s="2">
        <f t="shared" si="114"/>
        <v>13276644008.957014</v>
      </c>
      <c r="AV86">
        <f t="shared" si="112"/>
        <v>0.98288545461233645</v>
      </c>
      <c r="AW86">
        <f t="shared" si="87"/>
        <v>253.12477152729366</v>
      </c>
      <c r="AX86">
        <f t="shared" si="72"/>
        <v>0.11970777162210869</v>
      </c>
      <c r="AZ86" s="1">
        <f t="shared" si="88"/>
        <v>372.80784323327146</v>
      </c>
      <c r="BA86">
        <f t="shared" si="89"/>
        <v>0</v>
      </c>
      <c r="BB86" s="1">
        <f t="shared" si="90"/>
        <v>12.911166775675314</v>
      </c>
      <c r="BC86">
        <f t="shared" si="91"/>
        <v>0</v>
      </c>
      <c r="BD86" s="1">
        <f t="shared" si="92"/>
        <v>132.37652287903768</v>
      </c>
      <c r="BE86">
        <f t="shared" si="93"/>
        <v>0</v>
      </c>
    </row>
    <row r="87" spans="1:57" x14ac:dyDescent="0.3">
      <c r="A87">
        <v>1</v>
      </c>
      <c r="B87">
        <v>75</v>
      </c>
      <c r="C87" s="30">
        <v>44621</v>
      </c>
      <c r="D87" s="10">
        <f>Decomposition!I85</f>
        <v>75692.730188985137</v>
      </c>
      <c r="E87" s="10"/>
      <c r="F87" s="9">
        <f t="shared" si="94"/>
        <v>36300.128422034373</v>
      </c>
      <c r="G87" s="10">
        <f t="shared" si="73"/>
        <v>33820.134497124993</v>
      </c>
      <c r="H87" s="9">
        <f t="shared" si="95"/>
        <v>38471.427737606675</v>
      </c>
      <c r="I87" s="10">
        <f t="shared" si="74"/>
        <v>7640.7996607929381</v>
      </c>
      <c r="J87" s="9">
        <f t="shared" si="96"/>
        <v>45810.158818327793</v>
      </c>
      <c r="K87" s="10">
        <f t="shared" si="75"/>
        <v>13851.58215504008</v>
      </c>
      <c r="L87" s="9">
        <f t="shared" si="97"/>
        <v>48242.654991793577</v>
      </c>
      <c r="M87" s="10">
        <f t="shared" si="76"/>
        <v>4080.3549008531772</v>
      </c>
      <c r="O87">
        <f>Decomposition!H85</f>
        <v>1.1421704539411746</v>
      </c>
      <c r="Q87" s="118">
        <f>Decomposition!C85</f>
        <v>86454</v>
      </c>
      <c r="R87" s="31">
        <f t="shared" si="77"/>
        <v>86454</v>
      </c>
      <c r="S87" s="119">
        <f t="shared" si="78"/>
        <v>41460.934157917931</v>
      </c>
      <c r="T87" s="36">
        <f t="shared" si="79"/>
        <v>43940.928082827311</v>
      </c>
      <c r="U87" s="36">
        <f t="shared" si="80"/>
        <v>52323.009892646754</v>
      </c>
      <c r="V87" s="93">
        <f t="shared" si="81"/>
        <v>55101.335151304338</v>
      </c>
      <c r="W87" s="10"/>
      <c r="X87" s="10">
        <f t="shared" si="98"/>
        <v>44993.065842082069</v>
      </c>
      <c r="Y87" s="10">
        <f t="shared" si="99"/>
        <v>42513.071917172689</v>
      </c>
      <c r="Z87" s="10">
        <f t="shared" si="100"/>
        <v>34130.990107353246</v>
      </c>
      <c r="AA87" s="10">
        <f t="shared" si="101"/>
        <v>31352.664848695662</v>
      </c>
      <c r="AB87" s="10">
        <f t="shared" si="102"/>
        <v>0</v>
      </c>
      <c r="AC87" s="39">
        <f t="shared" si="103"/>
        <v>0.50526971795632569</v>
      </c>
      <c r="AD87" s="39">
        <f t="shared" si="104"/>
        <v>0.47741951909745245</v>
      </c>
      <c r="AE87" s="39">
        <f t="shared" si="105"/>
        <v>0.38328918961959058</v>
      </c>
      <c r="AF87" s="39">
        <f t="shared" si="106"/>
        <v>0.35208874587210376</v>
      </c>
      <c r="AG87" s="47">
        <f t="shared" si="82"/>
        <v>0</v>
      </c>
      <c r="AH87" s="47">
        <f t="shared" si="83"/>
        <v>0</v>
      </c>
      <c r="AI87" s="47">
        <f t="shared" si="84"/>
        <v>0</v>
      </c>
      <c r="AJ87" s="47">
        <f t="shared" si="84"/>
        <v>0</v>
      </c>
      <c r="AK87" s="48">
        <f t="shared" si="107"/>
        <v>0.50526971795632569</v>
      </c>
      <c r="AL87" s="48">
        <f t="shared" si="108"/>
        <v>0.47741951909745245</v>
      </c>
      <c r="AM87" s="48">
        <f t="shared" si="109"/>
        <v>0.38328918961959058</v>
      </c>
      <c r="AN87" s="48">
        <f t="shared" si="110"/>
        <v>0.35208874587210376</v>
      </c>
      <c r="AO87" s="48"/>
      <c r="AP87" s="1">
        <f t="shared" si="85"/>
        <v>-10761.269811014863</v>
      </c>
      <c r="AQ87">
        <f t="shared" si="71"/>
        <v>-1.0372828142726057E-2</v>
      </c>
      <c r="AR87" s="1">
        <f t="shared" si="113"/>
        <v>19654135.668640118</v>
      </c>
      <c r="AS87" s="1">
        <f t="shared" si="111"/>
        <v>4433.2985088577243</v>
      </c>
      <c r="AT87" s="1">
        <f t="shared" si="86"/>
        <v>2024375973.8699322</v>
      </c>
      <c r="AU87" s="2">
        <f t="shared" si="114"/>
        <v>6984499880.7337141</v>
      </c>
      <c r="AV87">
        <f t="shared" si="112"/>
        <v>0.71016164243140145</v>
      </c>
      <c r="AW87">
        <f t="shared" si="87"/>
        <v>681.09600081302574</v>
      </c>
      <c r="AX87">
        <f t="shared" si="72"/>
        <v>0.12447393771271269</v>
      </c>
      <c r="AZ87" s="1">
        <f t="shared" si="88"/>
        <v>328.35082036043684</v>
      </c>
      <c r="BA87">
        <f t="shared" si="89"/>
        <v>0</v>
      </c>
      <c r="BB87" s="1">
        <f t="shared" si="90"/>
        <v>74.182520978572214</v>
      </c>
      <c r="BC87">
        <f t="shared" si="91"/>
        <v>0</v>
      </c>
      <c r="BD87" s="1">
        <f t="shared" si="92"/>
        <v>134.4813801460202</v>
      </c>
      <c r="BE87">
        <f t="shared" si="93"/>
        <v>0</v>
      </c>
    </row>
    <row r="88" spans="1:57" x14ac:dyDescent="0.3">
      <c r="A88">
        <v>1</v>
      </c>
      <c r="B88">
        <v>76</v>
      </c>
      <c r="C88" s="30">
        <v>44652</v>
      </c>
      <c r="D88" s="10">
        <f>Decomposition!I86</f>
        <v>131321.4359297097</v>
      </c>
      <c r="E88" s="10"/>
      <c r="F88" s="9">
        <f t="shared" si="94"/>
        <v>40239.388598729449</v>
      </c>
      <c r="G88" s="10">
        <f t="shared" si="73"/>
        <v>28547.011202565176</v>
      </c>
      <c r="H88" s="9">
        <f t="shared" si="95"/>
        <v>53359.948718158063</v>
      </c>
      <c r="I88" s="10">
        <f t="shared" si="74"/>
        <v>7312.2900318812099</v>
      </c>
      <c r="J88" s="9">
        <f t="shared" si="96"/>
        <v>66727.958777787935</v>
      </c>
      <c r="K88" s="10">
        <f t="shared" si="75"/>
        <v>6104.62213886463</v>
      </c>
      <c r="L88" s="9">
        <f t="shared" si="97"/>
        <v>75692.730188985137</v>
      </c>
      <c r="M88" s="10">
        <f t="shared" si="76"/>
        <v>16228.159331962444</v>
      </c>
      <c r="O88">
        <f>Decomposition!H86</f>
        <v>0.89114925656645383</v>
      </c>
      <c r="Q88" s="118">
        <f>Decomposition!C86</f>
        <v>117027</v>
      </c>
      <c r="R88" s="31">
        <f t="shared" si="77"/>
        <v>117027</v>
      </c>
      <c r="S88" s="119">
        <f t="shared" si="78"/>
        <v>35859.301234446386</v>
      </c>
      <c r="T88" s="36">
        <f t="shared" si="79"/>
        <v>47551.678630610659</v>
      </c>
      <c r="U88" s="36">
        <f t="shared" si="80"/>
        <v>59464.570857022693</v>
      </c>
      <c r="V88" s="93">
        <f t="shared" si="81"/>
        <v>67453.520235399279</v>
      </c>
      <c r="W88" s="10"/>
      <c r="X88" s="10">
        <f t="shared" si="98"/>
        <v>81167.698765553621</v>
      </c>
      <c r="Y88" s="10">
        <f t="shared" si="99"/>
        <v>69475.321369389334</v>
      </c>
      <c r="Z88" s="10">
        <f t="shared" si="100"/>
        <v>57562.429142977307</v>
      </c>
      <c r="AA88" s="10">
        <f t="shared" si="101"/>
        <v>49573.479764600721</v>
      </c>
      <c r="AB88" s="10">
        <f t="shared" si="102"/>
        <v>0</v>
      </c>
      <c r="AC88" s="39">
        <f t="shared" si="103"/>
        <v>0.67337957082141786</v>
      </c>
      <c r="AD88" s="39">
        <f t="shared" si="104"/>
        <v>0.57637783007165411</v>
      </c>
      <c r="AE88" s="39">
        <f t="shared" si="105"/>
        <v>0.47754666476002261</v>
      </c>
      <c r="AF88" s="39">
        <f t="shared" si="106"/>
        <v>0.41126912596637288</v>
      </c>
      <c r="AG88" s="47">
        <f t="shared" si="82"/>
        <v>0</v>
      </c>
      <c r="AH88" s="47">
        <f t="shared" si="83"/>
        <v>0</v>
      </c>
      <c r="AI88" s="47">
        <f t="shared" si="84"/>
        <v>0</v>
      </c>
      <c r="AJ88" s="47">
        <f t="shared" si="84"/>
        <v>0</v>
      </c>
      <c r="AK88" s="48">
        <f t="shared" si="107"/>
        <v>0.67337957082141786</v>
      </c>
      <c r="AL88" s="48">
        <f t="shared" si="108"/>
        <v>0.57637783007165411</v>
      </c>
      <c r="AM88" s="48">
        <f t="shared" si="109"/>
        <v>0.47754666476002261</v>
      </c>
      <c r="AN88" s="48">
        <f t="shared" si="110"/>
        <v>0.41126912596637288</v>
      </c>
      <c r="AO88" s="48"/>
      <c r="AP88" s="1">
        <f t="shared" si="85"/>
        <v>14294.435929709696</v>
      </c>
      <c r="AQ88">
        <f t="shared" si="71"/>
        <v>1.0178873201419114E-2</v>
      </c>
      <c r="AR88" s="1">
        <f t="shared" si="113"/>
        <v>63963061.387336448</v>
      </c>
      <c r="AS88" s="1">
        <f t="shared" si="111"/>
        <v>7997.6910034919738</v>
      </c>
      <c r="AT88" s="1">
        <f t="shared" si="86"/>
        <v>6588195322.8956547</v>
      </c>
      <c r="AU88" s="2">
        <f t="shared" si="114"/>
        <v>2809033961.2676959</v>
      </c>
      <c r="AV88">
        <f t="shared" si="112"/>
        <v>-1.3453597976161356</v>
      </c>
      <c r="AW88">
        <f t="shared" si="87"/>
        <v>1201.7533304758035</v>
      </c>
      <c r="AX88">
        <f t="shared" si="72"/>
        <v>0.12214647841702937</v>
      </c>
      <c r="AZ88" s="1">
        <f t="shared" si="88"/>
        <v>277.15544856859395</v>
      </c>
      <c r="BA88">
        <f t="shared" si="89"/>
        <v>0</v>
      </c>
      <c r="BB88" s="1">
        <f t="shared" si="90"/>
        <v>70.993107105642821</v>
      </c>
      <c r="BC88">
        <f t="shared" si="91"/>
        <v>0</v>
      </c>
      <c r="BD88" s="1">
        <f t="shared" si="92"/>
        <v>59.268176105481842</v>
      </c>
      <c r="BE88">
        <f t="shared" si="93"/>
        <v>0</v>
      </c>
    </row>
    <row r="89" spans="1:57" x14ac:dyDescent="0.3">
      <c r="A89">
        <v>1</v>
      </c>
      <c r="B89">
        <v>77</v>
      </c>
      <c r="C89" s="30">
        <v>44682</v>
      </c>
      <c r="D89" s="10">
        <f>Decomposition!I87</f>
        <v>154837.00508511777</v>
      </c>
      <c r="E89" s="10"/>
      <c r="F89" s="9">
        <f t="shared" si="94"/>
        <v>49347.593331827477</v>
      </c>
      <c r="G89" s="10">
        <f t="shared" si="73"/>
        <v>23752.932587910385</v>
      </c>
      <c r="H89" s="9">
        <f t="shared" si="95"/>
        <v>84544.543602778722</v>
      </c>
      <c r="I89" s="10">
        <f t="shared" si="74"/>
        <v>12131.850046206586</v>
      </c>
      <c r="J89" s="9">
        <f t="shared" si="96"/>
        <v>111943.39278413318</v>
      </c>
      <c r="K89" s="10">
        <f t="shared" si="75"/>
        <v>3141.0941909240064</v>
      </c>
      <c r="L89" s="9">
        <f t="shared" si="97"/>
        <v>131321.4359297097</v>
      </c>
      <c r="M89" s="10">
        <f t="shared" si="76"/>
        <v>49917.986517854981</v>
      </c>
      <c r="O89">
        <f>Decomposition!H87</f>
        <v>0.72718404710878848</v>
      </c>
      <c r="Q89" s="118">
        <f>Decomposition!C87</f>
        <v>112595</v>
      </c>
      <c r="R89" s="31">
        <f t="shared" si="77"/>
        <v>112595</v>
      </c>
      <c r="S89" s="119">
        <f t="shared" si="78"/>
        <v>35884.782634116971</v>
      </c>
      <c r="T89" s="36">
        <f t="shared" si="79"/>
        <v>61479.443378034062</v>
      </c>
      <c r="U89" s="36">
        <f t="shared" si="80"/>
        <v>81403.449411854715</v>
      </c>
      <c r="V89" s="93">
        <f t="shared" si="81"/>
        <v>95494.853251503766</v>
      </c>
      <c r="W89" s="10"/>
      <c r="X89" s="10">
        <f t="shared" si="98"/>
        <v>76710.217365883029</v>
      </c>
      <c r="Y89" s="10">
        <f t="shared" si="99"/>
        <v>51115.556621965938</v>
      </c>
      <c r="Z89" s="10">
        <f t="shared" si="100"/>
        <v>31191.550588145285</v>
      </c>
      <c r="AA89" s="10">
        <f t="shared" si="101"/>
        <v>17100.146748496234</v>
      </c>
      <c r="AB89" s="10">
        <f t="shared" si="102"/>
        <v>0</v>
      </c>
      <c r="AC89" s="39">
        <f t="shared" si="103"/>
        <v>0.66144979075605215</v>
      </c>
      <c r="AD89" s="39">
        <f t="shared" si="104"/>
        <v>0.44075450954224149</v>
      </c>
      <c r="AE89" s="39">
        <f t="shared" si="105"/>
        <v>0.26895562701222991</v>
      </c>
      <c r="AF89" s="39">
        <f t="shared" si="106"/>
        <v>0.14744956900254011</v>
      </c>
      <c r="AG89" s="47">
        <f t="shared" si="82"/>
        <v>0</v>
      </c>
      <c r="AH89" s="47">
        <f t="shared" si="83"/>
        <v>0</v>
      </c>
      <c r="AI89" s="47">
        <f t="shared" si="84"/>
        <v>0</v>
      </c>
      <c r="AJ89" s="47">
        <f t="shared" si="84"/>
        <v>0</v>
      </c>
      <c r="AK89" s="48">
        <f t="shared" si="107"/>
        <v>0.66144979075605215</v>
      </c>
      <c r="AL89" s="48">
        <f t="shared" si="108"/>
        <v>0.44075450954224149</v>
      </c>
      <c r="AM89" s="48">
        <f t="shared" si="109"/>
        <v>0.26895562701222991</v>
      </c>
      <c r="AN89" s="48">
        <f t="shared" si="110"/>
        <v>0.14744956900254011</v>
      </c>
      <c r="AO89" s="48"/>
      <c r="AP89" s="1">
        <f t="shared" si="85"/>
        <v>42242.005085117766</v>
      </c>
      <c r="AQ89">
        <f t="shared" si="71"/>
        <v>3.1263973448434478E-2</v>
      </c>
      <c r="AR89" s="1">
        <f t="shared" si="113"/>
        <v>57130654.838068172</v>
      </c>
      <c r="AS89" s="1">
        <f t="shared" si="111"/>
        <v>7558.4823104951547</v>
      </c>
      <c r="AT89" s="1">
        <f t="shared" si="86"/>
        <v>5884457448.321022</v>
      </c>
      <c r="AU89" s="2">
        <f t="shared" si="114"/>
        <v>3298471425.1900258</v>
      </c>
      <c r="AV89">
        <f t="shared" si="112"/>
        <v>-0.78399527835291671</v>
      </c>
      <c r="AW89">
        <f t="shared" si="87"/>
        <v>10494.707494863183</v>
      </c>
      <c r="AX89">
        <f t="shared" si="72"/>
        <v>0.37516768138121376</v>
      </c>
      <c r="AZ89" s="1">
        <f t="shared" si="88"/>
        <v>230.61099599912995</v>
      </c>
      <c r="BA89">
        <f t="shared" si="89"/>
        <v>0</v>
      </c>
      <c r="BB89" s="1">
        <f t="shared" si="90"/>
        <v>117.78495190491832</v>
      </c>
      <c r="BC89">
        <f t="shared" si="91"/>
        <v>0</v>
      </c>
      <c r="BD89" s="1">
        <f t="shared" si="92"/>
        <v>30.496060106058316</v>
      </c>
      <c r="BE89">
        <f t="shared" si="93"/>
        <v>0</v>
      </c>
    </row>
    <row r="90" spans="1:57" x14ac:dyDescent="0.3">
      <c r="A90">
        <v>1</v>
      </c>
      <c r="B90">
        <v>78</v>
      </c>
      <c r="C90" s="30">
        <v>44713</v>
      </c>
      <c r="D90" s="10">
        <f>Decomposition!I88</f>
        <v>154803.41283562177</v>
      </c>
      <c r="E90" s="10"/>
      <c r="F90" s="9">
        <f t="shared" si="94"/>
        <v>59896.53450715651</v>
      </c>
      <c r="G90" s="10">
        <f t="shared" si="73"/>
        <v>24342.643117797641</v>
      </c>
      <c r="H90" s="9">
        <f t="shared" si="95"/>
        <v>112661.52819571435</v>
      </c>
      <c r="I90" s="10">
        <f t="shared" si="74"/>
        <v>16016.593823193893</v>
      </c>
      <c r="J90" s="9">
        <f t="shared" si="96"/>
        <v>141968.92139482239</v>
      </c>
      <c r="K90" s="10">
        <f t="shared" si="75"/>
        <v>17000.612518764101</v>
      </c>
      <c r="L90" s="9">
        <f t="shared" si="97"/>
        <v>154837.00508511777</v>
      </c>
      <c r="M90" s="10">
        <f t="shared" si="76"/>
        <v>59176.089408167521</v>
      </c>
      <c r="O90">
        <f>Decomposition!H88</f>
        <v>0.67381589390901009</v>
      </c>
      <c r="Q90" s="118">
        <f>Decomposition!C88</f>
        <v>104309</v>
      </c>
      <c r="R90" s="31">
        <f t="shared" si="77"/>
        <v>104309.00000000001</v>
      </c>
      <c r="S90" s="119">
        <f t="shared" si="78"/>
        <v>40359.236940991534</v>
      </c>
      <c r="T90" s="36">
        <f t="shared" si="79"/>
        <v>75913.128330350402</v>
      </c>
      <c r="U90" s="36">
        <f t="shared" si="80"/>
        <v>95660.915676950244</v>
      </c>
      <c r="V90" s="93">
        <f t="shared" si="81"/>
        <v>104331.63499162257</v>
      </c>
      <c r="W90" s="10"/>
      <c r="X90" s="10">
        <f t="shared" si="98"/>
        <v>63949.763059008466</v>
      </c>
      <c r="Y90" s="10">
        <f t="shared" si="99"/>
        <v>28395.871669649598</v>
      </c>
      <c r="Z90" s="10">
        <f t="shared" si="100"/>
        <v>8648.0843230497558</v>
      </c>
      <c r="AA90" s="10">
        <f t="shared" si="101"/>
        <v>22.63499162257358</v>
      </c>
      <c r="AB90" s="10">
        <f t="shared" si="102"/>
        <v>0</v>
      </c>
      <c r="AC90" s="39">
        <f t="shared" si="103"/>
        <v>0.59522331343392321</v>
      </c>
      <c r="AD90" s="39">
        <f t="shared" si="104"/>
        <v>0.26429941276650859</v>
      </c>
      <c r="AE90" s="39">
        <f t="shared" si="105"/>
        <v>8.0493518027140193E-2</v>
      </c>
      <c r="AF90" s="39">
        <f t="shared" si="106"/>
        <v>2.1067904036963346E-4</v>
      </c>
      <c r="AG90" s="47">
        <f t="shared" si="82"/>
        <v>0</v>
      </c>
      <c r="AH90" s="47">
        <f t="shared" si="83"/>
        <v>0</v>
      </c>
      <c r="AI90" s="47">
        <f t="shared" si="84"/>
        <v>0</v>
      </c>
      <c r="AJ90" s="47">
        <f t="shared" si="84"/>
        <v>0</v>
      </c>
      <c r="AK90" s="48">
        <f t="shared" si="107"/>
        <v>0.59522331343392321</v>
      </c>
      <c r="AL90" s="48">
        <f t="shared" si="108"/>
        <v>0.26429941276650859</v>
      </c>
      <c r="AM90" s="48">
        <f t="shared" si="109"/>
        <v>8.0493518027140193E-2</v>
      </c>
      <c r="AN90" s="48">
        <f t="shared" si="110"/>
        <v>2.1067904036963346E-4</v>
      </c>
      <c r="AO90" s="48"/>
      <c r="AP90" s="1">
        <f t="shared" si="85"/>
        <v>50494.41283562177</v>
      </c>
      <c r="AQ90">
        <f t="shared" si="71"/>
        <v>4.0340409133457461E-2</v>
      </c>
      <c r="AR90" s="1">
        <f t="shared" si="113"/>
        <v>39704584.420420617</v>
      </c>
      <c r="AS90" s="1">
        <f t="shared" si="111"/>
        <v>6301.1573873710386</v>
      </c>
      <c r="AT90" s="1">
        <f t="shared" si="86"/>
        <v>4089572195.3033237</v>
      </c>
      <c r="AU90" s="2">
        <f t="shared" si="114"/>
        <v>4318897634.6657534</v>
      </c>
      <c r="AV90">
        <f t="shared" si="112"/>
        <v>5.3098141878090033E-2</v>
      </c>
      <c r="AW90">
        <f t="shared" si="87"/>
        <v>14995.741400797329</v>
      </c>
      <c r="AX90">
        <f t="shared" si="72"/>
        <v>0.48408490960148953</v>
      </c>
      <c r="AZ90" s="1">
        <f t="shared" si="88"/>
        <v>236.33634094949167</v>
      </c>
      <c r="BA90">
        <f t="shared" si="89"/>
        <v>0</v>
      </c>
      <c r="BB90" s="1">
        <f t="shared" si="90"/>
        <v>155.50091090479506</v>
      </c>
      <c r="BC90">
        <f t="shared" si="91"/>
        <v>0</v>
      </c>
      <c r="BD90" s="1">
        <f t="shared" si="92"/>
        <v>165.05449047343788</v>
      </c>
      <c r="BE90">
        <f t="shared" si="93"/>
        <v>0</v>
      </c>
    </row>
    <row r="91" spans="1:57" x14ac:dyDescent="0.3">
      <c r="A91">
        <v>1</v>
      </c>
      <c r="B91">
        <v>79</v>
      </c>
      <c r="C91" s="30">
        <v>44743</v>
      </c>
      <c r="D91" s="10">
        <f>Decomposition!I89</f>
        <v>172528.25555352186</v>
      </c>
      <c r="E91" s="10"/>
      <c r="F91" s="9">
        <f t="shared" si="94"/>
        <v>69387.222340003034</v>
      </c>
      <c r="G91" s="10">
        <f t="shared" si="73"/>
        <v>17914.403258357554</v>
      </c>
      <c r="H91" s="9">
        <f t="shared" si="95"/>
        <v>129518.28205167732</v>
      </c>
      <c r="I91" s="10">
        <f t="shared" si="74"/>
        <v>41481.788314023433</v>
      </c>
      <c r="J91" s="9">
        <f t="shared" si="96"/>
        <v>150953.06540338194</v>
      </c>
      <c r="K91" s="10">
        <f t="shared" si="75"/>
        <v>300.87157222162932</v>
      </c>
      <c r="L91" s="9">
        <f t="shared" si="97"/>
        <v>154803.41283562177</v>
      </c>
      <c r="M91" s="10">
        <f t="shared" si="76"/>
        <v>25586.002356166078</v>
      </c>
      <c r="O91">
        <f>Decomposition!H89</f>
        <v>0.85601050985057181</v>
      </c>
      <c r="Q91" s="118">
        <f>Decomposition!C89</f>
        <v>147686</v>
      </c>
      <c r="R91" s="31">
        <f t="shared" si="77"/>
        <v>147686</v>
      </c>
      <c r="S91" s="119">
        <f t="shared" si="78"/>
        <v>59396.191572380987</v>
      </c>
      <c r="T91" s="36">
        <f t="shared" si="79"/>
        <v>110869.01065402647</v>
      </c>
      <c r="U91" s="36">
        <f t="shared" si="80"/>
        <v>129217.41047945569</v>
      </c>
      <c r="V91" s="93">
        <f t="shared" si="81"/>
        <v>132513.34834802913</v>
      </c>
      <c r="W91" s="10"/>
      <c r="X91" s="10">
        <f t="shared" si="98"/>
        <v>88289.80842761902</v>
      </c>
      <c r="Y91" s="10">
        <f t="shared" si="99"/>
        <v>36816.989345973532</v>
      </c>
      <c r="Z91" s="10">
        <f t="shared" si="100"/>
        <v>18468.589520544308</v>
      </c>
      <c r="AA91" s="10">
        <f t="shared" si="101"/>
        <v>15172.651651970868</v>
      </c>
      <c r="AB91" s="10">
        <f t="shared" si="102"/>
        <v>0</v>
      </c>
      <c r="AC91" s="39">
        <f t="shared" si="103"/>
        <v>0.58040884450346586</v>
      </c>
      <c r="AD91" s="39">
        <f t="shared" si="104"/>
        <v>0.24203140345367699</v>
      </c>
      <c r="AE91" s="39">
        <f t="shared" si="105"/>
        <v>0.12141075956706567</v>
      </c>
      <c r="AF91" s="39">
        <f t="shared" si="106"/>
        <v>9.9743575959772873E-2</v>
      </c>
      <c r="AG91" s="47">
        <f t="shared" si="82"/>
        <v>0</v>
      </c>
      <c r="AH91" s="47">
        <f t="shared" si="83"/>
        <v>0</v>
      </c>
      <c r="AI91" s="47">
        <f t="shared" si="84"/>
        <v>0</v>
      </c>
      <c r="AJ91" s="47">
        <f t="shared" si="84"/>
        <v>0</v>
      </c>
      <c r="AK91" s="48">
        <f t="shared" si="107"/>
        <v>0.58040884450346586</v>
      </c>
      <c r="AL91" s="48">
        <f t="shared" si="108"/>
        <v>0.24203140345367699</v>
      </c>
      <c r="AM91" s="48">
        <f t="shared" si="109"/>
        <v>0.12141075956706567</v>
      </c>
      <c r="AN91" s="48">
        <f t="shared" si="110"/>
        <v>9.9743575959772873E-2</v>
      </c>
      <c r="AO91" s="48"/>
      <c r="AP91" s="1">
        <f t="shared" si="85"/>
        <v>24842.255553521856</v>
      </c>
      <c r="AQ91">
        <f t="shared" si="71"/>
        <v>1.4017496328653276E-2</v>
      </c>
      <c r="AR91" s="1">
        <f t="shared" si="113"/>
        <v>75680488.079472482</v>
      </c>
      <c r="AS91" s="1">
        <f t="shared" si="111"/>
        <v>8699.4533207249569</v>
      </c>
      <c r="AT91" s="1">
        <f t="shared" si="86"/>
        <v>7795090272.185667</v>
      </c>
      <c r="AU91" s="2">
        <f t="shared" si="114"/>
        <v>499134596.69488108</v>
      </c>
      <c r="AV91">
        <f t="shared" si="112"/>
        <v>-14.617210916258673</v>
      </c>
      <c r="AW91">
        <f t="shared" si="87"/>
        <v>3629.6382227098525</v>
      </c>
      <c r="AX91">
        <f t="shared" si="72"/>
        <v>0.16820995594383933</v>
      </c>
      <c r="AZ91" s="1">
        <f t="shared" si="88"/>
        <v>173.92624522677235</v>
      </c>
      <c r="BA91">
        <f t="shared" si="89"/>
        <v>0</v>
      </c>
      <c r="BB91" s="1">
        <f t="shared" si="90"/>
        <v>402.73580887401391</v>
      </c>
      <c r="BC91">
        <f t="shared" si="91"/>
        <v>0</v>
      </c>
      <c r="BD91" s="1">
        <f t="shared" si="92"/>
        <v>2.9210832254527119</v>
      </c>
      <c r="BE91">
        <f t="shared" si="93"/>
        <v>0</v>
      </c>
    </row>
    <row r="92" spans="1:57" x14ac:dyDescent="0.3">
      <c r="A92">
        <v>1</v>
      </c>
      <c r="B92">
        <v>80</v>
      </c>
      <c r="C92" s="30">
        <v>44774</v>
      </c>
      <c r="D92" s="10">
        <f>Decomposition!I90</f>
        <v>189271.21425969774</v>
      </c>
      <c r="E92" s="10"/>
      <c r="F92" s="9">
        <f t="shared" si="94"/>
        <v>79701.325661354917</v>
      </c>
      <c r="G92" s="10">
        <f t="shared" si="73"/>
        <v>29015.444989773496</v>
      </c>
      <c r="H92" s="9">
        <f t="shared" si="95"/>
        <v>146722.27145241512</v>
      </c>
      <c r="I92" s="10">
        <f t="shared" si="74"/>
        <v>31260.217105958029</v>
      </c>
      <c r="J92" s="9">
        <f t="shared" si="96"/>
        <v>166055.69850847987</v>
      </c>
      <c r="K92" s="10">
        <f t="shared" si="75"/>
        <v>21139.452229359711</v>
      </c>
      <c r="L92" s="9">
        <f t="shared" si="97"/>
        <v>172528.25555352186</v>
      </c>
      <c r="M92" s="10">
        <f t="shared" si="76"/>
        <v>46945.436330466444</v>
      </c>
      <c r="O92">
        <f>Decomposition!H90</f>
        <v>0.756269253937361</v>
      </c>
      <c r="Q92" s="118">
        <f>Decomposition!C90</f>
        <v>143140</v>
      </c>
      <c r="R92" s="31">
        <f t="shared" si="77"/>
        <v>143140</v>
      </c>
      <c r="S92" s="119">
        <f t="shared" si="78"/>
        <v>60275.662095731524</v>
      </c>
      <c r="T92" s="36">
        <f t="shared" si="79"/>
        <v>110961.54276731295</v>
      </c>
      <c r="U92" s="36">
        <f t="shared" si="80"/>
        <v>125582.81922305541</v>
      </c>
      <c r="V92" s="93">
        <f t="shared" si="81"/>
        <v>130477.81511057634</v>
      </c>
      <c r="W92" s="10"/>
      <c r="X92" s="10">
        <f t="shared" si="98"/>
        <v>82864.337904268468</v>
      </c>
      <c r="Y92" s="10">
        <f t="shared" si="99"/>
        <v>32178.457232687055</v>
      </c>
      <c r="Z92" s="10">
        <f t="shared" si="100"/>
        <v>17557.180776944588</v>
      </c>
      <c r="AA92" s="10">
        <f t="shared" si="101"/>
        <v>12662.184889423661</v>
      </c>
      <c r="AB92" s="10">
        <f t="shared" si="102"/>
        <v>0</v>
      </c>
      <c r="AC92" s="39">
        <f t="shared" si="103"/>
        <v>0.56204284965271611</v>
      </c>
      <c r="AD92" s="39">
        <f t="shared" si="104"/>
        <v>0.21825639663447868</v>
      </c>
      <c r="AE92" s="39">
        <f t="shared" si="105"/>
        <v>0.11908485803798975</v>
      </c>
      <c r="AF92" s="39">
        <f t="shared" si="106"/>
        <v>8.5883634118974164E-2</v>
      </c>
      <c r="AG92" s="47">
        <f t="shared" si="82"/>
        <v>0</v>
      </c>
      <c r="AH92" s="47">
        <f t="shared" si="83"/>
        <v>0</v>
      </c>
      <c r="AI92" s="47">
        <f t="shared" si="84"/>
        <v>0</v>
      </c>
      <c r="AJ92" s="47">
        <f t="shared" si="84"/>
        <v>0</v>
      </c>
      <c r="AK92" s="48">
        <f t="shared" si="107"/>
        <v>0.56204284965271611</v>
      </c>
      <c r="AL92" s="48">
        <f t="shared" si="108"/>
        <v>0.21825639663447868</v>
      </c>
      <c r="AM92" s="48">
        <f t="shared" si="109"/>
        <v>0.11908485803798975</v>
      </c>
      <c r="AN92" s="48">
        <f t="shared" si="110"/>
        <v>8.5883634118974164E-2</v>
      </c>
      <c r="AO92" s="48"/>
      <c r="AP92" s="1">
        <f t="shared" si="85"/>
        <v>46131.214259697736</v>
      </c>
      <c r="AQ92">
        <f t="shared" si="71"/>
        <v>2.6856698721355394E-2</v>
      </c>
      <c r="AR92" s="1">
        <f t="shared" si="113"/>
        <v>66665033.944784306</v>
      </c>
      <c r="AS92" s="1">
        <f t="shared" si="111"/>
        <v>8164.8658252774921</v>
      </c>
      <c r="AT92" s="1">
        <f t="shared" si="86"/>
        <v>6866498496.3127842</v>
      </c>
      <c r="AU92" s="2">
        <f t="shared" si="114"/>
        <v>722927997.6657548</v>
      </c>
      <c r="AV92">
        <f t="shared" si="112"/>
        <v>-8.4981775757528553</v>
      </c>
      <c r="AW92">
        <f t="shared" si="87"/>
        <v>12516.158722101223</v>
      </c>
      <c r="AX92">
        <f t="shared" si="72"/>
        <v>0.32228038465626474</v>
      </c>
      <c r="AZ92" s="1">
        <f t="shared" si="88"/>
        <v>281.70334941527665</v>
      </c>
      <c r="BA92">
        <f t="shared" si="89"/>
        <v>0</v>
      </c>
      <c r="BB92" s="1">
        <f t="shared" si="90"/>
        <v>303.49725345590321</v>
      </c>
      <c r="BC92">
        <f t="shared" si="91"/>
        <v>0</v>
      </c>
      <c r="BD92" s="1">
        <f t="shared" si="92"/>
        <v>205.23740028504574</v>
      </c>
      <c r="BE92">
        <f t="shared" si="93"/>
        <v>0</v>
      </c>
    </row>
    <row r="93" spans="1:57" x14ac:dyDescent="0.3">
      <c r="A93">
        <v>1</v>
      </c>
      <c r="B93">
        <v>81</v>
      </c>
      <c r="C93" s="30">
        <v>44805</v>
      </c>
      <c r="D93" s="10">
        <f>Decomposition!I91</f>
        <v>180285.70620482211</v>
      </c>
      <c r="E93" s="10"/>
      <c r="F93" s="9">
        <f t="shared" si="94"/>
        <v>90658.314521189197</v>
      </c>
      <c r="G93" s="10">
        <f t="shared" si="73"/>
        <v>30873.432906341957</v>
      </c>
      <c r="H93" s="9">
        <f t="shared" si="95"/>
        <v>163741.84857532819</v>
      </c>
      <c r="I93" s="10">
        <f t="shared" si="74"/>
        <v>43288.232524832245</v>
      </c>
      <c r="J93" s="9">
        <f t="shared" si="96"/>
        <v>182306.55953433237</v>
      </c>
      <c r="K93" s="10">
        <f t="shared" si="75"/>
        <v>14608.720020047273</v>
      </c>
      <c r="L93" s="9">
        <f t="shared" si="97"/>
        <v>189271.21425969774</v>
      </c>
      <c r="M93" s="10">
        <f t="shared" si="76"/>
        <v>40138.085704416822</v>
      </c>
      <c r="O93">
        <f>Decomposition!H91</f>
        <v>0.81803490195971706</v>
      </c>
      <c r="Q93" s="118">
        <f>Decomposition!C91</f>
        <v>147480</v>
      </c>
      <c r="R93" s="31">
        <f t="shared" si="77"/>
        <v>147480</v>
      </c>
      <c r="S93" s="119">
        <f t="shared" si="78"/>
        <v>74161.665431174202</v>
      </c>
      <c r="T93" s="36">
        <f t="shared" si="79"/>
        <v>133946.54704602144</v>
      </c>
      <c r="U93" s="36">
        <f t="shared" si="80"/>
        <v>149133.12855528091</v>
      </c>
      <c r="V93" s="93">
        <f t="shared" si="81"/>
        <v>154830.45920072845</v>
      </c>
      <c r="W93" s="10"/>
      <c r="X93" s="10">
        <f t="shared" si="98"/>
        <v>73318.334568825798</v>
      </c>
      <c r="Y93" s="10">
        <f t="shared" si="99"/>
        <v>13533.452953978558</v>
      </c>
      <c r="Z93" s="10">
        <f t="shared" si="100"/>
        <v>1653.1285552809131</v>
      </c>
      <c r="AA93" s="10">
        <f t="shared" si="101"/>
        <v>7350.4592007284518</v>
      </c>
      <c r="AB93" s="10">
        <f t="shared" si="102"/>
        <v>0</v>
      </c>
      <c r="AC93" s="39">
        <f t="shared" si="103"/>
        <v>0.48266103265491855</v>
      </c>
      <c r="AD93" s="39">
        <f t="shared" si="104"/>
        <v>8.909190881882656E-2</v>
      </c>
      <c r="AE93" s="39">
        <f t="shared" si="105"/>
        <v>1.0882690397914169E-2</v>
      </c>
      <c r="AF93" s="39">
        <f t="shared" si="106"/>
        <v>4.8388718172274484E-2</v>
      </c>
      <c r="AG93" s="47">
        <f t="shared" si="82"/>
        <v>0</v>
      </c>
      <c r="AH93" s="47">
        <f t="shared" si="83"/>
        <v>0</v>
      </c>
      <c r="AI93" s="47">
        <f t="shared" ref="AI93:AJ108" si="115">IF(AE93&gt;1,1,0)</f>
        <v>0</v>
      </c>
      <c r="AJ93" s="47">
        <f t="shared" si="115"/>
        <v>0</v>
      </c>
      <c r="AK93" s="48">
        <f t="shared" si="107"/>
        <v>0.48266103265491855</v>
      </c>
      <c r="AL93" s="48">
        <f t="shared" si="108"/>
        <v>8.909190881882656E-2</v>
      </c>
      <c r="AM93" s="48">
        <f t="shared" si="109"/>
        <v>1.0882690397914169E-2</v>
      </c>
      <c r="AN93" s="48">
        <f t="shared" si="110"/>
        <v>4.8388718172274484E-2</v>
      </c>
      <c r="AO93" s="48"/>
      <c r="AP93" s="1">
        <f t="shared" si="85"/>
        <v>32805.706204822112</v>
      </c>
      <c r="AQ93">
        <f t="shared" si="71"/>
        <v>1.8536810756725267E-2</v>
      </c>
      <c r="AR93" s="1">
        <f t="shared" si="113"/>
        <v>52190079.455789082</v>
      </c>
      <c r="AS93" s="1">
        <f t="shared" si="111"/>
        <v>7224.2701676909264</v>
      </c>
      <c r="AT93" s="1">
        <f t="shared" si="86"/>
        <v>5375578183.9462757</v>
      </c>
      <c r="AU93" s="2">
        <f t="shared" si="114"/>
        <v>508381656.69488108</v>
      </c>
      <c r="AV93">
        <f t="shared" si="112"/>
        <v>-9.5739027227974383</v>
      </c>
      <c r="AW93">
        <f t="shared" si="87"/>
        <v>6329.6554761845655</v>
      </c>
      <c r="AX93">
        <f t="shared" si="72"/>
        <v>0.22244172908070323</v>
      </c>
      <c r="AZ93" s="1">
        <f t="shared" si="88"/>
        <v>299.74206705186367</v>
      </c>
      <c r="BA93">
        <f t="shared" si="89"/>
        <v>0</v>
      </c>
      <c r="BB93" s="1">
        <f t="shared" si="90"/>
        <v>420.27410218283734</v>
      </c>
      <c r="BC93">
        <f t="shared" si="91"/>
        <v>0</v>
      </c>
      <c r="BD93" s="1">
        <f t="shared" si="92"/>
        <v>141.83223320434246</v>
      </c>
      <c r="BE93">
        <f t="shared" si="93"/>
        <v>0</v>
      </c>
    </row>
    <row r="94" spans="1:57" x14ac:dyDescent="0.3">
      <c r="A94">
        <v>1</v>
      </c>
      <c r="B94">
        <v>82</v>
      </c>
      <c r="C94" s="30">
        <v>44835</v>
      </c>
      <c r="D94" s="10">
        <f>Decomposition!I92</f>
        <v>180194.44506804046</v>
      </c>
      <c r="E94" s="10"/>
      <c r="F94" s="9">
        <f t="shared" si="94"/>
        <v>99621.0536895525</v>
      </c>
      <c r="G94" s="10">
        <f t="shared" si="73"/>
        <v>34811.432713832808</v>
      </c>
      <c r="H94" s="9">
        <f t="shared" si="95"/>
        <v>170359.39162712576</v>
      </c>
      <c r="I94" s="10">
        <f t="shared" si="74"/>
        <v>56460.187726550008</v>
      </c>
      <c r="J94" s="9">
        <f t="shared" si="96"/>
        <v>180891.96220367518</v>
      </c>
      <c r="K94" s="10">
        <f t="shared" si="75"/>
        <v>4628.3347521331743</v>
      </c>
      <c r="L94" s="9">
        <f t="shared" si="97"/>
        <v>180285.70620482211</v>
      </c>
      <c r="M94" s="10">
        <f t="shared" si="76"/>
        <v>14554.649329829525</v>
      </c>
      <c r="O94">
        <f>Decomposition!H92</f>
        <v>0.91618806527394414</v>
      </c>
      <c r="Q94" s="118">
        <f>Decomposition!C92</f>
        <v>165092</v>
      </c>
      <c r="R94" s="31">
        <f t="shared" si="77"/>
        <v>165092</v>
      </c>
      <c r="S94" s="119">
        <f t="shared" si="78"/>
        <v>91271.620440382816</v>
      </c>
      <c r="T94" s="36">
        <f t="shared" si="79"/>
        <v>156081.24141610251</v>
      </c>
      <c r="U94" s="36">
        <f t="shared" si="80"/>
        <v>165731.05687499259</v>
      </c>
      <c r="V94" s="93">
        <f t="shared" si="81"/>
        <v>165175.61236434267</v>
      </c>
      <c r="W94" s="10"/>
      <c r="X94" s="10">
        <f t="shared" si="98"/>
        <v>73820.379559617184</v>
      </c>
      <c r="Y94" s="10">
        <f t="shared" si="99"/>
        <v>9010.7585838974919</v>
      </c>
      <c r="Z94" s="10">
        <f t="shared" si="100"/>
        <v>639.05687499258784</v>
      </c>
      <c r="AA94" s="10">
        <f t="shared" si="101"/>
        <v>83.612364342669025</v>
      </c>
      <c r="AB94" s="10">
        <f t="shared" si="102"/>
        <v>0</v>
      </c>
      <c r="AC94" s="39">
        <f t="shared" si="103"/>
        <v>0.43412322472987225</v>
      </c>
      <c r="AD94" s="39">
        <f t="shared" si="104"/>
        <v>5.2990510168602033E-2</v>
      </c>
      <c r="AE94" s="39">
        <f t="shared" si="105"/>
        <v>3.7581685845102658E-3</v>
      </c>
      <c r="AF94" s="39">
        <f t="shared" si="106"/>
        <v>4.9170797349279698E-4</v>
      </c>
      <c r="AG94" s="47">
        <f t="shared" si="82"/>
        <v>0</v>
      </c>
      <c r="AH94" s="47">
        <f t="shared" si="83"/>
        <v>0</v>
      </c>
      <c r="AI94" s="47">
        <f t="shared" si="115"/>
        <v>0</v>
      </c>
      <c r="AJ94" s="47">
        <f t="shared" si="115"/>
        <v>0</v>
      </c>
      <c r="AK94" s="48">
        <f t="shared" si="107"/>
        <v>0.43412322472987225</v>
      </c>
      <c r="AL94" s="48">
        <f t="shared" si="108"/>
        <v>5.2990510168602033E-2</v>
      </c>
      <c r="AM94" s="48">
        <f t="shared" si="109"/>
        <v>3.7581685845102658E-3</v>
      </c>
      <c r="AN94" s="48">
        <f t="shared" si="110"/>
        <v>4.9170797349279698E-4</v>
      </c>
      <c r="AO94" s="48"/>
      <c r="AP94" s="1">
        <f t="shared" si="85"/>
        <v>15102.445068040455</v>
      </c>
      <c r="AQ94">
        <f t="shared" si="71"/>
        <v>7.6232469714060721E-3</v>
      </c>
      <c r="AR94" s="1">
        <f t="shared" si="113"/>
        <v>52907266.391514041</v>
      </c>
      <c r="AS94" s="1">
        <f t="shared" si="111"/>
        <v>7273.7381305291738</v>
      </c>
      <c r="AT94" s="1">
        <f t="shared" si="86"/>
        <v>5449448438.3259468</v>
      </c>
      <c r="AU94" s="2">
        <f t="shared" si="114"/>
        <v>24357387.335658267</v>
      </c>
      <c r="AV94">
        <f t="shared" si="112"/>
        <v>-222.72877530867879</v>
      </c>
      <c r="AW94">
        <f t="shared" si="87"/>
        <v>1341.4541058003292</v>
      </c>
      <c r="AX94">
        <f t="shared" si="72"/>
        <v>9.1478963656872872E-2</v>
      </c>
      <c r="AZ94" s="1">
        <f t="shared" si="88"/>
        <v>337.97507489158068</v>
      </c>
      <c r="BA94">
        <f t="shared" si="89"/>
        <v>0</v>
      </c>
      <c r="BB94" s="1">
        <f t="shared" si="90"/>
        <v>548.15716239368942</v>
      </c>
      <c r="BC94">
        <f t="shared" si="91"/>
        <v>0</v>
      </c>
      <c r="BD94" s="1">
        <f t="shared" si="92"/>
        <v>44.935288855661888</v>
      </c>
      <c r="BE94">
        <f t="shared" si="93"/>
        <v>0</v>
      </c>
    </row>
    <row r="95" spans="1:57" x14ac:dyDescent="0.3">
      <c r="A95">
        <v>1</v>
      </c>
      <c r="B95">
        <v>83</v>
      </c>
      <c r="C95" s="30">
        <v>44866</v>
      </c>
      <c r="D95" s="10">
        <f>Decomposition!I93</f>
        <v>167467.88265771762</v>
      </c>
      <c r="E95" s="10"/>
      <c r="F95" s="9">
        <f t="shared" si="94"/>
        <v>107678.3928274013</v>
      </c>
      <c r="G95" s="10">
        <f t="shared" si="73"/>
        <v>29683.298461972372</v>
      </c>
      <c r="H95" s="9">
        <f t="shared" si="95"/>
        <v>174293.41300349165</v>
      </c>
      <c r="I95" s="10">
        <f t="shared" si="74"/>
        <v>96390.166463664078</v>
      </c>
      <c r="J95" s="9">
        <f t="shared" si="96"/>
        <v>180403.70020873088</v>
      </c>
      <c r="K95" s="10">
        <f t="shared" si="75"/>
        <v>36929.274979762587</v>
      </c>
      <c r="L95" s="9">
        <f t="shared" si="97"/>
        <v>180194.44506804046</v>
      </c>
      <c r="M95" s="10">
        <f t="shared" si="76"/>
        <v>31028.242915213777</v>
      </c>
      <c r="O95">
        <f>Decomposition!H93</f>
        <v>1.1708334570680377</v>
      </c>
      <c r="Q95" s="118">
        <f>Decomposition!C93</f>
        <v>196077</v>
      </c>
      <c r="R95" s="31">
        <f t="shared" si="77"/>
        <v>196077</v>
      </c>
      <c r="S95" s="119">
        <f t="shared" si="78"/>
        <v>126073.46492563645</v>
      </c>
      <c r="T95" s="36">
        <f t="shared" si="79"/>
        <v>204068.55929106538</v>
      </c>
      <c r="U95" s="36">
        <f t="shared" si="80"/>
        <v>211222.68798325423</v>
      </c>
      <c r="V95" s="93">
        <f t="shared" si="81"/>
        <v>210977.68506347042</v>
      </c>
      <c r="W95" s="10"/>
      <c r="X95" s="10">
        <f t="shared" si="98"/>
        <v>70003.53507436355</v>
      </c>
      <c r="Y95" s="10">
        <f t="shared" si="99"/>
        <v>7991.5592910653795</v>
      </c>
      <c r="Z95" s="10">
        <f t="shared" si="100"/>
        <v>15145.687983254233</v>
      </c>
      <c r="AA95" s="10">
        <f t="shared" si="101"/>
        <v>14900.685063470417</v>
      </c>
      <c r="AB95" s="10">
        <f t="shared" si="102"/>
        <v>0</v>
      </c>
      <c r="AC95" s="39">
        <f t="shared" si="103"/>
        <v>0.34662197585426269</v>
      </c>
      <c r="AD95" s="39">
        <f t="shared" si="104"/>
        <v>3.9570145545978444E-2</v>
      </c>
      <c r="AE95" s="39">
        <f t="shared" si="105"/>
        <v>7.4993759798715059E-2</v>
      </c>
      <c r="AF95" s="39">
        <f t="shared" si="106"/>
        <v>7.3780629689566751E-2</v>
      </c>
      <c r="AG95" s="47">
        <f t="shared" si="82"/>
        <v>0</v>
      </c>
      <c r="AH95" s="47">
        <f t="shared" si="83"/>
        <v>0</v>
      </c>
      <c r="AI95" s="47">
        <f t="shared" si="115"/>
        <v>0</v>
      </c>
      <c r="AJ95" s="47">
        <f t="shared" si="115"/>
        <v>0</v>
      </c>
      <c r="AK95" s="48">
        <f t="shared" si="107"/>
        <v>0.34662197585426269</v>
      </c>
      <c r="AL95" s="48">
        <f t="shared" si="108"/>
        <v>3.9570145545978444E-2</v>
      </c>
      <c r="AM95" s="48">
        <f t="shared" si="109"/>
        <v>7.4993759798715059E-2</v>
      </c>
      <c r="AN95" s="48">
        <f t="shared" si="110"/>
        <v>7.3780629689566751E-2</v>
      </c>
      <c r="AO95" s="48"/>
      <c r="AP95" s="1">
        <f t="shared" si="85"/>
        <v>-28609.117342282378</v>
      </c>
      <c r="AQ95">
        <f t="shared" si="71"/>
        <v>-1.2158963630904516E-2</v>
      </c>
      <c r="AR95" s="1">
        <f t="shared" si="113"/>
        <v>47577620.610753864</v>
      </c>
      <c r="AS95" s="1">
        <f t="shared" si="111"/>
        <v>6897.653268377142</v>
      </c>
      <c r="AT95" s="1">
        <f t="shared" si="86"/>
        <v>4900494922.9076481</v>
      </c>
      <c r="AU95" s="2">
        <f t="shared" si="114"/>
        <v>678585807.86963975</v>
      </c>
      <c r="AV95">
        <f t="shared" si="112"/>
        <v>-6.2216289614018301</v>
      </c>
      <c r="AW95">
        <f t="shared" si="87"/>
        <v>4813.8239974319195</v>
      </c>
      <c r="AX95">
        <f t="shared" si="72"/>
        <v>0.14590756357085419</v>
      </c>
      <c r="AZ95" s="1">
        <f t="shared" si="88"/>
        <v>288.1873637084696</v>
      </c>
      <c r="BA95">
        <f t="shared" si="89"/>
        <v>0</v>
      </c>
      <c r="BB95" s="1">
        <f t="shared" si="90"/>
        <v>935.82685887052503</v>
      </c>
      <c r="BC95">
        <f t="shared" si="91"/>
        <v>0</v>
      </c>
      <c r="BD95" s="1">
        <f t="shared" si="92"/>
        <v>358.53665028895716</v>
      </c>
      <c r="BE95">
        <f t="shared" si="93"/>
        <v>0</v>
      </c>
    </row>
    <row r="96" spans="1:57" x14ac:dyDescent="0.3">
      <c r="A96">
        <v>1</v>
      </c>
      <c r="B96">
        <v>84</v>
      </c>
      <c r="C96" s="30">
        <v>44896</v>
      </c>
      <c r="D96" s="10">
        <f>Decomposition!I94</f>
        <v>131916.52706296876</v>
      </c>
      <c r="E96" s="10"/>
      <c r="F96" s="9">
        <f t="shared" si="94"/>
        <v>113657.34181043293</v>
      </c>
      <c r="G96" s="10">
        <f t="shared" si="73"/>
        <v>33060.64091253595</v>
      </c>
      <c r="H96" s="9">
        <f t="shared" si="95"/>
        <v>171563.20086518204</v>
      </c>
      <c r="I96" s="10">
        <f t="shared" si="74"/>
        <v>125134.17619715381</v>
      </c>
      <c r="J96" s="9">
        <f t="shared" si="96"/>
        <v>171348.62792302159</v>
      </c>
      <c r="K96" s="10">
        <f t="shared" si="75"/>
        <v>66929.662195869227</v>
      </c>
      <c r="L96" s="9">
        <f t="shared" si="97"/>
        <v>167467.88265771762</v>
      </c>
      <c r="M96" s="10">
        <f t="shared" si="76"/>
        <v>71024.98040333364</v>
      </c>
      <c r="O96">
        <f>Decomposition!H94</f>
        <v>1.3918574426414096</v>
      </c>
      <c r="Q96" s="118">
        <f>Decomposition!C94</f>
        <v>183609</v>
      </c>
      <c r="R96" s="31">
        <f t="shared" si="77"/>
        <v>183609</v>
      </c>
      <c r="S96" s="119">
        <f t="shared" si="78"/>
        <v>158194.81710968976</v>
      </c>
      <c r="T96" s="36">
        <f t="shared" si="79"/>
        <v>238791.51800758674</v>
      </c>
      <c r="U96" s="36">
        <f t="shared" si="80"/>
        <v>238492.86306105126</v>
      </c>
      <c r="V96" s="93">
        <f t="shared" si="81"/>
        <v>233091.41888054254</v>
      </c>
      <c r="W96" s="10"/>
      <c r="X96" s="10">
        <f t="shared" si="98"/>
        <v>25414.182890310243</v>
      </c>
      <c r="Y96" s="10">
        <f t="shared" si="99"/>
        <v>55182.518007586739</v>
      </c>
      <c r="Z96" s="10">
        <f t="shared" si="100"/>
        <v>54883.863061051263</v>
      </c>
      <c r="AA96" s="10">
        <f t="shared" si="101"/>
        <v>49482.418880542536</v>
      </c>
      <c r="AB96" s="10">
        <f t="shared" si="102"/>
        <v>0</v>
      </c>
      <c r="AC96" s="39">
        <f t="shared" si="103"/>
        <v>0.13438319456657896</v>
      </c>
      <c r="AD96" s="39">
        <f t="shared" si="104"/>
        <v>0.29178994603500119</v>
      </c>
      <c r="AE96" s="39">
        <f t="shared" si="105"/>
        <v>0.2902107409918262</v>
      </c>
      <c r="AF96" s="39">
        <f t="shared" si="106"/>
        <v>0.26164939289014977</v>
      </c>
      <c r="AG96" s="47">
        <f t="shared" si="82"/>
        <v>0</v>
      </c>
      <c r="AH96" s="47">
        <f t="shared" si="83"/>
        <v>0</v>
      </c>
      <c r="AI96" s="47">
        <f t="shared" si="115"/>
        <v>0</v>
      </c>
      <c r="AJ96" s="47">
        <f t="shared" si="115"/>
        <v>0</v>
      </c>
      <c r="AK96" s="48">
        <f t="shared" si="107"/>
        <v>0.13438319456657896</v>
      </c>
      <c r="AL96" s="48">
        <f t="shared" si="108"/>
        <v>0.29178994603500119</v>
      </c>
      <c r="AM96" s="48">
        <f t="shared" si="109"/>
        <v>0.2902107409918262</v>
      </c>
      <c r="AN96" s="48">
        <f t="shared" si="110"/>
        <v>0.26164939289014977</v>
      </c>
      <c r="AO96" s="48"/>
      <c r="AP96" s="1">
        <f t="shared" si="85"/>
        <v>-51692.472937031242</v>
      </c>
      <c r="AQ96">
        <f t="shared" si="71"/>
        <v>-2.3461301341905553E-2</v>
      </c>
      <c r="AR96" s="1">
        <f t="shared" si="113"/>
        <v>6270686.3299236689</v>
      </c>
      <c r="AS96" s="1">
        <f t="shared" si="111"/>
        <v>2504.1338482444721</v>
      </c>
      <c r="AT96" s="1">
        <f t="shared" si="86"/>
        <v>645880691.98213792</v>
      </c>
      <c r="AU96" s="2">
        <f t="shared" si="114"/>
        <v>184462021.07352287</v>
      </c>
      <c r="AV96">
        <f t="shared" si="112"/>
        <v>-2.5014291192478195</v>
      </c>
      <c r="AW96">
        <f t="shared" si="87"/>
        <v>15715.778806855818</v>
      </c>
      <c r="AX96">
        <f t="shared" si="72"/>
        <v>0.28153561610286665</v>
      </c>
      <c r="AZ96" s="1">
        <f t="shared" si="88"/>
        <v>320.97709623821311</v>
      </c>
      <c r="BA96">
        <f t="shared" si="89"/>
        <v>0</v>
      </c>
      <c r="BB96" s="1">
        <f t="shared" si="90"/>
        <v>1214.8949145354738</v>
      </c>
      <c r="BC96">
        <f t="shared" si="91"/>
        <v>0</v>
      </c>
      <c r="BD96" s="1">
        <f t="shared" si="92"/>
        <v>649.8025455909634</v>
      </c>
      <c r="BE96">
        <f t="shared" si="93"/>
        <v>0</v>
      </c>
    </row>
    <row r="97" spans="1:57" x14ac:dyDescent="0.3">
      <c r="A97">
        <v>1</v>
      </c>
      <c r="B97">
        <v>85</v>
      </c>
      <c r="C97" s="30">
        <v>44927</v>
      </c>
      <c r="D97" s="10">
        <f>Decomposition!I95</f>
        <v>157339.65807453229</v>
      </c>
      <c r="E97" s="10"/>
      <c r="F97" s="9">
        <f t="shared" si="94"/>
        <v>115483.26033568653</v>
      </c>
      <c r="G97" s="10">
        <f t="shared" si="73"/>
        <v>54326.805011582968</v>
      </c>
      <c r="H97" s="9">
        <f t="shared" si="95"/>
        <v>155704.53134429673</v>
      </c>
      <c r="I97" s="10">
        <f t="shared" si="74"/>
        <v>121265.5289524369</v>
      </c>
      <c r="J97" s="9">
        <f t="shared" si="96"/>
        <v>143746.15732098461</v>
      </c>
      <c r="K97" s="10">
        <f t="shared" si="75"/>
        <v>62861.546448979818</v>
      </c>
      <c r="L97" s="9">
        <f t="shared" si="97"/>
        <v>131916.52706296876</v>
      </c>
      <c r="M97" s="10">
        <f t="shared" si="76"/>
        <v>86649.55073030779</v>
      </c>
      <c r="O97">
        <f>Decomposition!H95</f>
        <v>1.5205003171334823</v>
      </c>
      <c r="Q97" s="118">
        <f>Decomposition!C95</f>
        <v>239235</v>
      </c>
      <c r="R97" s="31">
        <f t="shared" si="77"/>
        <v>239235</v>
      </c>
      <c r="S97" s="119">
        <f t="shared" si="78"/>
        <v>175592.33396401987</v>
      </c>
      <c r="T97" s="36">
        <f t="shared" si="79"/>
        <v>236748.78928812343</v>
      </c>
      <c r="U97" s="36">
        <f t="shared" si="80"/>
        <v>218566.07779327655</v>
      </c>
      <c r="V97" s="93">
        <f t="shared" si="81"/>
        <v>200579.12123439161</v>
      </c>
      <c r="W97" s="10"/>
      <c r="X97" s="10">
        <f t="shared" si="98"/>
        <v>63642.666035980132</v>
      </c>
      <c r="Y97" s="10">
        <f t="shared" si="99"/>
        <v>2486.2107118765707</v>
      </c>
      <c r="Z97" s="10">
        <f t="shared" si="100"/>
        <v>20668.922206723451</v>
      </c>
      <c r="AA97" s="10">
        <f t="shared" si="101"/>
        <v>38655.878765608388</v>
      </c>
      <c r="AB97" s="10">
        <f t="shared" si="102"/>
        <v>0</v>
      </c>
      <c r="AC97" s="39">
        <f t="shared" si="103"/>
        <v>0.25827740987496406</v>
      </c>
      <c r="AD97" s="39">
        <f t="shared" si="104"/>
        <v>1.0089647449775977E-2</v>
      </c>
      <c r="AE97" s="39">
        <f t="shared" si="105"/>
        <v>8.3879510789847539E-2</v>
      </c>
      <c r="AF97" s="39">
        <f t="shared" si="106"/>
        <v>0.15687495301308677</v>
      </c>
      <c r="AG97" s="47">
        <f t="shared" si="82"/>
        <v>0</v>
      </c>
      <c r="AH97" s="47">
        <f t="shared" si="83"/>
        <v>0</v>
      </c>
      <c r="AI97" s="47">
        <f t="shared" si="115"/>
        <v>0</v>
      </c>
      <c r="AJ97" s="47">
        <f t="shared" si="115"/>
        <v>0</v>
      </c>
      <c r="AK97" s="48">
        <f t="shared" si="107"/>
        <v>0.25827740987496406</v>
      </c>
      <c r="AL97" s="48">
        <f t="shared" si="108"/>
        <v>1.0089647449775977E-2</v>
      </c>
      <c r="AM97" s="48">
        <f t="shared" si="109"/>
        <v>8.3879510789847539E-2</v>
      </c>
      <c r="AN97" s="48">
        <f t="shared" si="110"/>
        <v>0.15687495301308677</v>
      </c>
      <c r="AO97" s="48"/>
      <c r="AP97" s="1">
        <f t="shared" si="85"/>
        <v>-81895.341925467714</v>
      </c>
      <c r="AQ97">
        <f t="shared" si="71"/>
        <v>-2.8526811825704053E-2</v>
      </c>
      <c r="AR97" s="1">
        <f t="shared" si="113"/>
        <v>39324164.467643671</v>
      </c>
      <c r="AS97" s="1">
        <f t="shared" si="111"/>
        <v>6270.8982185683471</v>
      </c>
      <c r="AT97" s="1">
        <f t="shared" si="86"/>
        <v>4050388940.1672988</v>
      </c>
      <c r="AU97" s="2">
        <f t="shared" si="114"/>
        <v>4789702917.2288647</v>
      </c>
      <c r="AV97">
        <f t="shared" si="112"/>
        <v>0.15435487123892522</v>
      </c>
      <c r="AW97">
        <f t="shared" si="87"/>
        <v>39445.702101112642</v>
      </c>
      <c r="AX97">
        <f t="shared" si="72"/>
        <v>0.34232174190844866</v>
      </c>
      <c r="AZ97" s="1">
        <f t="shared" si="88"/>
        <v>527.44470885032013</v>
      </c>
      <c r="BA97">
        <f t="shared" si="89"/>
        <v>0</v>
      </c>
      <c r="BB97" s="1">
        <f t="shared" si="90"/>
        <v>1177.3352325479311</v>
      </c>
      <c r="BC97">
        <f t="shared" si="91"/>
        <v>0</v>
      </c>
      <c r="BD97" s="1">
        <f t="shared" si="92"/>
        <v>610.3062762036875</v>
      </c>
      <c r="BE97">
        <f t="shared" si="93"/>
        <v>0</v>
      </c>
    </row>
    <row r="98" spans="1:57" x14ac:dyDescent="0.3">
      <c r="A98">
        <v>1</v>
      </c>
      <c r="B98">
        <v>86</v>
      </c>
      <c r="C98" s="30">
        <v>44958</v>
      </c>
      <c r="D98" s="10">
        <f>Decomposition!I96</f>
        <v>181282.98005100104</v>
      </c>
      <c r="E98" s="10"/>
      <c r="F98" s="9">
        <f t="shared" si="94"/>
        <v>119668.90010957111</v>
      </c>
      <c r="G98" s="10">
        <f t="shared" si="73"/>
        <v>77989.920397995476</v>
      </c>
      <c r="H98" s="9">
        <f t="shared" si="95"/>
        <v>156358.58203639096</v>
      </c>
      <c r="I98" s="10">
        <f t="shared" si="74"/>
        <v>57952.322702439735</v>
      </c>
      <c r="J98" s="9">
        <f t="shared" si="96"/>
        <v>153261.607848468</v>
      </c>
      <c r="K98" s="10">
        <f t="shared" si="75"/>
        <v>17744.520215099066</v>
      </c>
      <c r="L98" s="9">
        <f t="shared" si="97"/>
        <v>157339.65807453229</v>
      </c>
      <c r="M98" s="10">
        <f t="shared" si="76"/>
        <v>16763.444176957739</v>
      </c>
      <c r="O98">
        <f>Decomposition!H96</f>
        <v>1.1359864006100491</v>
      </c>
      <c r="Q98" s="118">
        <f>Decomposition!C96</f>
        <v>205935</v>
      </c>
      <c r="R98" s="31">
        <f t="shared" si="77"/>
        <v>205935</v>
      </c>
      <c r="S98" s="119">
        <f t="shared" si="78"/>
        <v>135942.24310043521</v>
      </c>
      <c r="T98" s="36">
        <f t="shared" si="79"/>
        <v>177621.22281201085</v>
      </c>
      <c r="U98" s="36">
        <f t="shared" si="80"/>
        <v>174103.10225149003</v>
      </c>
      <c r="V98" s="93">
        <f t="shared" si="81"/>
        <v>178735.71184930377</v>
      </c>
      <c r="W98" s="10"/>
      <c r="X98" s="10">
        <f t="shared" si="98"/>
        <v>69992.756899564789</v>
      </c>
      <c r="Y98" s="10">
        <f t="shared" si="99"/>
        <v>28313.777187989152</v>
      </c>
      <c r="Z98" s="10">
        <f t="shared" si="100"/>
        <v>31831.897748509975</v>
      </c>
      <c r="AA98" s="10">
        <f t="shared" si="101"/>
        <v>27199.288150696229</v>
      </c>
      <c r="AB98" s="10">
        <f t="shared" si="102"/>
        <v>0</v>
      </c>
      <c r="AC98" s="39">
        <f t="shared" si="103"/>
        <v>0.32997855105833795</v>
      </c>
      <c r="AD98" s="39">
        <f t="shared" si="104"/>
        <v>0.13348437160273333</v>
      </c>
      <c r="AE98" s="39">
        <f t="shared" si="105"/>
        <v>0.15007043531036857</v>
      </c>
      <c r="AF98" s="39">
        <f t="shared" si="106"/>
        <v>0.12823014968054172</v>
      </c>
      <c r="AG98" s="47">
        <f t="shared" si="82"/>
        <v>0</v>
      </c>
      <c r="AH98" s="47">
        <f t="shared" si="83"/>
        <v>0</v>
      </c>
      <c r="AI98" s="47">
        <f t="shared" si="115"/>
        <v>0</v>
      </c>
      <c r="AJ98" s="47">
        <f t="shared" si="115"/>
        <v>0</v>
      </c>
      <c r="AK98" s="48">
        <f t="shared" si="107"/>
        <v>0.32997855105833795</v>
      </c>
      <c r="AL98" s="48">
        <f t="shared" si="108"/>
        <v>0.13348437160273333</v>
      </c>
      <c r="AM98" s="48">
        <f t="shared" si="109"/>
        <v>0.15007043531036857</v>
      </c>
      <c r="AN98" s="48">
        <f t="shared" si="110"/>
        <v>0.12823014968054172</v>
      </c>
      <c r="AO98" s="48"/>
      <c r="AP98" s="1">
        <f t="shared" si="85"/>
        <v>-24652.019948998961</v>
      </c>
      <c r="AQ98">
        <f t="shared" si="71"/>
        <v>-9.9756476351757252E-3</v>
      </c>
      <c r="AR98" s="1">
        <f t="shared" si="113"/>
        <v>47562971.052442461</v>
      </c>
      <c r="AS98" s="1">
        <f t="shared" si="111"/>
        <v>6896.5912632577019</v>
      </c>
      <c r="AT98" s="1">
        <f t="shared" si="86"/>
        <v>4898986018.4015741</v>
      </c>
      <c r="AU98" s="2">
        <f t="shared" si="114"/>
        <v>1289361455.092941</v>
      </c>
      <c r="AV98">
        <f t="shared" si="112"/>
        <v>-2.7995443396036999</v>
      </c>
      <c r="AW98">
        <f t="shared" si="87"/>
        <v>3574.2613962143269</v>
      </c>
      <c r="AX98">
        <f t="shared" si="72"/>
        <v>0.11970777162210873</v>
      </c>
      <c r="AZ98" s="1">
        <f t="shared" si="88"/>
        <v>757.18369318442205</v>
      </c>
      <c r="BA98">
        <f t="shared" si="89"/>
        <v>0</v>
      </c>
      <c r="BB98" s="1">
        <f t="shared" si="90"/>
        <v>562.64390973242462</v>
      </c>
      <c r="BC98">
        <f t="shared" si="91"/>
        <v>0</v>
      </c>
      <c r="BD98" s="1">
        <f t="shared" si="92"/>
        <v>172.27689529222394</v>
      </c>
      <c r="BE98">
        <f t="shared" si="93"/>
        <v>0</v>
      </c>
    </row>
    <row r="99" spans="1:57" x14ac:dyDescent="0.3">
      <c r="A99">
        <v>1</v>
      </c>
      <c r="B99">
        <v>87</v>
      </c>
      <c r="C99" s="30">
        <v>44986</v>
      </c>
      <c r="D99" s="10">
        <f>Decomposition!I97</f>
        <v>193671.61813432167</v>
      </c>
      <c r="E99" s="10"/>
      <c r="F99" s="9">
        <f t="shared" si="94"/>
        <v>125830.30810371411</v>
      </c>
      <c r="G99" s="10">
        <f t="shared" si="73"/>
        <v>79574.651210165001</v>
      </c>
      <c r="H99" s="9">
        <f t="shared" si="95"/>
        <v>166328.34124223498</v>
      </c>
      <c r="I99" s="10">
        <f t="shared" si="74"/>
        <v>64145.008916212013</v>
      </c>
      <c r="J99" s="9">
        <f t="shared" si="96"/>
        <v>172876.56839024113</v>
      </c>
      <c r="K99" s="10">
        <f t="shared" si="75"/>
        <v>31126.167351839249</v>
      </c>
      <c r="L99" s="9">
        <f t="shared" si="97"/>
        <v>181282.98005100104</v>
      </c>
      <c r="M99" s="10">
        <f t="shared" si="76"/>
        <v>16171.528543073189</v>
      </c>
      <c r="O99">
        <f>Decomposition!H97</f>
        <v>1.1421704539411746</v>
      </c>
      <c r="Q99" s="118">
        <f>Decomposition!C97</f>
        <v>221206</v>
      </c>
      <c r="R99" s="31">
        <f t="shared" si="77"/>
        <v>221206</v>
      </c>
      <c r="S99" s="119">
        <f t="shared" si="78"/>
        <v>143719.66012637701</v>
      </c>
      <c r="T99" s="36">
        <f t="shared" si="79"/>
        <v>189975.31701992612</v>
      </c>
      <c r="U99" s="36">
        <f t="shared" si="80"/>
        <v>197454.50859407423</v>
      </c>
      <c r="V99" s="93">
        <f t="shared" si="81"/>
        <v>207056.06361666074</v>
      </c>
      <c r="W99" s="10"/>
      <c r="X99" s="10">
        <f t="shared" si="98"/>
        <v>77486.339873622986</v>
      </c>
      <c r="Y99" s="10">
        <f t="shared" si="99"/>
        <v>31230.682980073878</v>
      </c>
      <c r="Z99" s="10">
        <f t="shared" si="100"/>
        <v>23751.491405925772</v>
      </c>
      <c r="AA99" s="10">
        <f t="shared" si="101"/>
        <v>14149.936383339256</v>
      </c>
      <c r="AB99" s="10">
        <f t="shared" si="102"/>
        <v>0</v>
      </c>
      <c r="AC99" s="39">
        <f t="shared" si="103"/>
        <v>0.34008777423751385</v>
      </c>
      <c r="AD99" s="39">
        <f t="shared" si="104"/>
        <v>0.13707155970889096</v>
      </c>
      <c r="AE99" s="39">
        <f t="shared" si="105"/>
        <v>0.10424536583140914</v>
      </c>
      <c r="AF99" s="39">
        <f t="shared" si="106"/>
        <v>6.2104112519197521E-2</v>
      </c>
      <c r="AG99" s="47">
        <f t="shared" si="82"/>
        <v>0</v>
      </c>
      <c r="AH99" s="47">
        <f t="shared" si="83"/>
        <v>0</v>
      </c>
      <c r="AI99" s="47">
        <f t="shared" si="115"/>
        <v>0</v>
      </c>
      <c r="AJ99" s="47">
        <f t="shared" si="115"/>
        <v>0</v>
      </c>
      <c r="AK99" s="48">
        <f t="shared" si="107"/>
        <v>0.34008777423751385</v>
      </c>
      <c r="AL99" s="48">
        <f t="shared" si="108"/>
        <v>0.13707155970889096</v>
      </c>
      <c r="AM99" s="48">
        <f t="shared" si="109"/>
        <v>0.10424536583140914</v>
      </c>
      <c r="AN99" s="48">
        <f t="shared" si="110"/>
        <v>6.2104112519197521E-2</v>
      </c>
      <c r="AO99" s="48"/>
      <c r="AP99" s="1">
        <f t="shared" si="85"/>
        <v>-27534.381865678326</v>
      </c>
      <c r="AQ99">
        <f t="shared" si="71"/>
        <v>-1.0372828142726057E-2</v>
      </c>
      <c r="AR99" s="1">
        <f t="shared" si="113"/>
        <v>58292552.106899172</v>
      </c>
      <c r="AS99" s="1">
        <f t="shared" si="111"/>
        <v>7634.9559335270014</v>
      </c>
      <c r="AT99" s="1">
        <f t="shared" si="86"/>
        <v>6004132867.0106153</v>
      </c>
      <c r="AU99" s="2">
        <f t="shared" si="114"/>
        <v>2619257246.7919707</v>
      </c>
      <c r="AV99">
        <f t="shared" si="112"/>
        <v>-1.2923036194189756</v>
      </c>
      <c r="AW99">
        <f t="shared" si="87"/>
        <v>4458.9433215401332</v>
      </c>
      <c r="AX99">
        <f t="shared" si="72"/>
        <v>0.1244739377127127</v>
      </c>
      <c r="AZ99" s="1">
        <f t="shared" si="88"/>
        <v>772.56942922490293</v>
      </c>
      <c r="BA99">
        <f t="shared" si="89"/>
        <v>0</v>
      </c>
      <c r="BB99" s="1">
        <f t="shared" si="90"/>
        <v>622.76707685642737</v>
      </c>
      <c r="BC99">
        <f t="shared" si="91"/>
        <v>0</v>
      </c>
      <c r="BD99" s="1">
        <f t="shared" si="92"/>
        <v>302.19579953241987</v>
      </c>
      <c r="BE99">
        <f t="shared" si="93"/>
        <v>0</v>
      </c>
    </row>
    <row r="100" spans="1:57" x14ac:dyDescent="0.3">
      <c r="A100">
        <v>1</v>
      </c>
      <c r="B100">
        <v>88</v>
      </c>
      <c r="C100" s="30">
        <v>45017</v>
      </c>
      <c r="D100" s="10">
        <f>Decomposition!I98</f>
        <v>249818.9819040696</v>
      </c>
      <c r="E100" s="10"/>
      <c r="F100" s="9">
        <f t="shared" si="94"/>
        <v>132614.43910677487</v>
      </c>
      <c r="G100" s="10">
        <f t="shared" si="73"/>
        <v>92823.543933015884</v>
      </c>
      <c r="H100" s="9">
        <f t="shared" si="95"/>
        <v>177265.65199906967</v>
      </c>
      <c r="I100" s="10">
        <f t="shared" si="74"/>
        <v>25355.714886963804</v>
      </c>
      <c r="J100" s="9">
        <f t="shared" si="96"/>
        <v>187433.10321109754</v>
      </c>
      <c r="K100" s="10">
        <f t="shared" si="75"/>
        <v>10234.781416556682</v>
      </c>
      <c r="L100" s="9">
        <f t="shared" si="97"/>
        <v>193671.61813432167</v>
      </c>
      <c r="M100" s="10">
        <f t="shared" si="76"/>
        <v>26640.747551808687</v>
      </c>
      <c r="O100">
        <f>Decomposition!H98</f>
        <v>0.89114925656645383</v>
      </c>
      <c r="Q100" s="118">
        <f>Decomposition!C98</f>
        <v>222626</v>
      </c>
      <c r="R100" s="31">
        <f t="shared" si="77"/>
        <v>222626</v>
      </c>
      <c r="S100" s="119">
        <f t="shared" si="78"/>
        <v>118179.25881997969</v>
      </c>
      <c r="T100" s="36">
        <f t="shared" si="79"/>
        <v>157970.15399373867</v>
      </c>
      <c r="U100" s="36">
        <f t="shared" si="80"/>
        <v>167030.87058251299</v>
      </c>
      <c r="V100" s="93">
        <f t="shared" si="81"/>
        <v>172590.31851842289</v>
      </c>
      <c r="W100" s="10"/>
      <c r="X100" s="10">
        <f t="shared" si="98"/>
        <v>104446.74118002031</v>
      </c>
      <c r="Y100" s="10">
        <f t="shared" si="99"/>
        <v>64655.84600626133</v>
      </c>
      <c r="Z100" s="10">
        <f t="shared" si="100"/>
        <v>55595.129417487013</v>
      </c>
      <c r="AA100" s="10">
        <f t="shared" si="101"/>
        <v>50035.681481577107</v>
      </c>
      <c r="AB100" s="10">
        <f t="shared" si="102"/>
        <v>0</v>
      </c>
      <c r="AC100" s="39">
        <f t="shared" si="103"/>
        <v>0.4554930829615515</v>
      </c>
      <c r="AD100" s="39">
        <f t="shared" si="104"/>
        <v>0.28196466731422404</v>
      </c>
      <c r="AE100" s="39">
        <f t="shared" si="105"/>
        <v>0.24245080899529009</v>
      </c>
      <c r="AF100" s="39">
        <f t="shared" si="106"/>
        <v>0.21820601158674977</v>
      </c>
      <c r="AG100" s="47">
        <f t="shared" si="82"/>
        <v>0</v>
      </c>
      <c r="AH100" s="47">
        <f t="shared" si="83"/>
        <v>0</v>
      </c>
      <c r="AI100" s="47">
        <f t="shared" si="115"/>
        <v>0</v>
      </c>
      <c r="AJ100" s="47">
        <f t="shared" si="115"/>
        <v>0</v>
      </c>
      <c r="AK100" s="48">
        <f t="shared" si="107"/>
        <v>0.4554930829615515</v>
      </c>
      <c r="AL100" s="48">
        <f t="shared" si="108"/>
        <v>0.28196466731422404</v>
      </c>
      <c r="AM100" s="48">
        <f t="shared" si="109"/>
        <v>0.24245080899529009</v>
      </c>
      <c r="AN100" s="48">
        <f t="shared" si="110"/>
        <v>0.21820601158674977</v>
      </c>
      <c r="AO100" s="48"/>
      <c r="AP100" s="1">
        <f t="shared" si="85"/>
        <v>27192.981904069602</v>
      </c>
      <c r="AQ100">
        <f t="shared" si="71"/>
        <v>1.0178873201419122E-2</v>
      </c>
      <c r="AR100" s="1">
        <f t="shared" si="113"/>
        <v>105913803.33132184</v>
      </c>
      <c r="AS100" s="1">
        <f t="shared" si="111"/>
        <v>10291.443209352215</v>
      </c>
      <c r="AT100" s="1">
        <f t="shared" si="86"/>
        <v>10909121743.12615</v>
      </c>
      <c r="AU100" s="2">
        <f t="shared" si="114"/>
        <v>2766621096.8890581</v>
      </c>
      <c r="AV100">
        <f t="shared" si="112"/>
        <v>-2.9431209988939107</v>
      </c>
      <c r="AW100">
        <f t="shared" si="87"/>
        <v>4349.0555702819011</v>
      </c>
      <c r="AX100">
        <f t="shared" si="72"/>
        <v>0.12214647841702947</v>
      </c>
      <c r="AZ100" s="1">
        <f t="shared" si="88"/>
        <v>901.19945566034835</v>
      </c>
      <c r="BA100">
        <f t="shared" si="89"/>
        <v>0</v>
      </c>
      <c r="BB100" s="1">
        <f t="shared" si="90"/>
        <v>246.17198919382335</v>
      </c>
      <c r="BC100">
        <f t="shared" si="91"/>
        <v>0</v>
      </c>
      <c r="BD100" s="1">
        <f t="shared" si="92"/>
        <v>99.366809869482339</v>
      </c>
      <c r="BE100">
        <f t="shared" si="93"/>
        <v>0</v>
      </c>
    </row>
    <row r="101" spans="1:57" x14ac:dyDescent="0.3">
      <c r="A101">
        <v>1</v>
      </c>
      <c r="B101">
        <v>89</v>
      </c>
      <c r="C101" s="30">
        <v>45047</v>
      </c>
      <c r="D101" s="10">
        <f>Decomposition!I99</f>
        <v>269928.91384295572</v>
      </c>
      <c r="E101" s="10"/>
      <c r="F101" s="9">
        <f t="shared" si="94"/>
        <v>144334.89338650435</v>
      </c>
      <c r="G101" s="10">
        <f t="shared" si="73"/>
        <v>99284.321435641701</v>
      </c>
      <c r="H101" s="9">
        <f t="shared" si="95"/>
        <v>206286.98396106967</v>
      </c>
      <c r="I101" s="10">
        <f t="shared" si="74"/>
        <v>5673.7104761720402</v>
      </c>
      <c r="J101" s="9">
        <f t="shared" si="96"/>
        <v>231103.21829617798</v>
      </c>
      <c r="K101" s="10">
        <f t="shared" si="75"/>
        <v>38232.410380589165</v>
      </c>
      <c r="L101" s="9">
        <f t="shared" si="97"/>
        <v>249818.9819040696</v>
      </c>
      <c r="M101" s="10">
        <f t="shared" si="76"/>
        <v>81764.408323589101</v>
      </c>
      <c r="O101">
        <f>Decomposition!H99</f>
        <v>0.72718404710878848</v>
      </c>
      <c r="Q101" s="118">
        <f>Decomposition!C99</f>
        <v>196288</v>
      </c>
      <c r="R101" s="31">
        <f t="shared" si="77"/>
        <v>196288.00000000003</v>
      </c>
      <c r="S101" s="119">
        <f t="shared" si="78"/>
        <v>104958.03191181374</v>
      </c>
      <c r="T101" s="36">
        <f t="shared" si="79"/>
        <v>150008.60386267639</v>
      </c>
      <c r="U101" s="36">
        <f t="shared" si="80"/>
        <v>168054.5735804805</v>
      </c>
      <c r="V101" s="93">
        <f t="shared" si="81"/>
        <v>181664.37830559851</v>
      </c>
      <c r="W101" s="10"/>
      <c r="X101" s="10">
        <f t="shared" si="98"/>
        <v>91329.968088186259</v>
      </c>
      <c r="Y101" s="10">
        <f t="shared" si="99"/>
        <v>46279.396137323609</v>
      </c>
      <c r="Z101" s="10">
        <f t="shared" si="100"/>
        <v>28233.426419519499</v>
      </c>
      <c r="AA101" s="10">
        <f t="shared" si="101"/>
        <v>14623.621694401489</v>
      </c>
      <c r="AB101" s="10">
        <f t="shared" si="102"/>
        <v>0</v>
      </c>
      <c r="AC101" s="39">
        <f t="shared" si="103"/>
        <v>0.45173353404323197</v>
      </c>
      <c r="AD101" s="39">
        <f t="shared" si="104"/>
        <v>0.22890575358915655</v>
      </c>
      <c r="AE101" s="39">
        <f t="shared" si="105"/>
        <v>0.13964732235890112</v>
      </c>
      <c r="AF101" s="39">
        <f t="shared" si="106"/>
        <v>7.2330916640030662E-2</v>
      </c>
      <c r="AG101" s="47">
        <f t="shared" si="82"/>
        <v>0</v>
      </c>
      <c r="AH101" s="47">
        <f t="shared" si="83"/>
        <v>0</v>
      </c>
      <c r="AI101" s="47">
        <f t="shared" si="115"/>
        <v>0</v>
      </c>
      <c r="AJ101" s="47">
        <f t="shared" si="115"/>
        <v>0</v>
      </c>
      <c r="AK101" s="48">
        <f t="shared" si="107"/>
        <v>0.45173353404323197</v>
      </c>
      <c r="AL101" s="48">
        <f t="shared" si="108"/>
        <v>0.22890575358915655</v>
      </c>
      <c r="AM101" s="48">
        <f t="shared" si="109"/>
        <v>0.13964732235890112</v>
      </c>
      <c r="AN101" s="48">
        <f t="shared" si="110"/>
        <v>7.2330916640030662E-2</v>
      </c>
      <c r="AO101" s="48"/>
      <c r="AP101" s="1">
        <f t="shared" si="85"/>
        <v>73640.913842955721</v>
      </c>
      <c r="AQ101">
        <f t="shared" si="71"/>
        <v>3.1263973448434491E-2</v>
      </c>
      <c r="AR101" s="1">
        <f t="shared" si="113"/>
        <v>80982165.737758443</v>
      </c>
      <c r="AS101" s="1">
        <f t="shared" si="111"/>
        <v>8999.0091531100497</v>
      </c>
      <c r="AT101" s="1">
        <f t="shared" si="86"/>
        <v>8341163070.9891205</v>
      </c>
      <c r="AU101" s="2">
        <f t="shared" si="114"/>
        <v>689623293.66575623</v>
      </c>
      <c r="AV101">
        <f t="shared" si="112"/>
        <v>-11.095245545797763</v>
      </c>
      <c r="AW101">
        <f t="shared" si="87"/>
        <v>31894.781257737315</v>
      </c>
      <c r="AX101">
        <f t="shared" si="72"/>
        <v>0.37516768138121392</v>
      </c>
      <c r="AZ101" s="1">
        <f t="shared" si="88"/>
        <v>963.92545083147286</v>
      </c>
      <c r="BA101">
        <f t="shared" si="89"/>
        <v>0</v>
      </c>
      <c r="BB101" s="1">
        <f t="shared" si="90"/>
        <v>55.084567729825636</v>
      </c>
      <c r="BC101">
        <f t="shared" si="91"/>
        <v>0</v>
      </c>
      <c r="BD101" s="1">
        <f t="shared" si="92"/>
        <v>371.18845029698218</v>
      </c>
      <c r="BE101">
        <f t="shared" si="93"/>
        <v>0</v>
      </c>
    </row>
    <row r="102" spans="1:57" x14ac:dyDescent="0.3">
      <c r="A102">
        <v>1</v>
      </c>
      <c r="B102">
        <v>90</v>
      </c>
      <c r="C102" s="30">
        <v>45078</v>
      </c>
      <c r="D102" s="10">
        <f>Decomposition!I100</f>
        <v>295966.60126709624</v>
      </c>
      <c r="E102" s="10"/>
      <c r="F102" s="9">
        <f t="shared" si="94"/>
        <v>156894.29543214949</v>
      </c>
      <c r="G102" s="10">
        <f t="shared" si="73"/>
        <v>104976.20054259345</v>
      </c>
      <c r="H102" s="9">
        <f t="shared" si="95"/>
        <v>231743.75591382408</v>
      </c>
      <c r="I102" s="10">
        <f t="shared" si="74"/>
        <v>741.66938324467628</v>
      </c>
      <c r="J102" s="9">
        <f t="shared" si="96"/>
        <v>258281.20517892239</v>
      </c>
      <c r="K102" s="10">
        <f t="shared" si="75"/>
        <v>57709.774766292045</v>
      </c>
      <c r="L102" s="9">
        <f t="shared" si="97"/>
        <v>269928.91384295572</v>
      </c>
      <c r="M102" s="10">
        <f t="shared" si="76"/>
        <v>95894.932695423689</v>
      </c>
      <c r="O102">
        <f>Decomposition!H100</f>
        <v>0.67381589390901009</v>
      </c>
      <c r="Q102" s="118">
        <f>Decomposition!C100</f>
        <v>199427</v>
      </c>
      <c r="R102" s="31">
        <f t="shared" si="77"/>
        <v>199427</v>
      </c>
      <c r="S102" s="119">
        <f t="shared" si="78"/>
        <v>105717.86992583812</v>
      </c>
      <c r="T102" s="36">
        <f t="shared" si="79"/>
        <v>156152.62604890481</v>
      </c>
      <c r="U102" s="36">
        <f t="shared" si="80"/>
        <v>174033.98114753203</v>
      </c>
      <c r="V102" s="93">
        <f t="shared" si="81"/>
        <v>181882.39237297938</v>
      </c>
      <c r="W102" s="10"/>
      <c r="X102" s="10">
        <f t="shared" si="98"/>
        <v>93709.130074161876</v>
      </c>
      <c r="Y102" s="10">
        <f t="shared" si="99"/>
        <v>43274.373951095185</v>
      </c>
      <c r="Z102" s="10">
        <f t="shared" si="100"/>
        <v>25393.018852467969</v>
      </c>
      <c r="AA102" s="10">
        <f t="shared" si="101"/>
        <v>17544.607627020625</v>
      </c>
      <c r="AB102" s="10">
        <f t="shared" si="102"/>
        <v>0</v>
      </c>
      <c r="AC102" s="39">
        <f t="shared" si="103"/>
        <v>0.45620571906552015</v>
      </c>
      <c r="AD102" s="39">
        <f t="shared" si="104"/>
        <v>0.21067335562549416</v>
      </c>
      <c r="AE102" s="39">
        <f t="shared" si="105"/>
        <v>0.12362125670856697</v>
      </c>
      <c r="AF102" s="39">
        <f t="shared" si="106"/>
        <v>8.541270559093854E-2</v>
      </c>
      <c r="AG102" s="47">
        <f t="shared" si="82"/>
        <v>0</v>
      </c>
      <c r="AH102" s="47">
        <f t="shared" si="83"/>
        <v>0</v>
      </c>
      <c r="AI102" s="47">
        <f t="shared" si="115"/>
        <v>0</v>
      </c>
      <c r="AJ102" s="47">
        <f t="shared" si="115"/>
        <v>0</v>
      </c>
      <c r="AK102" s="48">
        <f t="shared" si="107"/>
        <v>0.45620571906552015</v>
      </c>
      <c r="AL102" s="48">
        <f t="shared" si="108"/>
        <v>0.21067335562549416</v>
      </c>
      <c r="AM102" s="48">
        <f t="shared" si="109"/>
        <v>0.12362125670856697</v>
      </c>
      <c r="AN102" s="48">
        <f t="shared" si="110"/>
        <v>8.541270559093854E-2</v>
      </c>
      <c r="AO102" s="48"/>
      <c r="AP102" s="1">
        <f t="shared" si="85"/>
        <v>96539.601267096237</v>
      </c>
      <c r="AQ102">
        <f t="shared" si="71"/>
        <v>4.0340409133457454E-2</v>
      </c>
      <c r="AR102" s="1">
        <f t="shared" si="113"/>
        <v>85256320.963652313</v>
      </c>
      <c r="AS102" s="1">
        <f t="shared" si="111"/>
        <v>9233.4349493377777</v>
      </c>
      <c r="AT102" s="1">
        <f t="shared" si="86"/>
        <v>8781401059.2561893</v>
      </c>
      <c r="AU102" s="2">
        <f t="shared" si="114"/>
        <v>864341161.26769805</v>
      </c>
      <c r="AV102">
        <f t="shared" si="112"/>
        <v>-9.1596469690010185</v>
      </c>
      <c r="AW102">
        <f t="shared" si="87"/>
        <v>54814.100413527078</v>
      </c>
      <c r="AX102">
        <f t="shared" si="72"/>
        <v>0.48408490960148948</v>
      </c>
      <c r="AZ102" s="1">
        <f t="shared" si="88"/>
        <v>1019.1864130348879</v>
      </c>
      <c r="BA102">
        <f t="shared" si="89"/>
        <v>0</v>
      </c>
      <c r="BB102" s="1">
        <f t="shared" si="90"/>
        <v>7.2006736237347209</v>
      </c>
      <c r="BC102">
        <f t="shared" si="91"/>
        <v>1</v>
      </c>
      <c r="BD102" s="1">
        <f t="shared" si="92"/>
        <v>560.28907540089369</v>
      </c>
      <c r="BE102">
        <f t="shared" si="93"/>
        <v>0</v>
      </c>
    </row>
    <row r="103" spans="1:57" x14ac:dyDescent="0.3">
      <c r="A103">
        <v>1</v>
      </c>
      <c r="B103">
        <v>91</v>
      </c>
      <c r="C103" s="30">
        <v>45108</v>
      </c>
      <c r="D103" s="10">
        <f>Decomposition!I101</f>
        <v>307896.92061842617</v>
      </c>
      <c r="E103" s="10"/>
      <c r="F103" s="9">
        <f t="shared" si="94"/>
        <v>170801.52601564419</v>
      </c>
      <c r="G103" s="10">
        <f t="shared" si="73"/>
        <v>96644.164491108881</v>
      </c>
      <c r="H103" s="9">
        <f t="shared" si="95"/>
        <v>257432.89405513296</v>
      </c>
      <c r="I103" s="10">
        <f t="shared" si="74"/>
        <v>49563.736876798415</v>
      </c>
      <c r="J103" s="9">
        <f t="shared" si="96"/>
        <v>284660.98244064406</v>
      </c>
      <c r="K103" s="10">
        <f t="shared" si="75"/>
        <v>13760.101341552567</v>
      </c>
      <c r="L103" s="9">
        <f t="shared" si="97"/>
        <v>295966.60126709624</v>
      </c>
      <c r="M103" s="10">
        <f t="shared" si="76"/>
        <v>52293.808553515846</v>
      </c>
      <c r="O103">
        <f>Decomposition!H101</f>
        <v>0.85601050985057181</v>
      </c>
      <c r="Q103" s="118">
        <f>Decomposition!C101</f>
        <v>263563</v>
      </c>
      <c r="R103" s="31">
        <f t="shared" si="77"/>
        <v>263563</v>
      </c>
      <c r="S103" s="119">
        <f t="shared" si="78"/>
        <v>146207.9013679073</v>
      </c>
      <c r="T103" s="36">
        <f t="shared" si="79"/>
        <v>220365.26289244261</v>
      </c>
      <c r="U103" s="36">
        <f t="shared" si="80"/>
        <v>243672.79271358039</v>
      </c>
      <c r="V103" s="93">
        <f t="shared" si="81"/>
        <v>253350.52124938794</v>
      </c>
      <c r="W103" s="10"/>
      <c r="X103" s="10">
        <f t="shared" si="98"/>
        <v>117355.0986320927</v>
      </c>
      <c r="Y103" s="10">
        <f t="shared" si="99"/>
        <v>43197.73710755739</v>
      </c>
      <c r="Z103" s="10">
        <f t="shared" si="100"/>
        <v>19890.207286419609</v>
      </c>
      <c r="AA103" s="10">
        <f t="shared" si="101"/>
        <v>10212.478750612063</v>
      </c>
      <c r="AB103" s="10">
        <f t="shared" si="102"/>
        <v>0</v>
      </c>
      <c r="AC103" s="39">
        <f t="shared" si="103"/>
        <v>0.4322950830093632</v>
      </c>
      <c r="AD103" s="39">
        <f t="shared" si="104"/>
        <v>0.15912533470123477</v>
      </c>
      <c r="AE103" s="39">
        <f t="shared" si="105"/>
        <v>7.3268557652635471E-2</v>
      </c>
      <c r="AF103" s="39">
        <f t="shared" si="106"/>
        <v>3.7619195081311098E-2</v>
      </c>
      <c r="AG103" s="47">
        <f t="shared" si="82"/>
        <v>0</v>
      </c>
      <c r="AH103" s="47">
        <f t="shared" si="83"/>
        <v>0</v>
      </c>
      <c r="AI103" s="47">
        <f t="shared" si="115"/>
        <v>0</v>
      </c>
      <c r="AJ103" s="47">
        <f t="shared" si="115"/>
        <v>0</v>
      </c>
      <c r="AK103" s="48">
        <f t="shared" si="107"/>
        <v>0.4322950830093632</v>
      </c>
      <c r="AL103" s="48">
        <f t="shared" si="108"/>
        <v>0.15912533470123477</v>
      </c>
      <c r="AM103" s="48">
        <f t="shared" si="109"/>
        <v>7.3268557652635471E-2</v>
      </c>
      <c r="AN103" s="48">
        <f t="shared" si="110"/>
        <v>3.7619195081311098E-2</v>
      </c>
      <c r="AO103" s="48"/>
      <c r="AP103" s="1">
        <f t="shared" si="85"/>
        <v>44333.920618426171</v>
      </c>
      <c r="AQ103">
        <f t="shared" si="71"/>
        <v>1.4017496328653291E-2</v>
      </c>
      <c r="AR103" s="1">
        <f t="shared" si="113"/>
        <v>133710865.77619617</v>
      </c>
      <c r="AS103" s="1">
        <f t="shared" si="111"/>
        <v>11563.341462405933</v>
      </c>
      <c r="AT103" s="1">
        <f t="shared" si="86"/>
        <v>13772219174.948206</v>
      </c>
      <c r="AU103" s="2">
        <f t="shared" si="114"/>
        <v>8748923360.4133301</v>
      </c>
      <c r="AV103">
        <f t="shared" si="112"/>
        <v>-0.57416159767315156</v>
      </c>
      <c r="AW103">
        <f t="shared" si="87"/>
        <v>11559.886451845721</v>
      </c>
      <c r="AX103">
        <f t="shared" si="72"/>
        <v>0.1682099559438395</v>
      </c>
      <c r="AZ103" s="1">
        <f t="shared" si="88"/>
        <v>938.29285913697947</v>
      </c>
      <c r="BA103">
        <f t="shared" si="89"/>
        <v>0</v>
      </c>
      <c r="BB103" s="1">
        <f t="shared" si="90"/>
        <v>481.2013289009555</v>
      </c>
      <c r="BC103">
        <f t="shared" si="91"/>
        <v>0</v>
      </c>
      <c r="BD103" s="1">
        <f t="shared" si="92"/>
        <v>133.59321690827736</v>
      </c>
      <c r="BE103">
        <f t="shared" si="93"/>
        <v>0</v>
      </c>
    </row>
    <row r="104" spans="1:57" x14ac:dyDescent="0.3">
      <c r="A104">
        <v>1</v>
      </c>
      <c r="B104">
        <v>92</v>
      </c>
      <c r="C104" s="30">
        <v>45139</v>
      </c>
      <c r="D104" s="10">
        <f>Decomposition!I102</f>
        <v>313285.24697583949</v>
      </c>
      <c r="E104" s="10"/>
      <c r="F104" s="9">
        <f t="shared" si="94"/>
        <v>184511.0654759224</v>
      </c>
      <c r="G104" s="10">
        <f t="shared" si="73"/>
        <v>114096.77189269595</v>
      </c>
      <c r="H104" s="9">
        <f t="shared" si="95"/>
        <v>277618.50468045025</v>
      </c>
      <c r="I104" s="10">
        <f t="shared" si="74"/>
        <v>25443.27393796746</v>
      </c>
      <c r="J104" s="9">
        <f t="shared" si="96"/>
        <v>300926.13916509156</v>
      </c>
      <c r="K104" s="10">
        <f t="shared" si="75"/>
        <v>50037.317923815979</v>
      </c>
      <c r="L104" s="9">
        <f t="shared" si="97"/>
        <v>307896.92061842617</v>
      </c>
      <c r="M104" s="10">
        <f t="shared" si="76"/>
        <v>80315.733861791901</v>
      </c>
      <c r="O104">
        <f>Decomposition!H102</f>
        <v>0.756269253937361</v>
      </c>
      <c r="Q104" s="118">
        <f>Decomposition!C102</f>
        <v>236928</v>
      </c>
      <c r="R104" s="31">
        <f t="shared" si="77"/>
        <v>236928</v>
      </c>
      <c r="S104" s="119">
        <f t="shared" si="78"/>
        <v>139540.04583066341</v>
      </c>
      <c r="T104" s="36">
        <f t="shared" si="79"/>
        <v>209954.33941388986</v>
      </c>
      <c r="U104" s="36">
        <f t="shared" si="80"/>
        <v>227581.18675663427</v>
      </c>
      <c r="V104" s="93">
        <f t="shared" si="81"/>
        <v>232852.97444570801</v>
      </c>
      <c r="W104" s="10"/>
      <c r="X104" s="10">
        <f t="shared" si="98"/>
        <v>97387.95416933659</v>
      </c>
      <c r="Y104" s="10">
        <f t="shared" si="99"/>
        <v>26973.660586110142</v>
      </c>
      <c r="Z104" s="10">
        <f t="shared" si="100"/>
        <v>9346.8132433657302</v>
      </c>
      <c r="AA104" s="10">
        <f t="shared" si="101"/>
        <v>4075.0255542919913</v>
      </c>
      <c r="AB104" s="10">
        <f t="shared" si="102"/>
        <v>0</v>
      </c>
      <c r="AC104" s="39">
        <f t="shared" si="103"/>
        <v>0.39907234187132756</v>
      </c>
      <c r="AD104" s="39">
        <f t="shared" si="104"/>
        <v>0.110531553832872</v>
      </c>
      <c r="AE104" s="39">
        <f t="shared" si="105"/>
        <v>3.8300985803420229E-2</v>
      </c>
      <c r="AF104" s="39">
        <f t="shared" si="106"/>
        <v>1.669847164372246E-2</v>
      </c>
      <c r="AG104" s="47">
        <f t="shared" si="82"/>
        <v>0</v>
      </c>
      <c r="AH104" s="47">
        <f t="shared" si="83"/>
        <v>0</v>
      </c>
      <c r="AI104" s="47">
        <f t="shared" si="115"/>
        <v>0</v>
      </c>
      <c r="AJ104" s="47">
        <f t="shared" si="115"/>
        <v>0</v>
      </c>
      <c r="AK104" s="48">
        <f t="shared" si="107"/>
        <v>0.39907234187132756</v>
      </c>
      <c r="AL104" s="48">
        <f t="shared" si="108"/>
        <v>0.110531553832872</v>
      </c>
      <c r="AM104" s="48">
        <f t="shared" si="109"/>
        <v>3.8300985803420229E-2</v>
      </c>
      <c r="AN104" s="48">
        <f t="shared" si="110"/>
        <v>1.669847164372246E-2</v>
      </c>
      <c r="AO104" s="48"/>
      <c r="AP104" s="1">
        <f t="shared" si="85"/>
        <v>76357.246975839487</v>
      </c>
      <c r="AQ104">
        <f t="shared" si="71"/>
        <v>2.685669872135539E-2</v>
      </c>
      <c r="AR104" s="1">
        <f t="shared" si="113"/>
        <v>92081685.604745671</v>
      </c>
      <c r="AS104" s="1">
        <f t="shared" si="111"/>
        <v>9595.9202583569695</v>
      </c>
      <c r="AT104" s="1">
        <f t="shared" si="86"/>
        <v>9484413617.288805</v>
      </c>
      <c r="AU104" s="2">
        <f t="shared" si="114"/>
        <v>4475700932.5007086</v>
      </c>
      <c r="AV104">
        <f t="shared" si="112"/>
        <v>-1.1190901180230508</v>
      </c>
      <c r="AW104">
        <f t="shared" si="87"/>
        <v>34291.131286503864</v>
      </c>
      <c r="AX104">
        <f t="shared" si="72"/>
        <v>0.32228038465626474</v>
      </c>
      <c r="AZ104" s="1">
        <f t="shared" si="88"/>
        <v>1107.7356494436499</v>
      </c>
      <c r="BA104">
        <f t="shared" si="89"/>
        <v>0</v>
      </c>
      <c r="BB104" s="1">
        <f t="shared" si="90"/>
        <v>247.02207706764526</v>
      </c>
      <c r="BC104">
        <f t="shared" si="91"/>
        <v>0</v>
      </c>
      <c r="BD104" s="1">
        <f t="shared" si="92"/>
        <v>485.79920314384447</v>
      </c>
      <c r="BE104">
        <f t="shared" si="93"/>
        <v>0</v>
      </c>
    </row>
    <row r="105" spans="1:57" x14ac:dyDescent="0.3">
      <c r="A105">
        <v>1</v>
      </c>
      <c r="B105">
        <v>93</v>
      </c>
      <c r="C105" s="30">
        <v>45170</v>
      </c>
      <c r="D105" s="10">
        <f>Decomposition!I103</f>
        <v>292574.31367125915</v>
      </c>
      <c r="E105" s="10"/>
      <c r="F105" s="9">
        <f t="shared" si="94"/>
        <v>197388.48362591412</v>
      </c>
      <c r="G105" s="10">
        <f t="shared" si="73"/>
        <v>120086.87020360809</v>
      </c>
      <c r="H105" s="9">
        <f t="shared" si="95"/>
        <v>291885.20159860596</v>
      </c>
      <c r="I105" s="10">
        <f t="shared" si="74"/>
        <v>41383.798647293763</v>
      </c>
      <c r="J105" s="9">
        <f t="shared" si="96"/>
        <v>309577.51463261509</v>
      </c>
      <c r="K105" s="10">
        <f t="shared" si="75"/>
        <v>38639.989767181803</v>
      </c>
      <c r="L105" s="9">
        <f t="shared" si="97"/>
        <v>313285.24697583949</v>
      </c>
      <c r="M105" s="10">
        <f t="shared" si="76"/>
        <v>60040.035144415335</v>
      </c>
      <c r="O105">
        <f>Decomposition!H103</f>
        <v>0.81803490195971706</v>
      </c>
      <c r="Q105" s="118">
        <f>Decomposition!C103</f>
        <v>239336</v>
      </c>
      <c r="R105" s="31">
        <f t="shared" si="77"/>
        <v>239336</v>
      </c>
      <c r="S105" s="119">
        <f t="shared" si="78"/>
        <v>161470.66885090186</v>
      </c>
      <c r="T105" s="36">
        <f t="shared" si="79"/>
        <v>238772.28227320788</v>
      </c>
      <c r="U105" s="36">
        <f t="shared" si="80"/>
        <v>253245.21183142415</v>
      </c>
      <c r="V105" s="93">
        <f t="shared" si="81"/>
        <v>256278.26629530659</v>
      </c>
      <c r="W105" s="10"/>
      <c r="X105" s="10">
        <f t="shared" si="98"/>
        <v>77865.331149098143</v>
      </c>
      <c r="Y105" s="10">
        <f t="shared" si="99"/>
        <v>563.71772679212154</v>
      </c>
      <c r="Z105" s="10">
        <f t="shared" si="100"/>
        <v>13909.211831424152</v>
      </c>
      <c r="AA105" s="10">
        <f t="shared" si="101"/>
        <v>16942.266295306588</v>
      </c>
      <c r="AB105" s="10">
        <f t="shared" si="102"/>
        <v>0</v>
      </c>
      <c r="AC105" s="39">
        <f t="shared" si="103"/>
        <v>0.31586309156424253</v>
      </c>
      <c r="AD105" s="39">
        <f t="shared" si="104"/>
        <v>2.2867381583875643E-3</v>
      </c>
      <c r="AE105" s="39">
        <f t="shared" si="105"/>
        <v>5.6423142179707508E-2</v>
      </c>
      <c r="AF105" s="39">
        <f t="shared" si="106"/>
        <v>6.872682015431443E-2</v>
      </c>
      <c r="AG105" s="47">
        <f t="shared" si="82"/>
        <v>0</v>
      </c>
      <c r="AH105" s="47">
        <f t="shared" si="83"/>
        <v>0</v>
      </c>
      <c r="AI105" s="47">
        <f t="shared" si="115"/>
        <v>0</v>
      </c>
      <c r="AJ105" s="47">
        <f t="shared" si="115"/>
        <v>0</v>
      </c>
      <c r="AK105" s="48">
        <f t="shared" si="107"/>
        <v>0.31586309156424253</v>
      </c>
      <c r="AL105" s="48">
        <f t="shared" si="108"/>
        <v>2.2867381583875643E-3</v>
      </c>
      <c r="AM105" s="48">
        <f t="shared" si="109"/>
        <v>5.6423142179707508E-2</v>
      </c>
      <c r="AN105" s="48">
        <f t="shared" si="110"/>
        <v>6.872682015431443E-2</v>
      </c>
      <c r="AO105" s="48"/>
      <c r="AP105" s="1">
        <f t="shared" si="85"/>
        <v>53238.313671259151</v>
      </c>
      <c r="AQ105">
        <f t="shared" si="71"/>
        <v>1.8536810756725256E-2</v>
      </c>
      <c r="AR105" s="1">
        <f t="shared" si="113"/>
        <v>58864172.766589448</v>
      </c>
      <c r="AS105" s="1">
        <f t="shared" si="111"/>
        <v>7672.2990535164517</v>
      </c>
      <c r="AT105" s="1">
        <f t="shared" si="86"/>
        <v>6063009794.9587135</v>
      </c>
      <c r="AU105" s="2">
        <f t="shared" si="114"/>
        <v>4803693069.5104179</v>
      </c>
      <c r="AV105">
        <f t="shared" si="112"/>
        <v>-0.26215595110381229</v>
      </c>
      <c r="AW105">
        <f t="shared" si="87"/>
        <v>16669.780104077854</v>
      </c>
      <c r="AX105">
        <f t="shared" si="72"/>
        <v>0.22244172908070309</v>
      </c>
      <c r="AZ105" s="1">
        <f t="shared" si="88"/>
        <v>1165.8919437243505</v>
      </c>
      <c r="BA105">
        <f t="shared" si="89"/>
        <v>0</v>
      </c>
      <c r="BB105" s="1">
        <f t="shared" si="90"/>
        <v>401.7844528863472</v>
      </c>
      <c r="BC105">
        <f t="shared" si="91"/>
        <v>0</v>
      </c>
      <c r="BD105" s="1">
        <f t="shared" si="92"/>
        <v>375.14553172021169</v>
      </c>
      <c r="BE105">
        <f t="shared" si="93"/>
        <v>0</v>
      </c>
    </row>
    <row r="106" spans="1:57" x14ac:dyDescent="0.3">
      <c r="A106">
        <v>1</v>
      </c>
      <c r="B106">
        <v>94</v>
      </c>
      <c r="C106" s="30">
        <v>45200</v>
      </c>
      <c r="D106" s="10">
        <f>Decomposition!I104</f>
        <v>286014.42207353795</v>
      </c>
      <c r="E106" s="10"/>
      <c r="F106" s="9">
        <f t="shared" si="94"/>
        <v>206907.06663044862</v>
      </c>
      <c r="G106" s="10">
        <f t="shared" si="73"/>
        <v>128798.57106074406</v>
      </c>
      <c r="H106" s="9">
        <f t="shared" si="95"/>
        <v>292160.84642766719</v>
      </c>
      <c r="I106" s="10">
        <f t="shared" si="74"/>
        <v>60767.214006913709</v>
      </c>
      <c r="J106" s="9">
        <f t="shared" si="96"/>
        <v>297675.27395966597</v>
      </c>
      <c r="K106" s="10">
        <f t="shared" si="75"/>
        <v>19434.313098669518</v>
      </c>
      <c r="L106" s="9">
        <f t="shared" si="97"/>
        <v>292574.31367125915</v>
      </c>
      <c r="M106" s="10">
        <f t="shared" si="76"/>
        <v>19847.780342261482</v>
      </c>
      <c r="O106">
        <f>Decomposition!H104</f>
        <v>0.91618806527394414</v>
      </c>
      <c r="Q106" s="118">
        <f>Decomposition!C104</f>
        <v>262043</v>
      </c>
      <c r="R106" s="31">
        <f t="shared" si="77"/>
        <v>262043</v>
      </c>
      <c r="S106" s="119">
        <f t="shared" si="78"/>
        <v>189565.78506765777</v>
      </c>
      <c r="T106" s="36">
        <f t="shared" si="79"/>
        <v>267674.28063736233</v>
      </c>
      <c r="U106" s="36">
        <f t="shared" si="80"/>
        <v>272726.53332899767</v>
      </c>
      <c r="V106" s="93">
        <f t="shared" si="81"/>
        <v>268053.09439132299</v>
      </c>
      <c r="W106" s="10"/>
      <c r="X106" s="10">
        <f t="shared" si="98"/>
        <v>72477.214932342235</v>
      </c>
      <c r="Y106" s="10">
        <f t="shared" si="99"/>
        <v>5631.2806373623316</v>
      </c>
      <c r="Z106" s="10">
        <f t="shared" si="100"/>
        <v>10683.53332899767</v>
      </c>
      <c r="AA106" s="10">
        <f t="shared" si="101"/>
        <v>6010.0943913229858</v>
      </c>
      <c r="AB106" s="10">
        <f t="shared" si="102"/>
        <v>0</v>
      </c>
      <c r="AC106" s="39">
        <f t="shared" si="103"/>
        <v>0.26852931804952873</v>
      </c>
      <c r="AD106" s="39">
        <f t="shared" si="104"/>
        <v>2.0863990851580503E-2</v>
      </c>
      <c r="AE106" s="39">
        <f t="shared" si="105"/>
        <v>3.9582673283917312E-2</v>
      </c>
      <c r="AF106" s="39">
        <f t="shared" si="106"/>
        <v>2.2267502273946759E-2</v>
      </c>
      <c r="AG106" s="47">
        <f t="shared" si="82"/>
        <v>0</v>
      </c>
      <c r="AH106" s="47">
        <f t="shared" si="83"/>
        <v>0</v>
      </c>
      <c r="AI106" s="47">
        <f t="shared" si="115"/>
        <v>0</v>
      </c>
      <c r="AJ106" s="47">
        <f t="shared" si="115"/>
        <v>0</v>
      </c>
      <c r="AK106" s="48">
        <f t="shared" si="107"/>
        <v>0.26852931804952873</v>
      </c>
      <c r="AL106" s="48">
        <f t="shared" si="108"/>
        <v>2.0863990851580503E-2</v>
      </c>
      <c r="AM106" s="48">
        <f t="shared" si="109"/>
        <v>3.9582673283917312E-2</v>
      </c>
      <c r="AN106" s="48">
        <f t="shared" si="110"/>
        <v>2.2267502273946759E-2</v>
      </c>
      <c r="AO106" s="48"/>
      <c r="AP106" s="1">
        <f t="shared" si="85"/>
        <v>23971.422073537949</v>
      </c>
      <c r="AQ106">
        <f t="shared" si="71"/>
        <v>7.6232469714060764E-3</v>
      </c>
      <c r="AR106" s="1">
        <f t="shared" si="113"/>
        <v>50999482.372319728</v>
      </c>
      <c r="AS106" s="1">
        <f t="shared" si="111"/>
        <v>7141.3921872643105</v>
      </c>
      <c r="AT106" s="1">
        <f t="shared" si="86"/>
        <v>5252946684.3489323</v>
      </c>
      <c r="AU106" s="2">
        <f t="shared" si="114"/>
        <v>8466885294.3939133</v>
      </c>
      <c r="AV106">
        <f t="shared" si="112"/>
        <v>0.37958924661150084</v>
      </c>
      <c r="AW106">
        <f t="shared" si="87"/>
        <v>3379.6279028289437</v>
      </c>
      <c r="AX106">
        <f t="shared" si="72"/>
        <v>9.1478963656872914E-2</v>
      </c>
      <c r="AZ106" s="1">
        <f t="shared" si="88"/>
        <v>1250.4715636965443</v>
      </c>
      <c r="BA106">
        <f t="shared" si="89"/>
        <v>0</v>
      </c>
      <c r="BB106" s="1">
        <f t="shared" si="90"/>
        <v>589.97295152343406</v>
      </c>
      <c r="BC106">
        <f t="shared" si="91"/>
        <v>0</v>
      </c>
      <c r="BD106" s="1">
        <f t="shared" si="92"/>
        <v>188.68265144339338</v>
      </c>
      <c r="BE106">
        <f t="shared" si="93"/>
        <v>0</v>
      </c>
    </row>
    <row r="107" spans="1:57" x14ac:dyDescent="0.3">
      <c r="A107">
        <v>1</v>
      </c>
      <c r="B107">
        <v>95</v>
      </c>
      <c r="C107" s="30">
        <v>45231</v>
      </c>
      <c r="D107" s="10">
        <f>Decomposition!I105</f>
        <v>265914.84734272311</v>
      </c>
      <c r="E107" s="10"/>
      <c r="F107" s="9">
        <f t="shared" si="94"/>
        <v>214817.80217475755</v>
      </c>
      <c r="G107" s="10">
        <f t="shared" si="73"/>
        <v>127140.55400201809</v>
      </c>
      <c r="H107" s="9">
        <f t="shared" si="95"/>
        <v>289702.27668601548</v>
      </c>
      <c r="I107" s="10">
        <f t="shared" si="74"/>
        <v>124375.31595801111</v>
      </c>
      <c r="J107" s="9">
        <f t="shared" si="96"/>
        <v>289512.67763937637</v>
      </c>
      <c r="K107" s="10">
        <f t="shared" si="75"/>
        <v>49268.852539519896</v>
      </c>
      <c r="L107" s="9">
        <f t="shared" si="97"/>
        <v>286014.42207353795</v>
      </c>
      <c r="M107" s="10">
        <f t="shared" si="76"/>
        <v>52956.707151997427</v>
      </c>
      <c r="O107">
        <f>Decomposition!H105</f>
        <v>1.1708334570680377</v>
      </c>
      <c r="Q107" s="118">
        <f>Decomposition!C105</f>
        <v>311342</v>
      </c>
      <c r="R107" s="31">
        <f t="shared" si="77"/>
        <v>311342</v>
      </c>
      <c r="S107" s="119">
        <f t="shared" si="78"/>
        <v>251515.8699600292</v>
      </c>
      <c r="T107" s="36">
        <f t="shared" si="79"/>
        <v>339193.11813276866</v>
      </c>
      <c r="U107" s="36">
        <f t="shared" si="80"/>
        <v>338971.12922553538</v>
      </c>
      <c r="V107" s="93">
        <f t="shared" si="81"/>
        <v>334875.25456767727</v>
      </c>
      <c r="W107" s="10"/>
      <c r="X107" s="10">
        <f t="shared" si="98"/>
        <v>59826.130039970798</v>
      </c>
      <c r="Y107" s="10">
        <f t="shared" si="99"/>
        <v>27851.118132768665</v>
      </c>
      <c r="Z107" s="10">
        <f t="shared" si="100"/>
        <v>27629.129225535376</v>
      </c>
      <c r="AA107" s="10">
        <f t="shared" si="101"/>
        <v>23533.254567677272</v>
      </c>
      <c r="AB107" s="10">
        <f t="shared" si="102"/>
        <v>0</v>
      </c>
      <c r="AC107" s="39">
        <f t="shared" si="103"/>
        <v>0.18655890113775173</v>
      </c>
      <c r="AD107" s="39">
        <f t="shared" si="104"/>
        <v>8.6849575441961355E-2</v>
      </c>
      <c r="AE107" s="39">
        <f t="shared" si="105"/>
        <v>8.6157336004602736E-2</v>
      </c>
      <c r="AF107" s="39">
        <f t="shared" si="106"/>
        <v>7.3384959204407726E-2</v>
      </c>
      <c r="AG107" s="47">
        <f t="shared" si="82"/>
        <v>0</v>
      </c>
      <c r="AH107" s="47">
        <f t="shared" si="83"/>
        <v>0</v>
      </c>
      <c r="AI107" s="47">
        <f t="shared" si="115"/>
        <v>0</v>
      </c>
      <c r="AJ107" s="47">
        <f t="shared" si="115"/>
        <v>0</v>
      </c>
      <c r="AK107" s="48">
        <f t="shared" si="107"/>
        <v>0.18655890113775173</v>
      </c>
      <c r="AL107" s="48">
        <f t="shared" si="108"/>
        <v>8.6849575441961355E-2</v>
      </c>
      <c r="AM107" s="48">
        <f t="shared" si="109"/>
        <v>8.6157336004602736E-2</v>
      </c>
      <c r="AN107" s="48">
        <f t="shared" si="110"/>
        <v>7.3384959204407726E-2</v>
      </c>
      <c r="AO107" s="48"/>
      <c r="AP107" s="1">
        <f t="shared" si="85"/>
        <v>-45427.152657276893</v>
      </c>
      <c r="AQ107">
        <f t="shared" si="71"/>
        <v>-1.2158963630904518E-2</v>
      </c>
      <c r="AR107" s="1">
        <f t="shared" si="113"/>
        <v>34749182.869509667</v>
      </c>
      <c r="AS107" s="1">
        <f t="shared" si="111"/>
        <v>5894.8437527647557</v>
      </c>
      <c r="AT107" s="1">
        <f t="shared" si="86"/>
        <v>3579165835.5594964</v>
      </c>
      <c r="AU107" s="2">
        <f t="shared" si="114"/>
        <v>19969838673.743431</v>
      </c>
      <c r="AV107">
        <f t="shared" si="112"/>
        <v>0.82077141963768474</v>
      </c>
      <c r="AW107">
        <f t="shared" si="87"/>
        <v>12137.027119136681</v>
      </c>
      <c r="AX107">
        <f t="shared" si="72"/>
        <v>0.14590756357085422</v>
      </c>
      <c r="AZ107" s="1">
        <f t="shared" si="88"/>
        <v>1234.3743106992047</v>
      </c>
      <c r="BA107">
        <f t="shared" si="89"/>
        <v>0</v>
      </c>
      <c r="BB107" s="1">
        <f t="shared" si="90"/>
        <v>1207.5273393981661</v>
      </c>
      <c r="BC107">
        <f t="shared" si="91"/>
        <v>0</v>
      </c>
      <c r="BD107" s="1">
        <f t="shared" si="92"/>
        <v>478.33837417009607</v>
      </c>
      <c r="BE107">
        <f t="shared" si="93"/>
        <v>0</v>
      </c>
    </row>
    <row r="108" spans="1:57" x14ac:dyDescent="0.3">
      <c r="A108">
        <v>1</v>
      </c>
      <c r="B108">
        <v>96</v>
      </c>
      <c r="C108" s="30">
        <v>45261</v>
      </c>
      <c r="D108" s="10">
        <f>Decomposition!I106</f>
        <v>197370.0693647654</v>
      </c>
      <c r="E108" s="10"/>
      <c r="F108" s="9">
        <f t="shared" si="94"/>
        <v>219927.50669155412</v>
      </c>
      <c r="G108" s="10">
        <f t="shared" si="73"/>
        <v>136054.4579952778</v>
      </c>
      <c r="H108" s="9">
        <f t="shared" si="95"/>
        <v>280187.30494869855</v>
      </c>
      <c r="I108" s="10">
        <f t="shared" si="74"/>
        <v>170053.27903493025</v>
      </c>
      <c r="J108" s="9">
        <f t="shared" si="96"/>
        <v>272994.19643171912</v>
      </c>
      <c r="K108" s="10">
        <f t="shared" si="75"/>
        <v>99781.699152700661</v>
      </c>
      <c r="L108" s="9">
        <f t="shared" si="97"/>
        <v>265914.84734272311</v>
      </c>
      <c r="M108" s="10">
        <f t="shared" si="76"/>
        <v>114054.15675867611</v>
      </c>
      <c r="O108">
        <f>Decomposition!H106</f>
        <v>1.3918574426414096</v>
      </c>
      <c r="Q108" s="118">
        <f>Decomposition!C106</f>
        <v>274711</v>
      </c>
      <c r="R108" s="31">
        <f t="shared" si="77"/>
        <v>274711</v>
      </c>
      <c r="S108" s="119">
        <f t="shared" si="78"/>
        <v>306107.73703020805</v>
      </c>
      <c r="T108" s="36">
        <f t="shared" si="79"/>
        <v>389980.78572648438</v>
      </c>
      <c r="U108" s="36">
        <f t="shared" si="80"/>
        <v>379969.00410139922</v>
      </c>
      <c r="V108" s="93">
        <f t="shared" si="81"/>
        <v>370115.55938282341</v>
      </c>
      <c r="W108" s="10"/>
      <c r="X108" s="10">
        <f t="shared" si="98"/>
        <v>31396.737030208053</v>
      </c>
      <c r="Y108" s="10">
        <f t="shared" si="99"/>
        <v>115269.78572648438</v>
      </c>
      <c r="Z108" s="10">
        <f t="shared" si="100"/>
        <v>105258.00410139922</v>
      </c>
      <c r="AA108" s="10">
        <f t="shared" si="101"/>
        <v>95404.559382823412</v>
      </c>
      <c r="AB108" s="10">
        <f t="shared" si="102"/>
        <v>0</v>
      </c>
      <c r="AC108" s="39">
        <f t="shared" si="103"/>
        <v>0.11096122456460442</v>
      </c>
      <c r="AD108" s="39">
        <f t="shared" si="104"/>
        <v>0.40738235209614421</v>
      </c>
      <c r="AE108" s="39">
        <f t="shared" si="105"/>
        <v>0.37199907172137164</v>
      </c>
      <c r="AF108" s="39">
        <f t="shared" si="106"/>
        <v>0.33717537997592534</v>
      </c>
      <c r="AG108" s="47">
        <f t="shared" si="82"/>
        <v>0</v>
      </c>
      <c r="AH108" s="47">
        <f t="shared" si="83"/>
        <v>0</v>
      </c>
      <c r="AI108" s="47">
        <f t="shared" si="115"/>
        <v>0</v>
      </c>
      <c r="AJ108" s="47">
        <f>IF(AF108&gt;1,1,0)</f>
        <v>0</v>
      </c>
      <c r="AK108" s="48">
        <f t="shared" si="107"/>
        <v>0.11096122456460442</v>
      </c>
      <c r="AL108" s="48">
        <f t="shared" si="108"/>
        <v>0.40738235209614421</v>
      </c>
      <c r="AM108" s="48">
        <f t="shared" si="109"/>
        <v>0.37199907172137164</v>
      </c>
      <c r="AN108" s="48">
        <f t="shared" si="110"/>
        <v>0.33717537997592534</v>
      </c>
      <c r="AO108" s="48"/>
      <c r="AP108" s="1">
        <f t="shared" si="85"/>
        <v>-77340.930635234603</v>
      </c>
      <c r="AQ108">
        <f t="shared" si="71"/>
        <v>-2.3461301341905553E-2</v>
      </c>
      <c r="AR108" s="1">
        <f t="shared" si="113"/>
        <v>9570437.8266411405</v>
      </c>
      <c r="AS108" s="1">
        <f t="shared" si="111"/>
        <v>3093.6124234689032</v>
      </c>
      <c r="AT108" s="1">
        <f t="shared" si="86"/>
        <v>985755096.1440376</v>
      </c>
      <c r="AU108" s="2">
        <f t="shared" si="114"/>
        <v>10958672777.034691</v>
      </c>
      <c r="AV108">
        <f t="shared" si="112"/>
        <v>0.91004794867040706</v>
      </c>
      <c r="AW108">
        <f t="shared" si="87"/>
        <v>35180.343593381942</v>
      </c>
      <c r="AX108">
        <f t="shared" si="72"/>
        <v>0.28153561610286665</v>
      </c>
      <c r="AZ108" s="1">
        <f t="shared" si="88"/>
        <v>1320.9170679153185</v>
      </c>
      <c r="BA108">
        <f t="shared" si="89"/>
        <v>0</v>
      </c>
      <c r="BB108" s="1">
        <f t="shared" si="90"/>
        <v>1651.0027090769927</v>
      </c>
      <c r="BC108">
        <f t="shared" si="91"/>
        <v>0</v>
      </c>
      <c r="BD108" s="1">
        <f t="shared" si="92"/>
        <v>968.75436070583169</v>
      </c>
      <c r="BE108">
        <f t="shared" si="93"/>
        <v>0</v>
      </c>
    </row>
    <row r="109" spans="1:57" x14ac:dyDescent="0.3">
      <c r="A109">
        <v>1</v>
      </c>
      <c r="B109">
        <v>97</v>
      </c>
      <c r="C109" s="30">
        <v>45292</v>
      </c>
      <c r="D109" s="10">
        <f>Decomposition!I107</f>
        <v>215341.61901214236</v>
      </c>
      <c r="E109" s="10"/>
      <c r="F109" s="9">
        <f t="shared" si="94"/>
        <v>217671.76295887525</v>
      </c>
      <c r="G109" s="10">
        <f t="shared" ref="G109:G115" si="116">ABS(I109-S109)</f>
        <v>172986.31472537291</v>
      </c>
      <c r="H109" s="9">
        <f t="shared" si="95"/>
        <v>247060.41071512527</v>
      </c>
      <c r="I109" s="10">
        <f t="shared" ref="I109:I115" si="117">ABS(F109-T109)</f>
        <v>157983.66988460111</v>
      </c>
      <c r="J109" s="9">
        <f t="shared" si="96"/>
        <v>220057.30748485151</v>
      </c>
      <c r="K109" s="10">
        <f t="shared" ref="K109:K115" si="118">ABS(H109-U109)</f>
        <v>87536.795103131677</v>
      </c>
      <c r="L109" s="9">
        <f t="shared" si="97"/>
        <v>197370.0693647654</v>
      </c>
      <c r="M109" s="10">
        <f t="shared" ref="M109:M115" si="119">ABS(L109-U109)</f>
        <v>137227.13645349155</v>
      </c>
      <c r="O109">
        <f>Decomposition!H107</f>
        <v>1.5205003171334823</v>
      </c>
      <c r="Q109" s="118">
        <f>Decomposition!C107</f>
        <v>327427</v>
      </c>
      <c r="R109" s="31">
        <f t="shared" ref="R109:R114" si="120">D109*O109</f>
        <v>327427</v>
      </c>
      <c r="S109" s="119">
        <f t="shared" ref="S109:S132" si="121">F109*O109</f>
        <v>330969.98460997402</v>
      </c>
      <c r="T109" s="36">
        <f t="shared" ref="T109:T132" si="122">H109*O109</f>
        <v>375655.43284347636</v>
      </c>
      <c r="U109" s="36">
        <f t="shared" ref="U109:U132" si="123">J109*O109</f>
        <v>334597.20581825695</v>
      </c>
      <c r="V109" s="93">
        <f t="shared" ref="V109:V132" si="124">L109*O109</f>
        <v>300101.25306178321</v>
      </c>
      <c r="W109" s="10"/>
      <c r="X109" s="10">
        <f t="shared" si="98"/>
        <v>3542.9846099740244</v>
      </c>
      <c r="Y109" s="10">
        <f t="shared" si="99"/>
        <v>48228.432843476359</v>
      </c>
      <c r="Z109" s="10">
        <f t="shared" si="100"/>
        <v>7170.2058182569453</v>
      </c>
      <c r="AA109" s="10">
        <f t="shared" si="101"/>
        <v>27325.746938216791</v>
      </c>
      <c r="AB109" s="10">
        <f t="shared" si="102"/>
        <v>0</v>
      </c>
      <c r="AC109" s="39">
        <f t="shared" si="103"/>
        <v>1.0505519958555424E-2</v>
      </c>
      <c r="AD109" s="39">
        <f t="shared" si="104"/>
        <v>0.14300507046535135</v>
      </c>
      <c r="AE109" s="39">
        <f t="shared" si="105"/>
        <v>2.1260814997218075E-2</v>
      </c>
      <c r="AF109" s="39">
        <f t="shared" si="106"/>
        <v>8.1025240424054776E-2</v>
      </c>
      <c r="AG109" s="47">
        <f t="shared" ref="AG109:AG114" si="125">IF(AC109&gt;1,1,0)</f>
        <v>0</v>
      </c>
      <c r="AH109" s="47">
        <f t="shared" ref="AH109:AH114" si="126">IF(AD109&gt;1,1,0)</f>
        <v>0</v>
      </c>
      <c r="AI109" s="47">
        <f t="shared" ref="AI109:AJ114" si="127">IF(AE109&gt;1,1,0)</f>
        <v>0</v>
      </c>
      <c r="AJ109" s="47">
        <f t="shared" si="127"/>
        <v>0</v>
      </c>
      <c r="AK109" s="48">
        <f t="shared" si="107"/>
        <v>1.0505519958555424E-2</v>
      </c>
      <c r="AL109" s="48">
        <f t="shared" si="108"/>
        <v>0.14300507046535135</v>
      </c>
      <c r="AM109" s="48">
        <f t="shared" si="109"/>
        <v>2.1260814997218075E-2</v>
      </c>
      <c r="AN109" s="48">
        <f t="shared" si="110"/>
        <v>8.1025240424054776E-2</v>
      </c>
      <c r="AO109" s="48"/>
      <c r="AP109" s="1">
        <f t="shared" ref="AP109:AP114" si="128">D109-Q109</f>
        <v>-112085.38098785764</v>
      </c>
      <c r="AQ109">
        <f t="shared" si="71"/>
        <v>-2.8526811825704056E-2</v>
      </c>
      <c r="AR109" s="1">
        <f t="shared" si="113"/>
        <v>121871.26161662901</v>
      </c>
      <c r="AS109" s="1">
        <f t="shared" si="111"/>
        <v>349.1006468292905</v>
      </c>
      <c r="AT109" s="1">
        <f t="shared" ref="AT109:AT114" si="129">(Q109-S109)^2</f>
        <v>12552739.946512789</v>
      </c>
      <c r="AU109" s="2">
        <f t="shared" si="114"/>
        <v>24774659141.850227</v>
      </c>
      <c r="AV109">
        <f t="shared" si="112"/>
        <v>0.99949332340458685</v>
      </c>
      <c r="AW109">
        <f t="shared" si="87"/>
        <v>73888.905632921102</v>
      </c>
      <c r="AX109">
        <f t="shared" si="72"/>
        <v>0.34232174190844872</v>
      </c>
      <c r="AZ109" s="1">
        <f t="shared" si="88"/>
        <v>1679.4787837414847</v>
      </c>
      <c r="BA109">
        <f t="shared" ref="BA109:BA115" si="130">IF($BA$116=AZ109,1,0)</f>
        <v>0</v>
      </c>
      <c r="BB109" s="1">
        <f t="shared" si="90"/>
        <v>1533.822037714574</v>
      </c>
      <c r="BC109">
        <f t="shared" ref="BC109:BC115" si="131">IF($BC$116=BB109,1,0)</f>
        <v>0</v>
      </c>
      <c r="BD109" s="1">
        <f t="shared" si="92"/>
        <v>849.87179711778322</v>
      </c>
      <c r="BE109">
        <f t="shared" ref="BE109:BE115" si="132">IF($BE$116=BD109,1,0)</f>
        <v>0</v>
      </c>
    </row>
    <row r="110" spans="1:57" x14ac:dyDescent="0.3">
      <c r="A110">
        <v>1</v>
      </c>
      <c r="B110">
        <v>98</v>
      </c>
      <c r="C110" s="30">
        <v>45323</v>
      </c>
      <c r="D110" s="10">
        <f>Decomposition!I108</f>
        <v>225959.57122563577</v>
      </c>
      <c r="E110" s="10"/>
      <c r="F110" s="9">
        <f t="shared" ref="F110:F115" si="133">$S$3*D109+(1-$S$3)*F109</f>
        <v>217438.74856420196</v>
      </c>
      <c r="G110" s="10">
        <f t="shared" si="116"/>
        <v>198201.7896046362</v>
      </c>
      <c r="H110" s="9">
        <f t="shared" ref="H110:H115" si="134">$T$3*D109+(1-$T$3)*H109</f>
        <v>234372.89403393213</v>
      </c>
      <c r="I110" s="10">
        <f t="shared" si="117"/>
        <v>48805.671729965048</v>
      </c>
      <c r="J110" s="9">
        <f t="shared" ref="J110:J116" si="135">$U$3*D109+(1-$U$3)*J109</f>
        <v>216756.3255539551</v>
      </c>
      <c r="K110" s="10">
        <f t="shared" si="118"/>
        <v>11859.344041565346</v>
      </c>
      <c r="L110" s="9">
        <f t="shared" ref="L110:L116" si="136">$V$3*D109+(1-$V$3)*L109</f>
        <v>215341.61901214236</v>
      </c>
      <c r="M110" s="10">
        <f t="shared" si="119"/>
        <v>30890.619063355116</v>
      </c>
      <c r="O110">
        <f>Decomposition!H108</f>
        <v>1.1359864006100491</v>
      </c>
      <c r="Q110" s="118">
        <f>Decomposition!C108</f>
        <v>256687</v>
      </c>
      <c r="R110" s="31">
        <f t="shared" si="120"/>
        <v>256687</v>
      </c>
      <c r="S110" s="119">
        <f t="shared" si="121"/>
        <v>247007.46133460125</v>
      </c>
      <c r="T110" s="36">
        <f t="shared" si="122"/>
        <v>266244.42029416701</v>
      </c>
      <c r="U110" s="36">
        <f t="shared" si="123"/>
        <v>246232.23807549747</v>
      </c>
      <c r="V110" s="93">
        <f t="shared" si="124"/>
        <v>244625.15068314411</v>
      </c>
      <c r="W110" s="10"/>
      <c r="X110" s="10">
        <f t="shared" si="98"/>
        <v>9679.5386653987516</v>
      </c>
      <c r="Y110" s="10">
        <f t="shared" si="99"/>
        <v>9557.4202941670083</v>
      </c>
      <c r="Z110" s="10">
        <f t="shared" si="100"/>
        <v>10454.761924502527</v>
      </c>
      <c r="AA110" s="10">
        <f t="shared" si="101"/>
        <v>12061.849316855893</v>
      </c>
      <c r="AB110" s="10">
        <f t="shared" si="102"/>
        <v>0</v>
      </c>
      <c r="AC110" s="39">
        <f t="shared" si="103"/>
        <v>3.661116595213653E-2</v>
      </c>
      <c r="AD110" s="39">
        <f t="shared" si="104"/>
        <v>3.6149274522232745E-2</v>
      </c>
      <c r="AE110" s="39">
        <f t="shared" si="105"/>
        <v>3.9543312655621513E-2</v>
      </c>
      <c r="AF110" s="39">
        <f t="shared" si="106"/>
        <v>4.5621840285389674E-2</v>
      </c>
      <c r="AG110" s="47">
        <f t="shared" si="125"/>
        <v>0</v>
      </c>
      <c r="AH110" s="47">
        <f t="shared" si="126"/>
        <v>0</v>
      </c>
      <c r="AI110" s="47">
        <f t="shared" si="127"/>
        <v>0</v>
      </c>
      <c r="AJ110" s="47">
        <f t="shared" si="127"/>
        <v>0</v>
      </c>
      <c r="AK110" s="48">
        <f t="shared" si="107"/>
        <v>3.661116595213653E-2</v>
      </c>
      <c r="AL110" s="48">
        <f t="shared" si="108"/>
        <v>3.6149274522232745E-2</v>
      </c>
      <c r="AM110" s="48">
        <f t="shared" si="109"/>
        <v>3.9543312655621513E-2</v>
      </c>
      <c r="AN110" s="48">
        <f t="shared" si="110"/>
        <v>4.5621840285389674E-2</v>
      </c>
      <c r="AO110" s="48"/>
      <c r="AP110" s="1">
        <f t="shared" si="128"/>
        <v>-30727.428774364234</v>
      </c>
      <c r="AQ110">
        <f t="shared" si="71"/>
        <v>-9.9756476351757304E-3</v>
      </c>
      <c r="AR110" s="1">
        <f t="shared" si="113"/>
        <v>909645.32791213051</v>
      </c>
      <c r="AS110" s="1">
        <f t="shared" si="111"/>
        <v>953.75328461407173</v>
      </c>
      <c r="AT110" s="1">
        <f t="shared" si="129"/>
        <v>93693468.774949446</v>
      </c>
      <c r="AU110" s="2">
        <f t="shared" si="114"/>
        <v>7509900070.3939133</v>
      </c>
      <c r="AV110">
        <f t="shared" si="112"/>
        <v>0.98752400592594902</v>
      </c>
      <c r="AW110">
        <f t="shared" si="87"/>
        <v>5553.0774520653049</v>
      </c>
      <c r="AX110">
        <f t="shared" si="72"/>
        <v>0.11970777162210877</v>
      </c>
      <c r="AZ110" s="1">
        <f t="shared" si="88"/>
        <v>1924.2892194624874</v>
      </c>
      <c r="BA110">
        <f t="shared" si="130"/>
        <v>0</v>
      </c>
      <c r="BB110" s="1">
        <f t="shared" si="90"/>
        <v>473.84147310645676</v>
      </c>
      <c r="BC110">
        <f t="shared" si="131"/>
        <v>0</v>
      </c>
      <c r="BD110" s="1">
        <f t="shared" si="92"/>
        <v>115.13926253946937</v>
      </c>
      <c r="BE110">
        <f t="shared" si="132"/>
        <v>0</v>
      </c>
    </row>
    <row r="111" spans="1:57" x14ac:dyDescent="0.3">
      <c r="A111">
        <v>1</v>
      </c>
      <c r="B111">
        <v>99</v>
      </c>
      <c r="C111" s="30">
        <v>45352</v>
      </c>
      <c r="D111" s="10">
        <f>Decomposition!I109</f>
        <v>243716.687854663</v>
      </c>
      <c r="E111" s="10"/>
      <c r="F111" s="9">
        <f t="shared" si="133"/>
        <v>218290.83083034537</v>
      </c>
      <c r="G111" s="10">
        <f t="shared" si="116"/>
        <v>203766.15289323623</v>
      </c>
      <c r="H111" s="9">
        <f t="shared" si="134"/>
        <v>231007.56491061358</v>
      </c>
      <c r="I111" s="10">
        <f t="shared" si="117"/>
        <v>45559.184447455482</v>
      </c>
      <c r="J111" s="9">
        <f t="shared" si="135"/>
        <v>223198.59752413156</v>
      </c>
      <c r="K111" s="10">
        <f t="shared" si="118"/>
        <v>23923.278542557295</v>
      </c>
      <c r="L111" s="9">
        <f t="shared" si="136"/>
        <v>225959.57122563577</v>
      </c>
      <c r="M111" s="10">
        <f t="shared" si="119"/>
        <v>28971.272227535112</v>
      </c>
      <c r="O111">
        <f>Decomposition!H109</f>
        <v>1.1421704539411746</v>
      </c>
      <c r="Q111" s="118">
        <f>Decomposition!C109</f>
        <v>278366</v>
      </c>
      <c r="R111" s="31">
        <f t="shared" si="120"/>
        <v>278366</v>
      </c>
      <c r="S111" s="119">
        <f t="shared" si="121"/>
        <v>249325.33734069171</v>
      </c>
      <c r="T111" s="36">
        <f t="shared" si="122"/>
        <v>263850.01527780085</v>
      </c>
      <c r="U111" s="36">
        <f t="shared" si="123"/>
        <v>254930.84345317088</v>
      </c>
      <c r="V111" s="93">
        <f t="shared" si="124"/>
        <v>258084.34603913757</v>
      </c>
      <c r="W111" s="10"/>
      <c r="X111" s="10">
        <f t="shared" si="98"/>
        <v>29040.662659308291</v>
      </c>
      <c r="Y111" s="10">
        <f t="shared" si="99"/>
        <v>14515.984722199151</v>
      </c>
      <c r="Z111" s="10">
        <f t="shared" si="100"/>
        <v>23435.156546829123</v>
      </c>
      <c r="AA111" s="10">
        <f t="shared" si="101"/>
        <v>20281.65396086243</v>
      </c>
      <c r="AB111" s="10">
        <f t="shared" si="102"/>
        <v>0</v>
      </c>
      <c r="AC111" s="39">
        <f t="shared" si="103"/>
        <v>0.10128686016192097</v>
      </c>
      <c r="AD111" s="39">
        <f t="shared" si="104"/>
        <v>5.0628270157557984E-2</v>
      </c>
      <c r="AE111" s="39">
        <f t="shared" si="105"/>
        <v>8.1736200439991816E-2</v>
      </c>
      <c r="AF111" s="39">
        <f t="shared" si="106"/>
        <v>7.0737540416554431E-2</v>
      </c>
      <c r="AG111" s="47">
        <f t="shared" si="125"/>
        <v>0</v>
      </c>
      <c r="AH111" s="47">
        <f t="shared" si="126"/>
        <v>0</v>
      </c>
      <c r="AI111" s="47">
        <f t="shared" si="127"/>
        <v>0</v>
      </c>
      <c r="AJ111" s="47">
        <f t="shared" si="127"/>
        <v>0</v>
      </c>
      <c r="AK111" s="48">
        <f t="shared" si="107"/>
        <v>0.10128686016192097</v>
      </c>
      <c r="AL111" s="48">
        <f t="shared" si="108"/>
        <v>5.0628270157557984E-2</v>
      </c>
      <c r="AM111" s="48">
        <f t="shared" si="109"/>
        <v>8.1736200439991816E-2</v>
      </c>
      <c r="AN111" s="48">
        <f t="shared" si="110"/>
        <v>7.0737540416554431E-2</v>
      </c>
      <c r="AO111" s="48"/>
      <c r="AP111" s="1">
        <f t="shared" si="128"/>
        <v>-34649.312145336997</v>
      </c>
      <c r="AQ111">
        <f t="shared" si="71"/>
        <v>-1.0372828142726062E-2</v>
      </c>
      <c r="AR111" s="1">
        <f t="shared" si="113"/>
        <v>8187962.0164246876</v>
      </c>
      <c r="AS111" s="1">
        <f t="shared" si="111"/>
        <v>2861.461517550898</v>
      </c>
      <c r="AT111" s="1">
        <f t="shared" si="129"/>
        <v>843360087.6917429</v>
      </c>
      <c r="AU111" s="2">
        <f t="shared" si="114"/>
        <v>11737269499.995855</v>
      </c>
      <c r="AV111">
        <f t="shared" si="112"/>
        <v>0.92814682429401141</v>
      </c>
      <c r="AW111">
        <f t="shared" si="87"/>
        <v>7061.0701233356776</v>
      </c>
      <c r="AX111">
        <f t="shared" si="72"/>
        <v>0.12447393771271274</v>
      </c>
      <c r="AZ111" s="1">
        <f t="shared" si="88"/>
        <v>1978.3121640120023</v>
      </c>
      <c r="BA111">
        <f t="shared" si="130"/>
        <v>0</v>
      </c>
      <c r="BB111" s="1">
        <f t="shared" si="90"/>
        <v>442.32217910150951</v>
      </c>
      <c r="BC111">
        <f t="shared" si="131"/>
        <v>0</v>
      </c>
      <c r="BD111" s="1">
        <f t="shared" si="92"/>
        <v>232.26484021900285</v>
      </c>
      <c r="BE111">
        <f t="shared" si="132"/>
        <v>0</v>
      </c>
    </row>
    <row r="112" spans="1:57" x14ac:dyDescent="0.3">
      <c r="A112">
        <v>1</v>
      </c>
      <c r="B112">
        <v>100</v>
      </c>
      <c r="C112" s="30">
        <v>45383</v>
      </c>
      <c r="D112" s="10">
        <f>Decomposition!I110</f>
        <v>251820.89122156557</v>
      </c>
      <c r="E112" s="1"/>
      <c r="F112" s="9">
        <f t="shared" si="133"/>
        <v>220833.41653277713</v>
      </c>
      <c r="G112" s="10">
        <f t="shared" si="116"/>
        <v>186354.62835203789</v>
      </c>
      <c r="H112" s="9">
        <f t="shared" si="134"/>
        <v>236091.21408823336</v>
      </c>
      <c r="I112" s="10">
        <f t="shared" si="117"/>
        <v>10440.906616176479</v>
      </c>
      <c r="J112" s="9">
        <f t="shared" si="135"/>
        <v>237561.26075550355</v>
      </c>
      <c r="K112" s="10">
        <f t="shared" si="118"/>
        <v>24388.673176976881</v>
      </c>
      <c r="L112" s="9">
        <f t="shared" si="136"/>
        <v>243716.687854663</v>
      </c>
      <c r="M112" s="10">
        <f t="shared" si="119"/>
        <v>32014.146943406522</v>
      </c>
      <c r="O112">
        <f>Decomposition!H110</f>
        <v>0.89114925656645383</v>
      </c>
      <c r="Q112" s="118">
        <f>Decomposition!C110</f>
        <v>224410</v>
      </c>
      <c r="R112" s="31">
        <f t="shared" si="120"/>
        <v>224410</v>
      </c>
      <c r="S112" s="119">
        <f t="shared" si="121"/>
        <v>196795.53496821437</v>
      </c>
      <c r="T112" s="36">
        <f t="shared" si="122"/>
        <v>210392.50991660065</v>
      </c>
      <c r="U112" s="36">
        <f t="shared" si="123"/>
        <v>211702.54091125648</v>
      </c>
      <c r="V112" s="93">
        <f t="shared" si="124"/>
        <v>217187.94519452142</v>
      </c>
      <c r="W112" s="10"/>
      <c r="X112" s="10">
        <f t="shared" si="98"/>
        <v>27614.465031785629</v>
      </c>
      <c r="Y112" s="10">
        <f t="shared" si="99"/>
        <v>14017.490083399345</v>
      </c>
      <c r="Z112" s="10">
        <f t="shared" si="100"/>
        <v>12707.459088743519</v>
      </c>
      <c r="AA112" s="10">
        <f t="shared" si="101"/>
        <v>7222.0548054785759</v>
      </c>
      <c r="AB112" s="10">
        <f t="shared" si="102"/>
        <v>0</v>
      </c>
      <c r="AC112" s="39">
        <f t="shared" si="103"/>
        <v>0.11946954335829325</v>
      </c>
      <c r="AD112" s="39">
        <f t="shared" si="104"/>
        <v>6.064441724167037E-2</v>
      </c>
      <c r="AE112" s="39">
        <f t="shared" si="105"/>
        <v>5.4976778758122236E-2</v>
      </c>
      <c r="AF112" s="39">
        <f t="shared" si="106"/>
        <v>3.1245059019827076E-2</v>
      </c>
      <c r="AG112" s="47">
        <f t="shared" si="125"/>
        <v>0</v>
      </c>
      <c r="AH112" s="47">
        <f t="shared" si="126"/>
        <v>0</v>
      </c>
      <c r="AI112" s="47">
        <f t="shared" si="127"/>
        <v>0</v>
      </c>
      <c r="AJ112" s="47">
        <f t="shared" si="127"/>
        <v>0</v>
      </c>
      <c r="AK112" s="48">
        <f t="shared" si="107"/>
        <v>0.11946954335829325</v>
      </c>
      <c r="AL112" s="48">
        <f t="shared" si="108"/>
        <v>6.064441724167037E-2</v>
      </c>
      <c r="AM112" s="48">
        <f t="shared" si="109"/>
        <v>5.4976778758122236E-2</v>
      </c>
      <c r="AN112" s="48">
        <f t="shared" si="110"/>
        <v>3.1245059019827076E-2</v>
      </c>
      <c r="AO112" s="48"/>
      <c r="AP112" s="1">
        <f t="shared" si="128"/>
        <v>27410.891221565573</v>
      </c>
      <c r="AQ112">
        <f t="shared" si="71"/>
        <v>1.0178873201419117E-2</v>
      </c>
      <c r="AR112" s="1">
        <f t="shared" si="113"/>
        <v>7403482.320307876</v>
      </c>
      <c r="AS112" s="1">
        <f t="shared" si="111"/>
        <v>2720.9340896662447</v>
      </c>
      <c r="AT112" s="1">
        <f t="shared" si="129"/>
        <v>762558678.99171126</v>
      </c>
      <c r="AU112" s="2">
        <f t="shared" si="114"/>
        <v>2957475841.7434268</v>
      </c>
      <c r="AV112">
        <f t="shared" si="112"/>
        <v>0.74215894911852121</v>
      </c>
      <c r="AW112">
        <f t="shared" si="87"/>
        <v>4419.0366339031279</v>
      </c>
      <c r="AX112">
        <f t="shared" si="72"/>
        <v>0.12214647841702943</v>
      </c>
      <c r="AZ112" s="1">
        <f t="shared" si="88"/>
        <v>1809.2682364275524</v>
      </c>
      <c r="BA112">
        <f t="shared" si="130"/>
        <v>0</v>
      </c>
      <c r="BB112" s="1">
        <f t="shared" si="90"/>
        <v>101.36802539977164</v>
      </c>
      <c r="BC112">
        <f t="shared" si="131"/>
        <v>0</v>
      </c>
      <c r="BD112" s="1">
        <f t="shared" si="92"/>
        <v>236.78323472793087</v>
      </c>
      <c r="BE112">
        <f t="shared" si="132"/>
        <v>0</v>
      </c>
    </row>
    <row r="113" spans="1:57" x14ac:dyDescent="0.3">
      <c r="A113">
        <v>1</v>
      </c>
      <c r="B113">
        <v>101</v>
      </c>
      <c r="C113" s="30">
        <v>45413</v>
      </c>
      <c r="D113" s="10">
        <f>Decomposition!I111</f>
        <v>251384.77765953002</v>
      </c>
      <c r="F113" s="9">
        <f t="shared" si="133"/>
        <v>223932.16400165597</v>
      </c>
      <c r="G113" s="10">
        <f t="shared" si="116"/>
        <v>115164.84595341852</v>
      </c>
      <c r="H113" s="9">
        <f t="shared" si="134"/>
        <v>242383.08494156622</v>
      </c>
      <c r="I113" s="10">
        <f t="shared" si="117"/>
        <v>47675.051343134604</v>
      </c>
      <c r="J113" s="9">
        <f t="shared" si="135"/>
        <v>247543.00208174696</v>
      </c>
      <c r="K113" s="10">
        <f t="shared" si="118"/>
        <v>62373.762854302215</v>
      </c>
      <c r="L113" s="9">
        <f t="shared" si="136"/>
        <v>251820.89122156557</v>
      </c>
      <c r="M113" s="10">
        <f t="shared" si="119"/>
        <v>71811.569134301564</v>
      </c>
      <c r="O113">
        <f>Decomposition!H111</f>
        <v>0.72718404710878848</v>
      </c>
      <c r="Q113" s="118">
        <f>Decomposition!C111</f>
        <v>182803</v>
      </c>
      <c r="R113" s="31">
        <f t="shared" si="120"/>
        <v>182803</v>
      </c>
      <c r="S113" s="119">
        <f t="shared" si="121"/>
        <v>162839.89729655313</v>
      </c>
      <c r="T113" s="36">
        <f t="shared" si="122"/>
        <v>176257.11265852136</v>
      </c>
      <c r="U113" s="36">
        <f t="shared" si="123"/>
        <v>180009.32208726401</v>
      </c>
      <c r="V113" s="93">
        <f t="shared" si="124"/>
        <v>183120.13482504003</v>
      </c>
      <c r="W113" s="10"/>
      <c r="X113" s="10">
        <f t="shared" si="98"/>
        <v>19963.102703446872</v>
      </c>
      <c r="Y113" s="10">
        <f t="shared" si="99"/>
        <v>6545.8873414786358</v>
      </c>
      <c r="Z113" s="10">
        <f t="shared" si="100"/>
        <v>2793.6779127359914</v>
      </c>
      <c r="AA113" s="10">
        <f t="shared" si="101"/>
        <v>317.13482504003332</v>
      </c>
      <c r="AB113" s="10">
        <f t="shared" si="102"/>
        <v>0</v>
      </c>
      <c r="AC113" s="39">
        <f t="shared" si="103"/>
        <v>0.10602480872930201</v>
      </c>
      <c r="AD113" s="39">
        <f t="shared" si="104"/>
        <v>3.4765460242009348E-2</v>
      </c>
      <c r="AE113" s="39">
        <f t="shared" si="105"/>
        <v>1.4837331187900303E-2</v>
      </c>
      <c r="AF113" s="39">
        <f t="shared" si="106"/>
        <v>1.684315292355059E-3</v>
      </c>
      <c r="AG113" s="47">
        <f t="shared" si="125"/>
        <v>0</v>
      </c>
      <c r="AH113" s="47">
        <f t="shared" si="126"/>
        <v>0</v>
      </c>
      <c r="AI113" s="47">
        <f t="shared" si="127"/>
        <v>0</v>
      </c>
      <c r="AJ113" s="47">
        <f t="shared" si="127"/>
        <v>0</v>
      </c>
      <c r="AK113" s="48">
        <f t="shared" si="107"/>
        <v>0.10602480872930201</v>
      </c>
      <c r="AL113" s="48">
        <f t="shared" si="108"/>
        <v>3.4765460242009348E-2</v>
      </c>
      <c r="AM113" s="48">
        <f t="shared" si="109"/>
        <v>1.4837331187900303E-2</v>
      </c>
      <c r="AN113" s="48">
        <f t="shared" si="110"/>
        <v>1.684315292355059E-3</v>
      </c>
      <c r="AO113" s="48"/>
      <c r="AP113" s="1">
        <f t="shared" si="128"/>
        <v>68581.777659530024</v>
      </c>
      <c r="AQ113">
        <f t="shared" si="71"/>
        <v>3.1263973448434478E-2</v>
      </c>
      <c r="AR113" s="1">
        <f t="shared" si="113"/>
        <v>3869179.3160035703</v>
      </c>
      <c r="AS113" s="1">
        <f t="shared" si="111"/>
        <v>1967.0229576706954</v>
      </c>
      <c r="AT113" s="1">
        <f t="shared" si="129"/>
        <v>398525469.5483678</v>
      </c>
      <c r="AU113" s="2">
        <f t="shared" si="114"/>
        <v>163217989.53954226</v>
      </c>
      <c r="AV113">
        <f t="shared" si="112"/>
        <v>-1.4416761330822445</v>
      </c>
      <c r="AW113">
        <f t="shared" si="87"/>
        <v>27662.967434870538</v>
      </c>
      <c r="AX113">
        <f t="shared" si="72"/>
        <v>0.37516768138121381</v>
      </c>
      <c r="AZ113" s="1">
        <f t="shared" si="88"/>
        <v>1118.1053005186263</v>
      </c>
      <c r="BA113">
        <f t="shared" si="130"/>
        <v>0</v>
      </c>
      <c r="BB113" s="1">
        <f t="shared" si="90"/>
        <v>462.86457614693791</v>
      </c>
      <c r="BC113">
        <f t="shared" si="131"/>
        <v>0</v>
      </c>
      <c r="BD113" s="1">
        <f t="shared" si="92"/>
        <v>605.57051314856517</v>
      </c>
      <c r="BE113">
        <f t="shared" si="132"/>
        <v>0</v>
      </c>
    </row>
    <row r="114" spans="1:57" x14ac:dyDescent="0.3">
      <c r="A114">
        <v>1</v>
      </c>
      <c r="B114">
        <v>102</v>
      </c>
      <c r="C114" s="30">
        <v>45444</v>
      </c>
      <c r="D114" s="10">
        <f>Decomposition!I112</f>
        <v>252067.36964108417</v>
      </c>
      <c r="F114" s="9">
        <f t="shared" si="133"/>
        <v>226677.42536744336</v>
      </c>
      <c r="G114" s="10">
        <f t="shared" si="116"/>
        <v>91809.195134017966</v>
      </c>
      <c r="H114" s="9">
        <f t="shared" si="134"/>
        <v>245983.76202875172</v>
      </c>
      <c r="I114" s="10">
        <f t="shared" si="117"/>
        <v>60929.656868938793</v>
      </c>
      <c r="J114" s="9">
        <f t="shared" si="135"/>
        <v>250232.24498619512</v>
      </c>
      <c r="K114" s="10">
        <f t="shared" si="118"/>
        <v>77373.298188520246</v>
      </c>
      <c r="L114" s="9">
        <f t="shared" si="136"/>
        <v>251384.77765953002</v>
      </c>
      <c r="M114" s="10">
        <f t="shared" si="119"/>
        <v>82774.31381929855</v>
      </c>
      <c r="O114">
        <f>Decomposition!H112</f>
        <v>0.67381589390901009</v>
      </c>
      <c r="Q114" s="118">
        <f>Decomposition!C112</f>
        <v>169847</v>
      </c>
      <c r="R114" s="31">
        <f t="shared" si="120"/>
        <v>169847</v>
      </c>
      <c r="S114" s="119">
        <f t="shared" si="121"/>
        <v>152738.85200295676</v>
      </c>
      <c r="T114" s="36">
        <f t="shared" si="122"/>
        <v>165747.76849850456</v>
      </c>
      <c r="U114" s="36">
        <f t="shared" si="123"/>
        <v>168610.46384023147</v>
      </c>
      <c r="V114" s="93">
        <f t="shared" si="124"/>
        <v>169387.05867377398</v>
      </c>
      <c r="W114" s="10"/>
      <c r="X114" s="10">
        <f t="shared" si="98"/>
        <v>17108.147997043241</v>
      </c>
      <c r="Y114" s="10">
        <f t="shared" si="99"/>
        <v>4099.2315014954365</v>
      </c>
      <c r="Z114" s="10">
        <f t="shared" si="100"/>
        <v>1236.536159768526</v>
      </c>
      <c r="AA114" s="10">
        <f t="shared" si="101"/>
        <v>459.94132622602046</v>
      </c>
      <c r="AB114" s="10">
        <f t="shared" si="102"/>
        <v>0</v>
      </c>
      <c r="AC114" s="39">
        <f t="shared" si="103"/>
        <v>9.7793027985856831E-2</v>
      </c>
      <c r="AD114" s="39">
        <f t="shared" si="104"/>
        <v>2.3431891109168077E-2</v>
      </c>
      <c r="AE114" s="39">
        <f t="shared" si="105"/>
        <v>7.068246972066556E-3</v>
      </c>
      <c r="AF114" s="39">
        <f t="shared" si="106"/>
        <v>2.6291013495585228E-3</v>
      </c>
      <c r="AG114" s="47">
        <f t="shared" si="125"/>
        <v>0</v>
      </c>
      <c r="AH114" s="47">
        <f t="shared" si="126"/>
        <v>0</v>
      </c>
      <c r="AI114" s="47">
        <f t="shared" si="127"/>
        <v>0</v>
      </c>
      <c r="AJ114" s="47">
        <f t="shared" si="127"/>
        <v>0</v>
      </c>
      <c r="AK114" s="48">
        <f t="shared" si="107"/>
        <v>9.7793027985856831E-2</v>
      </c>
      <c r="AL114" s="48">
        <f t="shared" si="108"/>
        <v>2.3431891109168077E-2</v>
      </c>
      <c r="AM114" s="48">
        <f t="shared" si="109"/>
        <v>7.068246972066556E-3</v>
      </c>
      <c r="AN114" s="48">
        <f t="shared" si="110"/>
        <v>2.6291013495585228E-3</v>
      </c>
      <c r="AO114" s="48"/>
      <c r="AP114" s="1">
        <f t="shared" si="128"/>
        <v>82220.369641084166</v>
      </c>
      <c r="AQ114">
        <f t="shared" si="71"/>
        <v>4.0340409133457447E-2</v>
      </c>
      <c r="AR114" s="1">
        <f t="shared" si="113"/>
        <v>2841638.1348420838</v>
      </c>
      <c r="AS114" s="1">
        <f t="shared" si="111"/>
        <v>1685.7159116654514</v>
      </c>
      <c r="AT114" s="1">
        <f t="shared" si="129"/>
        <v>292688727.88873464</v>
      </c>
      <c r="AU114" s="2">
        <f t="shared" si="114"/>
        <v>32515.442454514756</v>
      </c>
      <c r="AV114">
        <f t="shared" si="112"/>
        <v>-9000.5299129996893</v>
      </c>
      <c r="AW114">
        <f t="shared" si="87"/>
        <v>39759.429063964308</v>
      </c>
      <c r="AX114">
        <f t="shared" si="72"/>
        <v>0.48408490960148937</v>
      </c>
      <c r="AZ114" s="1">
        <f t="shared" si="88"/>
        <v>891.35140906813558</v>
      </c>
      <c r="BA114">
        <f t="shared" si="130"/>
        <v>0</v>
      </c>
      <c r="BB114" s="1">
        <f t="shared" si="90"/>
        <v>591.55006668872613</v>
      </c>
      <c r="BC114">
        <f t="shared" si="131"/>
        <v>0</v>
      </c>
      <c r="BD114" s="1">
        <f t="shared" si="92"/>
        <v>751.19706979145872</v>
      </c>
      <c r="BE114">
        <f t="shared" si="132"/>
        <v>0</v>
      </c>
    </row>
    <row r="115" spans="1:57" x14ac:dyDescent="0.3">
      <c r="A115">
        <v>1</v>
      </c>
      <c r="B115">
        <v>103</v>
      </c>
      <c r="C115" s="30">
        <v>45474</v>
      </c>
      <c r="D115" s="10">
        <f>Decomposition!I113</f>
        <v>272315.58178028866</v>
      </c>
      <c r="F115" s="9">
        <f t="shared" si="133"/>
        <v>229216.41979480744</v>
      </c>
      <c r="G115" s="10">
        <f t="shared" si="116"/>
        <v>179642.98295064727</v>
      </c>
      <c r="H115" s="9">
        <f t="shared" si="134"/>
        <v>248417.20507368469</v>
      </c>
      <c r="I115" s="10">
        <f t="shared" si="117"/>
        <v>16568.68142402856</v>
      </c>
      <c r="J115" s="9">
        <f t="shared" si="135"/>
        <v>251516.83224461746</v>
      </c>
      <c r="K115" s="10">
        <f t="shared" si="118"/>
        <v>33116.15326796897</v>
      </c>
      <c r="L115" s="9">
        <f t="shared" si="136"/>
        <v>252067.36964108417</v>
      </c>
      <c r="M115" s="10">
        <f t="shared" si="119"/>
        <v>36766.317835368449</v>
      </c>
      <c r="O115">
        <f>Decomposition!H113</f>
        <v>0.85601050985057181</v>
      </c>
      <c r="Q115" s="118">
        <f>Decomposition!C113</f>
        <v>233105</v>
      </c>
      <c r="R115" s="31">
        <f t="shared" ref="R115" si="137">D115*O115</f>
        <v>233104.99999999997</v>
      </c>
      <c r="S115" s="119">
        <f t="shared" si="121"/>
        <v>196211.66437467583</v>
      </c>
      <c r="T115" s="36">
        <f t="shared" si="122"/>
        <v>212647.73837077888</v>
      </c>
      <c r="U115" s="36">
        <f t="shared" si="123"/>
        <v>215301.05180571572</v>
      </c>
      <c r="V115" s="93">
        <f t="shared" si="124"/>
        <v>215772.31760315699</v>
      </c>
      <c r="W115" s="10"/>
      <c r="X115" s="10">
        <f t="shared" ref="X115" si="138">ABS($Q115-S115)</f>
        <v>36893.335625324165</v>
      </c>
      <c r="Y115" s="10">
        <f t="shared" ref="Y115" si="139">ABS($Q115-T115)</f>
        <v>20457.261629221117</v>
      </c>
      <c r="Z115" s="10">
        <f t="shared" ref="Z115" si="140">ABS($Q115-U115)</f>
        <v>17803.948194284283</v>
      </c>
      <c r="AA115" s="10">
        <f t="shared" ref="AA115" si="141">ABS($Q115-V115)</f>
        <v>17332.682396843011</v>
      </c>
      <c r="AB115" s="10">
        <f t="shared" ref="AB115" si="142">IF(X115&lt;Y115&lt;Z115&lt;AA115,1,0)</f>
        <v>0</v>
      </c>
      <c r="AC115" s="39">
        <f t="shared" si="103"/>
        <v>0.15365939148354191</v>
      </c>
      <c r="AD115" s="39">
        <f t="shared" si="104"/>
        <v>8.5203745340066625E-2</v>
      </c>
      <c r="AE115" s="39">
        <f t="shared" si="105"/>
        <v>7.4152792073925944E-2</v>
      </c>
      <c r="AF115" s="39">
        <f t="shared" si="106"/>
        <v>7.2189987289960428E-2</v>
      </c>
      <c r="AG115" s="47">
        <f t="shared" ref="AG115" si="143">IF(AC115&gt;1,1,0)</f>
        <v>0</v>
      </c>
      <c r="AH115" s="47">
        <f t="shared" ref="AH115" si="144">IF(AD115&gt;1,1,0)</f>
        <v>0</v>
      </c>
      <c r="AI115" s="47">
        <f t="shared" ref="AI115" si="145">IF(AE115&gt;1,1,0)</f>
        <v>0</v>
      </c>
      <c r="AJ115" s="47">
        <f t="shared" ref="AJ115" si="146">IF(AF115&gt;1,1,0)</f>
        <v>0</v>
      </c>
      <c r="AK115" s="48">
        <f t="shared" si="107"/>
        <v>0.15365939148354191</v>
      </c>
      <c r="AL115" s="48">
        <f t="shared" si="108"/>
        <v>8.5203745340066625E-2</v>
      </c>
      <c r="AM115" s="48">
        <f t="shared" si="109"/>
        <v>7.4152792073925944E-2</v>
      </c>
      <c r="AN115" s="48">
        <f t="shared" si="110"/>
        <v>7.2189987289960428E-2</v>
      </c>
      <c r="AO115" s="48"/>
      <c r="AP115" s="1">
        <f t="shared" ref="AP115" si="147">D115-Q115</f>
        <v>39210.58178028866</v>
      </c>
      <c r="AQ115">
        <f t="shared" ref="AQ115" si="148">((1/12)*AP115)/Q115</f>
        <v>1.4017496328653274E-2</v>
      </c>
      <c r="AR115" s="1">
        <f t="shared" si="113"/>
        <v>13214739.93750304</v>
      </c>
      <c r="AS115" s="1">
        <f t="shared" ref="AS115" si="149">SQRT(AR115)</f>
        <v>3635.2083760773658</v>
      </c>
      <c r="AT115" s="1">
        <f t="shared" ref="AT115" si="150">(Q115-S115)^2</f>
        <v>1361118213.5628133</v>
      </c>
      <c r="AU115" s="2">
        <f t="shared" si="114"/>
        <v>3978793665.1900291</v>
      </c>
      <c r="AV115">
        <f t="shared" ref="AV115" si="151">1-(AT115/AU115)</f>
        <v>0.65790681093340742</v>
      </c>
      <c r="AW115">
        <f>((AP115)^2)/AVERAGE($Q$13:$Q$115)</f>
        <v>9042.486348882403</v>
      </c>
      <c r="AX115">
        <f t="shared" ref="AX115" si="152">ABS(AP115)/ABS(Q115)</f>
        <v>0.16820995594383931</v>
      </c>
      <c r="AZ115" s="1">
        <f>G115/COUNT($A$13:$A$115)</f>
        <v>1744.1066305888085</v>
      </c>
      <c r="BA115">
        <f t="shared" si="130"/>
        <v>0</v>
      </c>
      <c r="BB115" s="1">
        <f>I115/SUM($A$13:$A$115)</f>
        <v>160.86098469930641</v>
      </c>
      <c r="BC115">
        <f t="shared" si="131"/>
        <v>0</v>
      </c>
      <c r="BD115" s="1">
        <f>K115/SUM($A$13:$A$115)</f>
        <v>321.51605114532981</v>
      </c>
      <c r="BE115">
        <f t="shared" si="132"/>
        <v>0</v>
      </c>
    </row>
    <row r="116" spans="1:57" x14ac:dyDescent="0.3">
      <c r="B116">
        <v>104</v>
      </c>
      <c r="C116" s="30">
        <v>45505</v>
      </c>
      <c r="F116" s="9">
        <f>$S$3*D115+(1-$S$3)*F115</f>
        <v>233526.33599335558</v>
      </c>
      <c r="G116" s="10"/>
      <c r="H116" s="9">
        <f>$T$3*D115+(1-$T$3)*H115</f>
        <v>257976.5557563263</v>
      </c>
      <c r="I116" s="10"/>
      <c r="J116" s="9">
        <f t="shared" si="135"/>
        <v>266075.95691958733</v>
      </c>
      <c r="K116" s="10"/>
      <c r="L116" s="9">
        <f t="shared" si="136"/>
        <v>272315.58178028866</v>
      </c>
      <c r="M116" s="9"/>
      <c r="O116">
        <f>Decomposition!H114</f>
        <v>0.756269253937361</v>
      </c>
      <c r="R116" s="31"/>
      <c r="S116" s="119">
        <f t="shared" si="121"/>
        <v>176608.78789642052</v>
      </c>
      <c r="T116" s="36">
        <f t="shared" si="122"/>
        <v>195099.7373551669</v>
      </c>
      <c r="U116" s="36">
        <f t="shared" si="123"/>
        <v>201225.06543024571</v>
      </c>
      <c r="V116" s="93">
        <f t="shared" si="124"/>
        <v>205943.90186849731</v>
      </c>
      <c r="W116" s="10"/>
      <c r="X116" s="10"/>
      <c r="Y116" s="10"/>
      <c r="Z116" s="10"/>
      <c r="AA116" s="10"/>
      <c r="AB116" s="10"/>
      <c r="AG116" s="47"/>
      <c r="AH116" s="47"/>
      <c r="AI116" s="48"/>
      <c r="AJ116" s="48"/>
      <c r="AK116" s="48"/>
      <c r="AL116" s="48"/>
      <c r="AM116" s="48"/>
      <c r="AN116" s="48"/>
      <c r="AO116" s="48"/>
      <c r="AP116" s="1"/>
      <c r="AR116" s="1"/>
      <c r="AS116" s="1"/>
      <c r="AT116" s="1"/>
      <c r="BA116" s="1">
        <f>MIN(AZ13:AZ112)</f>
        <v>4.3110891107212099</v>
      </c>
      <c r="BC116" s="1">
        <f>MIN(BB13:BB112)</f>
        <v>7.2006736237347209</v>
      </c>
      <c r="BE116" s="1">
        <f>MIN(BD13:BD112)</f>
        <v>1.3990088656277275</v>
      </c>
    </row>
    <row r="117" spans="1:57" x14ac:dyDescent="0.3">
      <c r="B117">
        <v>105</v>
      </c>
      <c r="C117" s="30">
        <v>45536</v>
      </c>
      <c r="F117" s="9">
        <f>$S$3*F116+(1-$S$3)*F116</f>
        <v>233526.33599335558</v>
      </c>
      <c r="G117" s="10"/>
      <c r="H117" s="9">
        <f>$T$3*H116+(1-$T$3)*H116</f>
        <v>257976.5557563263</v>
      </c>
      <c r="I117" s="10"/>
      <c r="J117" s="9">
        <f t="shared" ref="J117:J132" si="153">$U$3*J116+(1-$U$3)*J116</f>
        <v>266075.95691958733</v>
      </c>
      <c r="K117" s="10"/>
      <c r="L117" s="9">
        <f t="shared" ref="L117:L132" si="154">$U$3*L116+(1-$U$3)*L116</f>
        <v>272315.58178028866</v>
      </c>
      <c r="M117" s="9"/>
      <c r="O117">
        <f>Decomposition!H115</f>
        <v>0.81803490195971706</v>
      </c>
      <c r="R117" s="31"/>
      <c r="S117" s="119">
        <f t="shared" si="121"/>
        <v>191032.69336933657</v>
      </c>
      <c r="T117" s="36">
        <f t="shared" si="122"/>
        <v>211033.82649603186</v>
      </c>
      <c r="U117" s="36">
        <f t="shared" si="123"/>
        <v>217659.41933255253</v>
      </c>
      <c r="V117" s="93">
        <f t="shared" si="124"/>
        <v>222763.65024374175</v>
      </c>
      <c r="W117" s="10"/>
      <c r="X117" s="10"/>
      <c r="Y117" s="10"/>
      <c r="Z117" s="10"/>
      <c r="AA117" s="10"/>
      <c r="AB117" s="10"/>
      <c r="AG117" s="47"/>
      <c r="AH117" s="47"/>
      <c r="AI117" s="48"/>
      <c r="AJ117" s="48"/>
      <c r="AK117" s="48"/>
      <c r="AL117" s="48"/>
      <c r="AM117" s="48"/>
      <c r="AN117" s="48"/>
      <c r="AO117" s="48"/>
      <c r="AP117" s="1"/>
      <c r="AR117" s="1"/>
      <c r="AS117" s="1"/>
      <c r="AT117" s="1"/>
    </row>
    <row r="118" spans="1:57" x14ac:dyDescent="0.3">
      <c r="B118">
        <v>106</v>
      </c>
      <c r="C118" s="30">
        <v>45566</v>
      </c>
      <c r="F118" s="9">
        <f t="shared" ref="F118:F132" si="155">$S$3*F117+(1-$S$3)*F117</f>
        <v>233526.33599335558</v>
      </c>
      <c r="G118" s="10"/>
      <c r="H118" s="9">
        <f t="shared" ref="H118:H132" si="156">$T$3*H117+(1-$T$3)*H117</f>
        <v>257976.5557563263</v>
      </c>
      <c r="I118" s="10"/>
      <c r="J118" s="9">
        <f t="shared" si="153"/>
        <v>266075.95691958733</v>
      </c>
      <c r="K118" s="10"/>
      <c r="L118" s="9">
        <f>$U$3*L117+(1-$U$3)*L117</f>
        <v>272315.58178028866</v>
      </c>
      <c r="M118" s="9"/>
      <c r="O118">
        <f>Decomposition!H116</f>
        <v>0.91618806527394414</v>
      </c>
      <c r="R118" s="31"/>
      <c r="S118" s="119">
        <f t="shared" si="121"/>
        <v>213954.04196426546</v>
      </c>
      <c r="T118" s="36">
        <f t="shared" si="122"/>
        <v>236355.04150442436</v>
      </c>
      <c r="U118" s="36">
        <f t="shared" si="123"/>
        <v>243775.61618607002</v>
      </c>
      <c r="V118" s="93">
        <f t="shared" si="124"/>
        <v>249492.28601523119</v>
      </c>
      <c r="W118" s="10"/>
      <c r="X118" s="10"/>
      <c r="Y118" s="10"/>
      <c r="Z118" s="10"/>
      <c r="AA118" s="10"/>
      <c r="AB118" s="10"/>
      <c r="AG118" s="47"/>
      <c r="AH118" s="47"/>
      <c r="AI118" s="48"/>
      <c r="AJ118" s="48"/>
      <c r="AK118" s="48"/>
      <c r="AL118" s="48"/>
      <c r="AM118" s="48"/>
      <c r="AN118" s="48"/>
      <c r="AO118" s="48"/>
      <c r="AP118" s="1"/>
      <c r="AR118" s="1"/>
      <c r="AS118" s="1"/>
      <c r="AT118" s="1"/>
    </row>
    <row r="119" spans="1:57" x14ac:dyDescent="0.3">
      <c r="B119">
        <v>107</v>
      </c>
      <c r="C119" s="30">
        <v>45597</v>
      </c>
      <c r="F119" s="9">
        <f t="shared" si="155"/>
        <v>233526.33599335558</v>
      </c>
      <c r="G119" s="10"/>
      <c r="H119" s="9">
        <f t="shared" si="156"/>
        <v>257976.5557563263</v>
      </c>
      <c r="I119" s="10"/>
      <c r="J119" s="9">
        <f t="shared" si="153"/>
        <v>266075.95691958733</v>
      </c>
      <c r="K119" s="10"/>
      <c r="L119" s="9">
        <f t="shared" si="154"/>
        <v>272315.58178028866</v>
      </c>
      <c r="M119" s="9"/>
      <c r="O119">
        <f>Decomposition!H117</f>
        <v>1.1708334570680377</v>
      </c>
      <c r="R119" s="31"/>
      <c r="S119" s="119">
        <f t="shared" si="121"/>
        <v>273420.44728753262</v>
      </c>
      <c r="T119" s="36">
        <f t="shared" si="122"/>
        <v>302047.58261868492</v>
      </c>
      <c r="U119" s="36">
        <f t="shared" si="123"/>
        <v>311530.63248284667</v>
      </c>
      <c r="V119" s="93">
        <f t="shared" si="124"/>
        <v>318836.19402930932</v>
      </c>
      <c r="W119" s="10"/>
      <c r="X119" s="10"/>
      <c r="Y119" s="10"/>
      <c r="Z119" s="10"/>
      <c r="AA119" s="10"/>
      <c r="AB119" s="10"/>
      <c r="AG119" s="47"/>
      <c r="AH119" s="47"/>
      <c r="AI119" s="48"/>
      <c r="AJ119" s="48"/>
      <c r="AK119" s="48"/>
      <c r="AL119" s="48"/>
      <c r="AM119" s="48"/>
      <c r="AN119" s="48"/>
      <c r="AO119" s="48"/>
      <c r="AP119" s="1"/>
      <c r="AR119" s="1"/>
      <c r="AS119" s="1"/>
      <c r="AT119" s="1"/>
    </row>
    <row r="120" spans="1:57" x14ac:dyDescent="0.3">
      <c r="B120">
        <v>108</v>
      </c>
      <c r="C120" s="30">
        <v>45627</v>
      </c>
      <c r="F120" s="9">
        <f t="shared" si="155"/>
        <v>233526.33599335558</v>
      </c>
      <c r="G120" s="10"/>
      <c r="H120" s="9">
        <f t="shared" si="156"/>
        <v>257976.5557563263</v>
      </c>
      <c r="I120" s="10"/>
      <c r="J120" s="9">
        <f t="shared" si="153"/>
        <v>266075.95691958733</v>
      </c>
      <c r="K120" s="10"/>
      <c r="L120" s="9">
        <f t="shared" si="154"/>
        <v>272315.58178028866</v>
      </c>
      <c r="M120" s="9"/>
      <c r="O120">
        <f>Decomposition!H118</f>
        <v>1.3918574426414096</v>
      </c>
      <c r="R120" s="31"/>
      <c r="S120" s="119">
        <f t="shared" si="121"/>
        <v>325035.36880513048</v>
      </c>
      <c r="T120" s="36">
        <f t="shared" si="122"/>
        <v>359066.58915643935</v>
      </c>
      <c r="U120" s="36">
        <f t="shared" si="123"/>
        <v>370339.80094646272</v>
      </c>
      <c r="V120" s="93">
        <f t="shared" si="124"/>
        <v>379024.46924812021</v>
      </c>
      <c r="W120" s="10"/>
      <c r="X120" s="10"/>
      <c r="Y120" s="10"/>
      <c r="Z120" s="10"/>
      <c r="AA120" s="10"/>
      <c r="AB120" s="10"/>
      <c r="AG120" s="47"/>
      <c r="AH120" s="47"/>
      <c r="AI120" s="48"/>
      <c r="AJ120" s="48"/>
      <c r="AK120" s="48"/>
      <c r="AL120" s="48"/>
      <c r="AM120" s="48"/>
      <c r="AN120" s="48"/>
      <c r="AO120" s="48"/>
      <c r="AP120" s="1"/>
      <c r="AR120" s="1"/>
      <c r="AS120" s="1"/>
      <c r="AT120" s="1"/>
    </row>
    <row r="121" spans="1:57" x14ac:dyDescent="0.3">
      <c r="B121">
        <v>109</v>
      </c>
      <c r="C121" s="30">
        <v>45658</v>
      </c>
      <c r="F121" s="9">
        <f t="shared" si="155"/>
        <v>233526.33599335558</v>
      </c>
      <c r="G121" s="10"/>
      <c r="H121" s="9">
        <f t="shared" si="156"/>
        <v>257976.5557563263</v>
      </c>
      <c r="I121" s="10"/>
      <c r="J121" s="9">
        <f t="shared" si="153"/>
        <v>266075.95691958733</v>
      </c>
      <c r="K121" s="10"/>
      <c r="L121" s="9">
        <f t="shared" si="154"/>
        <v>272315.58178028866</v>
      </c>
      <c r="M121" s="9"/>
      <c r="O121">
        <f>Decomposition!H119</f>
        <v>1.5205003171334823</v>
      </c>
      <c r="R121" s="31"/>
      <c r="S121" s="119">
        <f t="shared" si="121"/>
        <v>355076.86793691729</v>
      </c>
      <c r="T121" s="36">
        <f t="shared" si="122"/>
        <v>392253.43484049762</v>
      </c>
      <c r="U121" s="36">
        <f t="shared" si="123"/>
        <v>404568.57687782735</v>
      </c>
      <c r="V121" s="93">
        <f t="shared" si="124"/>
        <v>414055.92845731764</v>
      </c>
      <c r="W121" s="10"/>
      <c r="X121" s="10"/>
      <c r="Y121" s="10"/>
      <c r="Z121" s="10"/>
      <c r="AA121" s="10"/>
      <c r="AB121" s="10"/>
      <c r="AG121" s="47"/>
      <c r="AH121" s="47"/>
      <c r="AI121" s="48"/>
      <c r="AJ121" s="48"/>
      <c r="AK121" s="48"/>
      <c r="AL121" s="48"/>
      <c r="AM121" s="48"/>
      <c r="AN121" s="48"/>
      <c r="AO121" s="48"/>
      <c r="AP121" s="1"/>
      <c r="AR121" s="1"/>
      <c r="AS121" s="1"/>
      <c r="AT121" s="1"/>
    </row>
    <row r="122" spans="1:57" x14ac:dyDescent="0.3">
      <c r="B122">
        <v>110</v>
      </c>
      <c r="C122" s="30">
        <v>45689</v>
      </c>
      <c r="F122" s="9">
        <f t="shared" si="155"/>
        <v>233526.33599335558</v>
      </c>
      <c r="G122" s="10"/>
      <c r="H122" s="9">
        <f t="shared" si="156"/>
        <v>257976.5557563263</v>
      </c>
      <c r="I122" s="10"/>
      <c r="J122" s="9">
        <f t="shared" si="153"/>
        <v>266075.95691958733</v>
      </c>
      <c r="K122" s="10"/>
      <c r="L122" s="9">
        <f t="shared" si="154"/>
        <v>272315.58178028866</v>
      </c>
      <c r="M122" s="9"/>
      <c r="O122">
        <f>Decomposition!H120</f>
        <v>1.1359864006100491</v>
      </c>
      <c r="R122" s="31"/>
      <c r="S122" s="119">
        <f t="shared" si="121"/>
        <v>265282.74187274493</v>
      </c>
      <c r="T122" s="36">
        <f t="shared" si="122"/>
        <v>293057.85901540675</v>
      </c>
      <c r="U122" s="36">
        <f t="shared" si="123"/>
        <v>302258.66858995648</v>
      </c>
      <c r="V122" s="93">
        <f t="shared" si="124"/>
        <v>309346.79757662158</v>
      </c>
      <c r="W122" s="10"/>
      <c r="X122" s="10"/>
      <c r="Y122" s="10"/>
      <c r="Z122" s="10"/>
      <c r="AA122" s="10"/>
      <c r="AB122" s="10"/>
      <c r="AG122" s="47"/>
      <c r="AH122" s="47"/>
      <c r="AI122" s="48"/>
      <c r="AJ122" s="48"/>
      <c r="AK122" s="48"/>
      <c r="AL122" s="48"/>
      <c r="AM122" s="48"/>
      <c r="AN122" s="48"/>
      <c r="AO122" s="48"/>
      <c r="AP122" s="1"/>
      <c r="AR122" s="1"/>
      <c r="AS122" s="1"/>
      <c r="AT122" s="1"/>
    </row>
    <row r="123" spans="1:57" x14ac:dyDescent="0.3">
      <c r="B123">
        <v>111</v>
      </c>
      <c r="C123" s="30">
        <v>45717</v>
      </c>
      <c r="F123" s="9">
        <f t="shared" si="155"/>
        <v>233526.33599335558</v>
      </c>
      <c r="G123" s="10"/>
      <c r="H123" s="9">
        <f t="shared" si="156"/>
        <v>257976.5557563263</v>
      </c>
      <c r="I123" s="10"/>
      <c r="J123" s="9">
        <f t="shared" si="153"/>
        <v>266075.95691958733</v>
      </c>
      <c r="K123" s="10"/>
      <c r="L123" s="9">
        <f t="shared" si="154"/>
        <v>272315.58178028866</v>
      </c>
      <c r="M123" s="9"/>
      <c r="O123">
        <f>Decomposition!H121</f>
        <v>1.1421704539411746</v>
      </c>
      <c r="R123" s="31"/>
      <c r="S123" s="119">
        <f t="shared" si="121"/>
        <v>266726.88118875021</v>
      </c>
      <c r="T123" s="36">
        <f t="shared" si="122"/>
        <v>294653.19979438395</v>
      </c>
      <c r="U123" s="36">
        <f t="shared" si="123"/>
        <v>303904.0964976775</v>
      </c>
      <c r="V123" s="93">
        <f t="shared" si="124"/>
        <v>311030.81165724737</v>
      </c>
      <c r="W123" s="10"/>
      <c r="X123" s="10"/>
      <c r="Y123" s="10"/>
      <c r="Z123" s="10"/>
      <c r="AA123" s="10"/>
      <c r="AB123" s="10"/>
      <c r="AG123" s="47"/>
      <c r="AH123" s="47"/>
      <c r="AI123" s="48"/>
      <c r="AJ123" s="48"/>
      <c r="AK123" s="48"/>
      <c r="AL123" s="48"/>
      <c r="AM123" s="48"/>
      <c r="AN123" s="48"/>
      <c r="AO123" s="48"/>
      <c r="AP123" s="1"/>
      <c r="AR123" s="1"/>
      <c r="AS123" s="1"/>
      <c r="AT123" s="1"/>
    </row>
    <row r="124" spans="1:57" x14ac:dyDescent="0.3">
      <c r="B124">
        <v>112</v>
      </c>
      <c r="C124" s="30">
        <v>45748</v>
      </c>
      <c r="F124" s="9">
        <f t="shared" si="155"/>
        <v>233526.33599335558</v>
      </c>
      <c r="G124" s="10"/>
      <c r="H124" s="9">
        <f t="shared" si="156"/>
        <v>257976.5557563263</v>
      </c>
      <c r="I124" s="10"/>
      <c r="J124" s="9">
        <f t="shared" si="153"/>
        <v>266075.95691958733</v>
      </c>
      <c r="K124" s="10"/>
      <c r="L124" s="9">
        <f t="shared" si="154"/>
        <v>272315.58178028866</v>
      </c>
      <c r="M124" s="9"/>
      <c r="O124">
        <f>Decomposition!H122</f>
        <v>0.89114925656645383</v>
      </c>
      <c r="R124" s="31"/>
      <c r="S124" s="119">
        <f t="shared" si="121"/>
        <v>208106.82070916673</v>
      </c>
      <c r="T124" s="36">
        <f t="shared" si="122"/>
        <v>229895.61587382451</v>
      </c>
      <c r="U124" s="36">
        <f t="shared" si="123"/>
        <v>237113.39119909806</v>
      </c>
      <c r="V124" s="93">
        <f t="shared" si="124"/>
        <v>242673.8282549656</v>
      </c>
      <c r="W124" s="10"/>
      <c r="X124" s="10"/>
      <c r="Y124" s="10"/>
      <c r="Z124" s="10"/>
      <c r="AA124" s="10"/>
      <c r="AB124" s="10"/>
      <c r="AG124" s="47"/>
      <c r="AH124" s="47"/>
      <c r="AI124" s="48"/>
      <c r="AJ124" s="48"/>
      <c r="AK124" s="48"/>
      <c r="AL124" s="48"/>
      <c r="AM124" s="48"/>
      <c r="AN124" s="48"/>
      <c r="AO124" s="48"/>
      <c r="AP124" s="1"/>
      <c r="AR124" s="1"/>
      <c r="AS124" s="1"/>
      <c r="AT124" s="1"/>
    </row>
    <row r="125" spans="1:57" x14ac:dyDescent="0.3">
      <c r="B125">
        <v>113</v>
      </c>
      <c r="C125" s="30">
        <v>45778</v>
      </c>
      <c r="F125" s="9">
        <f t="shared" si="155"/>
        <v>233526.33599335558</v>
      </c>
      <c r="G125" s="10"/>
      <c r="H125" s="9">
        <f t="shared" si="156"/>
        <v>257976.5557563263</v>
      </c>
      <c r="I125" s="10"/>
      <c r="J125" s="9">
        <f t="shared" si="153"/>
        <v>266075.95691958733</v>
      </c>
      <c r="K125" s="10"/>
      <c r="L125" s="9">
        <f t="shared" si="154"/>
        <v>272315.58178028866</v>
      </c>
      <c r="M125" s="9"/>
      <c r="O125">
        <f>Decomposition!H123</f>
        <v>0.72718404710878848</v>
      </c>
      <c r="R125" s="31"/>
      <c r="S125" s="119">
        <f t="shared" si="121"/>
        <v>169816.62611413506</v>
      </c>
      <c r="T125" s="36">
        <f t="shared" si="122"/>
        <v>187596.43587407138</v>
      </c>
      <c r="U125" s="36">
        <f t="shared" si="123"/>
        <v>193486.19119112918</v>
      </c>
      <c r="V125" s="93">
        <f t="shared" si="124"/>
        <v>198023.54684977458</v>
      </c>
      <c r="W125" s="10"/>
      <c r="X125" s="10"/>
      <c r="Y125" s="10"/>
      <c r="Z125" s="10"/>
      <c r="AA125" s="10"/>
      <c r="AB125" s="10"/>
      <c r="AG125" s="47"/>
      <c r="AH125" s="47"/>
      <c r="AI125" s="48"/>
      <c r="AJ125" s="48"/>
      <c r="AK125" s="48"/>
      <c r="AL125" s="48"/>
      <c r="AM125" s="48"/>
      <c r="AN125" s="48"/>
      <c r="AO125" s="48"/>
      <c r="AP125" s="1"/>
      <c r="AR125" s="1"/>
      <c r="AS125" s="1"/>
      <c r="AT125" s="1"/>
    </row>
    <row r="126" spans="1:57" x14ac:dyDescent="0.3">
      <c r="B126">
        <v>114</v>
      </c>
      <c r="C126" s="30">
        <v>45809</v>
      </c>
      <c r="F126" s="9">
        <f t="shared" si="155"/>
        <v>233526.33599335558</v>
      </c>
      <c r="G126" s="10"/>
      <c r="H126" s="9">
        <f t="shared" si="156"/>
        <v>257976.5557563263</v>
      </c>
      <c r="I126" s="10"/>
      <c r="J126" s="9">
        <f t="shared" si="153"/>
        <v>266075.95691958733</v>
      </c>
      <c r="K126" s="10"/>
      <c r="L126" s="9">
        <f t="shared" si="154"/>
        <v>272315.58178028866</v>
      </c>
      <c r="M126" s="9"/>
      <c r="O126">
        <f>Decomposition!H124</f>
        <v>0.67381589390901009</v>
      </c>
      <c r="R126" s="31"/>
      <c r="S126" s="119">
        <f t="shared" si="121"/>
        <v>157353.75683865874</v>
      </c>
      <c r="T126" s="36">
        <f t="shared" si="122"/>
        <v>173828.70352451658</v>
      </c>
      <c r="U126" s="36">
        <f t="shared" si="123"/>
        <v>179286.208759467</v>
      </c>
      <c r="V126" s="93">
        <f t="shared" si="124"/>
        <v>183490.56716263734</v>
      </c>
      <c r="W126" s="10"/>
      <c r="X126" s="10"/>
      <c r="Y126" s="10"/>
      <c r="Z126" s="10"/>
      <c r="AA126" s="10"/>
      <c r="AB126" s="10"/>
      <c r="AG126" s="47"/>
      <c r="AH126" s="47"/>
      <c r="AI126" s="48"/>
      <c r="AJ126" s="48"/>
      <c r="AK126" s="48"/>
      <c r="AL126" s="48"/>
      <c r="AM126" s="48"/>
      <c r="AN126" s="48"/>
      <c r="AO126" s="48"/>
      <c r="AP126" s="1"/>
      <c r="AR126" s="1"/>
      <c r="AS126" s="1"/>
      <c r="AT126" s="1"/>
    </row>
    <row r="127" spans="1:57" x14ac:dyDescent="0.3">
      <c r="B127">
        <v>115</v>
      </c>
      <c r="C127" s="30">
        <v>45839</v>
      </c>
      <c r="F127" s="9">
        <f t="shared" si="155"/>
        <v>233526.33599335558</v>
      </c>
      <c r="G127" s="10"/>
      <c r="H127" s="9">
        <f t="shared" si="156"/>
        <v>257976.5557563263</v>
      </c>
      <c r="I127" s="10"/>
      <c r="J127" s="9">
        <f t="shared" si="153"/>
        <v>266075.95691958733</v>
      </c>
      <c r="K127" s="10"/>
      <c r="L127" s="9">
        <f t="shared" si="154"/>
        <v>272315.58178028866</v>
      </c>
      <c r="M127" s="9"/>
      <c r="O127">
        <f>Decomposition!H125</f>
        <v>0.85601050985057181</v>
      </c>
      <c r="R127" s="31"/>
      <c r="S127" s="119">
        <f t="shared" si="121"/>
        <v>199900.99793720825</v>
      </c>
      <c r="T127" s="36">
        <f t="shared" si="122"/>
        <v>220830.64302246735</v>
      </c>
      <c r="U127" s="36">
        <f t="shared" si="123"/>
        <v>227763.81554171472</v>
      </c>
      <c r="V127" s="93">
        <f t="shared" si="124"/>
        <v>233104.99999999997</v>
      </c>
      <c r="W127" s="10"/>
      <c r="X127" s="10"/>
      <c r="Y127" s="10"/>
      <c r="Z127" s="10"/>
      <c r="AA127" s="10"/>
      <c r="AB127" s="10"/>
      <c r="AG127" s="47"/>
      <c r="AH127" s="47"/>
      <c r="AI127" s="48"/>
      <c r="AJ127" s="48"/>
      <c r="AK127" s="48"/>
      <c r="AL127" s="48"/>
      <c r="AM127" s="48"/>
      <c r="AN127" s="48"/>
      <c r="AO127" s="48"/>
      <c r="AP127" s="1"/>
      <c r="AR127" s="1"/>
      <c r="AS127" s="1"/>
      <c r="AT127" s="1"/>
    </row>
    <row r="128" spans="1:57" x14ac:dyDescent="0.3">
      <c r="B128">
        <v>116</v>
      </c>
      <c r="C128" s="30">
        <v>45870</v>
      </c>
      <c r="F128" s="9">
        <f t="shared" si="155"/>
        <v>233526.33599335558</v>
      </c>
      <c r="G128" s="10"/>
      <c r="H128" s="9">
        <f t="shared" si="156"/>
        <v>257976.5557563263</v>
      </c>
      <c r="I128" s="10"/>
      <c r="J128" s="9">
        <f t="shared" si="153"/>
        <v>266075.95691958733</v>
      </c>
      <c r="K128" s="10"/>
      <c r="L128" s="9">
        <f t="shared" si="154"/>
        <v>272315.58178028866</v>
      </c>
      <c r="M128" s="9"/>
      <c r="O128">
        <f>Decomposition!H126</f>
        <v>0.756269253937361</v>
      </c>
      <c r="R128" s="31"/>
      <c r="S128" s="119">
        <f t="shared" si="121"/>
        <v>176608.78789642052</v>
      </c>
      <c r="T128" s="36">
        <f t="shared" si="122"/>
        <v>195099.7373551669</v>
      </c>
      <c r="U128" s="36">
        <f t="shared" si="123"/>
        <v>201225.06543024571</v>
      </c>
      <c r="V128" s="93">
        <f t="shared" si="124"/>
        <v>205943.90186849731</v>
      </c>
      <c r="W128" s="10"/>
      <c r="X128" s="10"/>
      <c r="Y128" s="10"/>
      <c r="Z128" s="10"/>
      <c r="AA128" s="10"/>
      <c r="AB128" s="10"/>
      <c r="AG128" s="47"/>
      <c r="AH128" s="47"/>
      <c r="AI128" s="48"/>
      <c r="AJ128" s="48"/>
      <c r="AK128" s="48"/>
      <c r="AL128" s="48"/>
      <c r="AM128" s="48"/>
      <c r="AN128" s="48"/>
      <c r="AO128" s="48"/>
      <c r="AP128" s="1"/>
      <c r="AR128" s="1"/>
      <c r="AS128" s="1"/>
      <c r="AT128" s="1"/>
    </row>
    <row r="129" spans="2:46" x14ac:dyDescent="0.3">
      <c r="B129">
        <v>117</v>
      </c>
      <c r="C129" s="30">
        <v>45901</v>
      </c>
      <c r="F129" s="9">
        <f t="shared" si="155"/>
        <v>233526.33599335558</v>
      </c>
      <c r="G129" s="10"/>
      <c r="H129" s="9">
        <f t="shared" si="156"/>
        <v>257976.5557563263</v>
      </c>
      <c r="I129" s="10"/>
      <c r="J129" s="9">
        <f t="shared" si="153"/>
        <v>266075.95691958733</v>
      </c>
      <c r="K129" s="10"/>
      <c r="L129" s="9">
        <f t="shared" si="154"/>
        <v>272315.58178028866</v>
      </c>
      <c r="M129" s="9"/>
      <c r="O129">
        <f>Decomposition!H127</f>
        <v>0.81803490195971706</v>
      </c>
      <c r="R129" s="31"/>
      <c r="S129" s="119">
        <f t="shared" si="121"/>
        <v>191032.69336933657</v>
      </c>
      <c r="T129" s="36">
        <f t="shared" si="122"/>
        <v>211033.82649603186</v>
      </c>
      <c r="U129" s="36">
        <f t="shared" si="123"/>
        <v>217659.41933255253</v>
      </c>
      <c r="V129" s="93">
        <f t="shared" si="124"/>
        <v>222763.65024374175</v>
      </c>
      <c r="W129" s="10"/>
      <c r="X129" s="10"/>
      <c r="Y129" s="10"/>
      <c r="Z129" s="10"/>
      <c r="AA129" s="10"/>
      <c r="AB129" s="10"/>
      <c r="AG129" s="47"/>
      <c r="AH129" s="47"/>
      <c r="AI129" s="48"/>
      <c r="AJ129" s="48"/>
      <c r="AK129" s="48"/>
      <c r="AL129" s="48"/>
      <c r="AM129" s="48"/>
      <c r="AN129" s="48"/>
      <c r="AO129" s="48"/>
      <c r="AP129" s="1"/>
      <c r="AR129" s="1"/>
      <c r="AS129" s="1"/>
      <c r="AT129" s="1"/>
    </row>
    <row r="130" spans="2:46" x14ac:dyDescent="0.3">
      <c r="B130">
        <v>118</v>
      </c>
      <c r="C130" s="30">
        <v>45931</v>
      </c>
      <c r="F130" s="9">
        <f t="shared" si="155"/>
        <v>233526.33599335558</v>
      </c>
      <c r="G130" s="10"/>
      <c r="H130" s="9">
        <f t="shared" si="156"/>
        <v>257976.5557563263</v>
      </c>
      <c r="I130" s="10"/>
      <c r="J130" s="9">
        <f t="shared" si="153"/>
        <v>266075.95691958733</v>
      </c>
      <c r="K130" s="10"/>
      <c r="L130" s="9">
        <f t="shared" si="154"/>
        <v>272315.58178028866</v>
      </c>
      <c r="M130" s="9"/>
      <c r="O130">
        <f>Decomposition!H128</f>
        <v>0.91618806527394414</v>
      </c>
      <c r="R130" s="31"/>
      <c r="S130" s="119">
        <f t="shared" si="121"/>
        <v>213954.04196426546</v>
      </c>
      <c r="T130" s="36">
        <f t="shared" si="122"/>
        <v>236355.04150442436</v>
      </c>
      <c r="U130" s="36">
        <f t="shared" si="123"/>
        <v>243775.61618607002</v>
      </c>
      <c r="V130" s="93">
        <f t="shared" si="124"/>
        <v>249492.28601523119</v>
      </c>
      <c r="W130" s="10"/>
      <c r="X130" s="10"/>
      <c r="Y130" s="10"/>
      <c r="Z130" s="10"/>
      <c r="AA130" s="10"/>
      <c r="AB130" s="10"/>
      <c r="AG130" s="47"/>
      <c r="AH130" s="47"/>
      <c r="AI130" s="48"/>
      <c r="AJ130" s="48"/>
      <c r="AK130" s="48"/>
      <c r="AL130" s="48"/>
      <c r="AM130" s="48"/>
      <c r="AN130" s="48"/>
      <c r="AO130" s="48"/>
      <c r="AP130" s="1"/>
      <c r="AR130" s="1"/>
      <c r="AS130" s="1"/>
      <c r="AT130" s="1"/>
    </row>
    <row r="131" spans="2:46" x14ac:dyDescent="0.3">
      <c r="B131">
        <v>119</v>
      </c>
      <c r="C131" s="30">
        <v>45962</v>
      </c>
      <c r="F131" s="9">
        <f t="shared" si="155"/>
        <v>233526.33599335558</v>
      </c>
      <c r="G131" s="10"/>
      <c r="H131" s="9">
        <f t="shared" si="156"/>
        <v>257976.5557563263</v>
      </c>
      <c r="I131" s="10"/>
      <c r="J131" s="9">
        <f t="shared" si="153"/>
        <v>266075.95691958733</v>
      </c>
      <c r="K131" s="10"/>
      <c r="L131" s="9">
        <f t="shared" si="154"/>
        <v>272315.58178028866</v>
      </c>
      <c r="M131" s="9"/>
      <c r="O131">
        <f>Decomposition!H129</f>
        <v>1.1708334570680377</v>
      </c>
      <c r="R131" s="31"/>
      <c r="S131" s="119">
        <f t="shared" si="121"/>
        <v>273420.44728753262</v>
      </c>
      <c r="T131" s="36">
        <f t="shared" si="122"/>
        <v>302047.58261868492</v>
      </c>
      <c r="U131" s="36">
        <f t="shared" si="123"/>
        <v>311530.63248284667</v>
      </c>
      <c r="V131" s="93">
        <f t="shared" si="124"/>
        <v>318836.19402930932</v>
      </c>
      <c r="W131" s="10"/>
      <c r="X131" s="10"/>
      <c r="Y131" s="10"/>
      <c r="Z131" s="10"/>
      <c r="AA131" s="10"/>
      <c r="AB131" s="10"/>
      <c r="AG131" s="47"/>
      <c r="AH131" s="47"/>
      <c r="AI131" s="48"/>
      <c r="AJ131" s="48"/>
      <c r="AK131" s="48"/>
      <c r="AL131" s="48"/>
      <c r="AM131" s="48"/>
      <c r="AN131" s="48"/>
      <c r="AO131" s="48"/>
      <c r="AP131" s="1"/>
      <c r="AR131" s="1"/>
      <c r="AS131" s="1"/>
      <c r="AT131" s="1"/>
    </row>
    <row r="132" spans="2:46" x14ac:dyDescent="0.3">
      <c r="B132">
        <v>120</v>
      </c>
      <c r="C132" s="30">
        <v>45992</v>
      </c>
      <c r="F132" s="9">
        <f t="shared" si="155"/>
        <v>233526.33599335558</v>
      </c>
      <c r="G132" s="10"/>
      <c r="H132" s="9">
        <f t="shared" si="156"/>
        <v>257976.5557563263</v>
      </c>
      <c r="I132" s="10"/>
      <c r="J132" s="9">
        <f t="shared" si="153"/>
        <v>266075.95691958733</v>
      </c>
      <c r="K132" s="10"/>
      <c r="L132" s="9">
        <f t="shared" si="154"/>
        <v>272315.58178028866</v>
      </c>
      <c r="M132" s="9"/>
      <c r="O132">
        <f>Decomposition!H130</f>
        <v>1.3918574426414096</v>
      </c>
      <c r="R132" s="31"/>
      <c r="S132" s="120">
        <f t="shared" si="121"/>
        <v>325035.36880513048</v>
      </c>
      <c r="T132" s="121">
        <f t="shared" si="122"/>
        <v>359066.58915643935</v>
      </c>
      <c r="U132" s="121">
        <f t="shared" si="123"/>
        <v>370339.80094646272</v>
      </c>
      <c r="V132" s="94">
        <f t="shared" si="124"/>
        <v>379024.46924812021</v>
      </c>
      <c r="W132" s="10"/>
      <c r="X132" s="10"/>
      <c r="Y132" s="10"/>
      <c r="Z132" s="10"/>
      <c r="AA132" s="10"/>
      <c r="AB132" s="10"/>
      <c r="AG132" s="47"/>
      <c r="AH132" s="47"/>
      <c r="AI132" s="48"/>
      <c r="AJ132" s="48"/>
      <c r="AK132" s="48"/>
      <c r="AL132" s="48"/>
      <c r="AM132" s="48"/>
      <c r="AN132" s="48"/>
      <c r="AO132" s="48"/>
      <c r="AP132" s="1"/>
      <c r="AR132" s="1"/>
      <c r="AS132" s="1"/>
      <c r="AT132" s="1"/>
    </row>
    <row r="133" spans="2:46" x14ac:dyDescent="0.3">
      <c r="G133" s="9"/>
      <c r="H133" s="9"/>
      <c r="I133" s="9"/>
      <c r="J133" s="9"/>
      <c r="K133" s="9"/>
      <c r="L133" s="9"/>
      <c r="M133" s="9"/>
      <c r="N133" s="9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P133" s="1"/>
    </row>
    <row r="134" spans="2:46" x14ac:dyDescent="0.3">
      <c r="G134" s="9"/>
      <c r="H134" s="9"/>
      <c r="I134" s="9"/>
      <c r="J134" s="9"/>
      <c r="K134" s="9"/>
      <c r="L134" s="9"/>
      <c r="M134" s="9"/>
      <c r="N134" s="9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P134" s="1"/>
    </row>
    <row r="135" spans="2:46" x14ac:dyDescent="0.3">
      <c r="G135" s="9"/>
      <c r="H135" s="9"/>
      <c r="I135" s="9"/>
      <c r="J135" s="9"/>
      <c r="K135" s="9"/>
      <c r="L135" s="9"/>
      <c r="M135" s="9"/>
      <c r="N135" s="9"/>
      <c r="R135" s="31"/>
      <c r="S135" s="31"/>
      <c r="AP135" s="1"/>
    </row>
    <row r="136" spans="2:46" x14ac:dyDescent="0.3">
      <c r="G136" s="9"/>
      <c r="H136" s="9"/>
      <c r="I136" s="9"/>
      <c r="J136" s="9"/>
      <c r="K136" s="9"/>
      <c r="L136" s="9"/>
      <c r="M136" s="9"/>
      <c r="N136" s="9"/>
    </row>
    <row r="137" spans="2:46" x14ac:dyDescent="0.3">
      <c r="G137" s="9"/>
      <c r="H137" s="9"/>
      <c r="I137" s="9"/>
      <c r="J137" s="9"/>
      <c r="K137" s="9"/>
      <c r="L137" s="9"/>
      <c r="M137" s="9"/>
      <c r="N137" s="9"/>
    </row>
    <row r="138" spans="2:46" x14ac:dyDescent="0.3">
      <c r="G138" s="9"/>
      <c r="H138" s="9"/>
      <c r="I138" s="9"/>
      <c r="J138" s="9"/>
      <c r="K138" s="9"/>
      <c r="L138" s="9"/>
      <c r="M138" s="9"/>
      <c r="N138" s="9"/>
    </row>
    <row r="139" spans="2:46" x14ac:dyDescent="0.3">
      <c r="G139" s="9"/>
      <c r="H139" s="9"/>
      <c r="I139" s="9"/>
      <c r="J139" s="9"/>
      <c r="K139" s="9"/>
      <c r="L139" s="9"/>
      <c r="M139" s="9"/>
      <c r="N139" s="9"/>
    </row>
  </sheetData>
  <mergeCells count="8">
    <mergeCell ref="X11:AA11"/>
    <mergeCell ref="BG2:BL2"/>
    <mergeCell ref="S2:V2"/>
    <mergeCell ref="AG10:AI10"/>
    <mergeCell ref="AK2:AN2"/>
    <mergeCell ref="AZ11:BE11"/>
    <mergeCell ref="S11:V11"/>
    <mergeCell ref="X2:AA2"/>
  </mergeCells>
  <phoneticPr fontId="2" type="noConversion"/>
  <conditionalFormatting sqref="BA13:BA115 BC13:BC115 BE13:BE1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:AB1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DE6B-9A47-4E39-92FA-029BD09B3191}">
  <dimension ref="A1:BG123"/>
  <sheetViews>
    <sheetView topLeftCell="A60" zoomScale="85" zoomScaleNormal="85" workbookViewId="0">
      <selection activeCell="B87" sqref="B87"/>
    </sheetView>
  </sheetViews>
  <sheetFormatPr baseColWidth="10" defaultRowHeight="13.2" x14ac:dyDescent="0.3"/>
  <cols>
    <col min="2" max="8" width="14.28515625" customWidth="1"/>
    <col min="19" max="19" width="23.28515625" customWidth="1"/>
    <col min="20" max="20" width="17.42578125" customWidth="1"/>
    <col min="21" max="21" width="15" customWidth="1"/>
    <col min="22" max="22" width="16.85546875" customWidth="1"/>
    <col min="53" max="53" width="23.7109375" customWidth="1"/>
    <col min="54" max="54" width="33.28515625" customWidth="1"/>
    <col min="55" max="55" width="49.140625" customWidth="1"/>
    <col min="56" max="56" width="50.140625" customWidth="1"/>
    <col min="57" max="59" width="12.5703125" customWidth="1"/>
  </cols>
  <sheetData>
    <row r="1" spans="1:59" ht="13.8" thickBot="1" x14ac:dyDescent="0.35">
      <c r="A1" s="134" t="s">
        <v>118</v>
      </c>
      <c r="B1" s="135"/>
      <c r="C1" s="135"/>
      <c r="D1" s="135"/>
      <c r="E1" s="135"/>
      <c r="F1" s="72"/>
      <c r="G1" s="72"/>
      <c r="H1" s="72"/>
      <c r="Q1" t="s">
        <v>202</v>
      </c>
      <c r="AG1" s="124" t="s">
        <v>117</v>
      </c>
      <c r="AH1" s="125"/>
      <c r="AI1" s="125"/>
      <c r="AJ1" s="125"/>
      <c r="AK1" s="125"/>
      <c r="AO1" s="70"/>
      <c r="AZ1" s="138" t="s">
        <v>71</v>
      </c>
      <c r="BA1" s="139" t="s">
        <v>72</v>
      </c>
      <c r="BB1" s="139" t="s">
        <v>76</v>
      </c>
      <c r="BC1" s="139" t="s">
        <v>77</v>
      </c>
      <c r="BD1" s="140" t="s">
        <v>78</v>
      </c>
      <c r="BE1" t="s">
        <v>183</v>
      </c>
      <c r="BF1" t="s">
        <v>187</v>
      </c>
      <c r="BG1" t="s">
        <v>203</v>
      </c>
    </row>
    <row r="2" spans="1:59" ht="14.4" thickTop="1" thickBot="1" x14ac:dyDescent="0.35">
      <c r="A2" t="s">
        <v>71</v>
      </c>
      <c r="B2" t="s">
        <v>72</v>
      </c>
      <c r="C2" t="s">
        <v>76</v>
      </c>
      <c r="D2" t="s">
        <v>77</v>
      </c>
      <c r="E2" t="s">
        <v>78</v>
      </c>
      <c r="F2" t="s">
        <v>183</v>
      </c>
      <c r="G2" t="s">
        <v>187</v>
      </c>
      <c r="H2" t="s">
        <v>203</v>
      </c>
      <c r="Q2" t="s">
        <v>71</v>
      </c>
      <c r="R2" s="147" t="s">
        <v>132</v>
      </c>
      <c r="S2" s="148" t="s">
        <v>200</v>
      </c>
      <c r="T2" s="148" t="s">
        <v>201</v>
      </c>
      <c r="U2" s="148" t="s">
        <v>77</v>
      </c>
      <c r="V2" s="148" t="s">
        <v>78</v>
      </c>
      <c r="AG2" t="s">
        <v>71</v>
      </c>
      <c r="AH2" t="s">
        <v>72</v>
      </c>
      <c r="AI2" t="s">
        <v>76</v>
      </c>
      <c r="AJ2" t="s">
        <v>77</v>
      </c>
      <c r="AK2" t="s">
        <v>78</v>
      </c>
      <c r="AM2" t="s">
        <v>128</v>
      </c>
      <c r="AN2" t="s">
        <v>121</v>
      </c>
      <c r="AO2" t="s">
        <v>175</v>
      </c>
      <c r="AZ2" s="141">
        <v>42370</v>
      </c>
      <c r="BA2">
        <v>248684</v>
      </c>
    </row>
    <row r="3" spans="1:59" ht="13.8" thickTop="1" x14ac:dyDescent="0.3">
      <c r="A3" s="33">
        <v>42370</v>
      </c>
      <c r="B3">
        <f>Data!C2</f>
        <v>248684</v>
      </c>
      <c r="Q3">
        <v>1</v>
      </c>
      <c r="R3" s="149">
        <v>42370</v>
      </c>
      <c r="S3" s="150">
        <v>248684</v>
      </c>
      <c r="T3" s="159"/>
      <c r="U3" s="150"/>
      <c r="V3" s="156"/>
      <c r="AG3" s="33">
        <v>42370</v>
      </c>
      <c r="AH3" s="2">
        <f>Decomposition!C11</f>
        <v>248684</v>
      </c>
      <c r="AZ3" s="142">
        <v>42401</v>
      </c>
      <c r="BA3">
        <v>211731</v>
      </c>
    </row>
    <row r="4" spans="1:59" x14ac:dyDescent="0.3">
      <c r="A4" s="33">
        <v>42401</v>
      </c>
      <c r="B4">
        <f>Data!C3</f>
        <v>211731</v>
      </c>
      <c r="Q4">
        <v>2</v>
      </c>
      <c r="R4" s="151">
        <v>42401</v>
      </c>
      <c r="S4" s="143">
        <v>211731</v>
      </c>
      <c r="T4" s="159"/>
      <c r="U4" s="143"/>
      <c r="V4" s="157"/>
      <c r="AG4" s="33">
        <v>42401</v>
      </c>
      <c r="AH4" s="2">
        <f>Decomposition!C12</f>
        <v>211731</v>
      </c>
      <c r="AZ4" s="141">
        <v>42430</v>
      </c>
      <c r="BA4">
        <v>210862</v>
      </c>
    </row>
    <row r="5" spans="1:59" x14ac:dyDescent="0.3">
      <c r="A5" s="33">
        <v>42430</v>
      </c>
      <c r="B5">
        <f>Data!C4</f>
        <v>210862</v>
      </c>
      <c r="Q5">
        <v>3</v>
      </c>
      <c r="R5" s="149">
        <v>42430</v>
      </c>
      <c r="S5" s="152">
        <v>210862</v>
      </c>
      <c r="T5" s="159"/>
      <c r="U5" s="152"/>
      <c r="V5" s="158"/>
      <c r="AG5" s="33">
        <v>42430</v>
      </c>
      <c r="AH5" s="2">
        <f>Decomposition!C13</f>
        <v>210862</v>
      </c>
      <c r="AZ5" s="142">
        <v>42461</v>
      </c>
      <c r="BA5">
        <v>182419</v>
      </c>
    </row>
    <row r="6" spans="1:59" x14ac:dyDescent="0.3">
      <c r="A6" s="33">
        <v>42461</v>
      </c>
      <c r="B6">
        <f>Data!C5</f>
        <v>182419</v>
      </c>
      <c r="Q6">
        <v>4</v>
      </c>
      <c r="R6" s="151">
        <v>42461</v>
      </c>
      <c r="S6" s="143">
        <v>182419</v>
      </c>
      <c r="T6" s="159"/>
      <c r="U6" s="143"/>
      <c r="V6" s="157"/>
      <c r="AG6" s="33">
        <v>42461</v>
      </c>
      <c r="AH6" s="2">
        <f>Decomposition!C14</f>
        <v>182419</v>
      </c>
      <c r="AZ6" s="141">
        <v>42491</v>
      </c>
      <c r="BA6">
        <v>176403</v>
      </c>
    </row>
    <row r="7" spans="1:59" x14ac:dyDescent="0.3">
      <c r="A7" s="33">
        <v>42491</v>
      </c>
      <c r="B7">
        <f>Data!C6</f>
        <v>176403</v>
      </c>
      <c r="Q7">
        <v>5</v>
      </c>
      <c r="R7" s="149">
        <v>42491</v>
      </c>
      <c r="S7" s="152">
        <v>176403</v>
      </c>
      <c r="T7" s="159"/>
      <c r="U7" s="152"/>
      <c r="V7" s="158"/>
      <c r="AG7" s="33">
        <v>42491</v>
      </c>
      <c r="AH7" s="2">
        <f>Decomposition!C15</f>
        <v>176403</v>
      </c>
      <c r="AZ7" s="142">
        <v>42522</v>
      </c>
      <c r="BA7">
        <v>160586</v>
      </c>
    </row>
    <row r="8" spans="1:59" x14ac:dyDescent="0.3">
      <c r="A8" s="33">
        <v>42522</v>
      </c>
      <c r="B8">
        <f>Data!C7</f>
        <v>160586</v>
      </c>
      <c r="Q8">
        <v>6</v>
      </c>
      <c r="R8" s="151">
        <v>42522</v>
      </c>
      <c r="S8" s="143">
        <v>160586</v>
      </c>
      <c r="T8" s="159"/>
      <c r="U8" s="143"/>
      <c r="V8" s="157"/>
      <c r="AG8" s="33">
        <v>42522</v>
      </c>
      <c r="AH8" s="2">
        <f>Decomposition!C16</f>
        <v>160586</v>
      </c>
      <c r="AZ8" s="141">
        <v>42552</v>
      </c>
      <c r="BA8">
        <v>205385</v>
      </c>
    </row>
    <row r="9" spans="1:59" x14ac:dyDescent="0.3">
      <c r="A9" s="33">
        <v>42552</v>
      </c>
      <c r="B9">
        <f>Data!C8</f>
        <v>205385</v>
      </c>
      <c r="Q9">
        <v>7</v>
      </c>
      <c r="R9" s="149">
        <v>42552</v>
      </c>
      <c r="S9" s="152">
        <v>205385</v>
      </c>
      <c r="T9" s="159"/>
      <c r="U9" s="152"/>
      <c r="V9" s="158"/>
      <c r="AG9" s="33">
        <v>42552</v>
      </c>
      <c r="AH9" s="2">
        <f>Decomposition!C17</f>
        <v>205385</v>
      </c>
      <c r="AZ9" s="142">
        <v>42583</v>
      </c>
      <c r="BA9">
        <v>188354</v>
      </c>
    </row>
    <row r="10" spans="1:59" x14ac:dyDescent="0.3">
      <c r="A10" s="33">
        <v>42583</v>
      </c>
      <c r="B10">
        <f>Data!C9</f>
        <v>188354</v>
      </c>
      <c r="Q10">
        <v>8</v>
      </c>
      <c r="R10" s="151">
        <v>42583</v>
      </c>
      <c r="S10" s="143">
        <v>188354</v>
      </c>
      <c r="T10" s="159"/>
      <c r="U10" s="143"/>
      <c r="V10" s="157"/>
      <c r="AG10" s="33">
        <v>42583</v>
      </c>
      <c r="AH10" s="2">
        <f>Decomposition!C18</f>
        <v>188354</v>
      </c>
      <c r="AZ10" s="141">
        <v>42614</v>
      </c>
      <c r="BA10">
        <v>187990</v>
      </c>
    </row>
    <row r="11" spans="1:59" x14ac:dyDescent="0.3">
      <c r="A11" s="33">
        <v>42614</v>
      </c>
      <c r="B11">
        <f>Data!C10</f>
        <v>187990</v>
      </c>
      <c r="Q11">
        <v>9</v>
      </c>
      <c r="R11" s="149">
        <v>42614</v>
      </c>
      <c r="S11" s="152">
        <v>187990</v>
      </c>
      <c r="T11" s="159"/>
      <c r="U11" s="152"/>
      <c r="V11" s="158"/>
      <c r="AG11" s="33">
        <v>42614</v>
      </c>
      <c r="AH11" s="2">
        <f>Decomposition!C19</f>
        <v>187990</v>
      </c>
      <c r="AZ11" s="142">
        <v>42644</v>
      </c>
      <c r="BA11">
        <v>204246</v>
      </c>
    </row>
    <row r="12" spans="1:59" x14ac:dyDescent="0.3">
      <c r="A12" s="33">
        <v>42644</v>
      </c>
      <c r="B12">
        <f>Data!C11</f>
        <v>204246</v>
      </c>
      <c r="Q12">
        <v>10</v>
      </c>
      <c r="R12" s="151">
        <v>42644</v>
      </c>
      <c r="S12" s="143">
        <v>204246</v>
      </c>
      <c r="T12" s="159"/>
      <c r="U12" s="143"/>
      <c r="V12" s="157"/>
      <c r="AG12" s="33">
        <v>42644</v>
      </c>
      <c r="AH12" s="2">
        <f>Decomposition!C20</f>
        <v>204246</v>
      </c>
      <c r="AZ12" s="141">
        <v>42675</v>
      </c>
      <c r="BA12">
        <v>230713</v>
      </c>
    </row>
    <row r="13" spans="1:59" x14ac:dyDescent="0.3">
      <c r="A13" s="33">
        <v>42675</v>
      </c>
      <c r="B13">
        <f>Data!C12</f>
        <v>230713</v>
      </c>
      <c r="Q13">
        <v>11</v>
      </c>
      <c r="R13" s="149">
        <v>42675</v>
      </c>
      <c r="S13" s="152">
        <v>230713</v>
      </c>
      <c r="T13" s="159"/>
      <c r="U13" s="152"/>
      <c r="V13" s="158"/>
      <c r="AG13" s="33">
        <v>42675</v>
      </c>
      <c r="AH13" s="2">
        <f>Decomposition!C21</f>
        <v>230713</v>
      </c>
      <c r="AZ13" s="142">
        <v>42705</v>
      </c>
      <c r="BA13">
        <v>242419</v>
      </c>
    </row>
    <row r="14" spans="1:59" x14ac:dyDescent="0.3">
      <c r="A14" s="33">
        <v>42705</v>
      </c>
      <c r="B14">
        <f>Data!C13</f>
        <v>242419</v>
      </c>
      <c r="Q14">
        <v>12</v>
      </c>
      <c r="R14" s="151">
        <v>42705</v>
      </c>
      <c r="S14" s="143">
        <v>242419</v>
      </c>
      <c r="T14" s="159"/>
      <c r="U14" s="143"/>
      <c r="V14" s="157"/>
      <c r="AG14" s="33">
        <v>42705</v>
      </c>
      <c r="AH14" s="2">
        <f>Decomposition!C22</f>
        <v>242419</v>
      </c>
      <c r="AZ14" s="141">
        <v>42736</v>
      </c>
      <c r="BA14">
        <v>246675</v>
      </c>
    </row>
    <row r="15" spans="1:59" x14ac:dyDescent="0.3">
      <c r="A15" s="33">
        <v>42736</v>
      </c>
      <c r="B15">
        <f>Data!C14</f>
        <v>246675</v>
      </c>
      <c r="Q15">
        <v>13</v>
      </c>
      <c r="R15" s="149">
        <v>42736</v>
      </c>
      <c r="S15" s="152">
        <v>246675</v>
      </c>
      <c r="T15" s="159"/>
      <c r="U15" s="152"/>
      <c r="V15" s="158"/>
      <c r="AG15" s="33">
        <v>42736</v>
      </c>
      <c r="AH15" s="2">
        <f>Decomposition!C23</f>
        <v>246675</v>
      </c>
      <c r="AZ15" s="142">
        <v>42767</v>
      </c>
      <c r="BA15">
        <v>208332</v>
      </c>
    </row>
    <row r="16" spans="1:59" x14ac:dyDescent="0.3">
      <c r="A16" s="33">
        <v>42767</v>
      </c>
      <c r="B16">
        <f>Data!C15</f>
        <v>208332</v>
      </c>
      <c r="Q16">
        <v>14</v>
      </c>
      <c r="R16" s="151">
        <v>42767</v>
      </c>
      <c r="S16" s="143">
        <v>208332</v>
      </c>
      <c r="T16" s="159"/>
      <c r="U16" s="143"/>
      <c r="V16" s="157"/>
      <c r="AG16" s="33">
        <v>42767</v>
      </c>
      <c r="AH16" s="2">
        <f>Decomposition!C24</f>
        <v>208332</v>
      </c>
      <c r="AZ16" s="141">
        <v>42795</v>
      </c>
      <c r="BA16">
        <v>215957</v>
      </c>
    </row>
    <row r="17" spans="1:53" x14ac:dyDescent="0.3">
      <c r="A17" s="33">
        <v>42795</v>
      </c>
      <c r="B17">
        <f>Data!C16</f>
        <v>215957</v>
      </c>
      <c r="Q17">
        <v>15</v>
      </c>
      <c r="R17" s="149">
        <v>42795</v>
      </c>
      <c r="S17" s="152">
        <v>215957</v>
      </c>
      <c r="T17" s="159"/>
      <c r="U17" s="152"/>
      <c r="V17" s="158"/>
      <c r="AG17" s="33">
        <v>42795</v>
      </c>
      <c r="AH17" s="2">
        <f>Decomposition!C25</f>
        <v>215957</v>
      </c>
      <c r="AZ17" s="142">
        <v>42826</v>
      </c>
      <c r="BA17">
        <v>200426</v>
      </c>
    </row>
    <row r="18" spans="1:53" x14ac:dyDescent="0.3">
      <c r="A18" s="33">
        <v>42826</v>
      </c>
      <c r="B18">
        <f>Data!C17</f>
        <v>200426</v>
      </c>
      <c r="Q18">
        <v>16</v>
      </c>
      <c r="R18" s="151">
        <v>42826</v>
      </c>
      <c r="S18" s="143">
        <v>200426</v>
      </c>
      <c r="T18" s="159"/>
      <c r="U18" s="143"/>
      <c r="V18" s="157"/>
      <c r="AG18" s="33">
        <v>42826</v>
      </c>
      <c r="AH18" s="2">
        <f>Decomposition!C26</f>
        <v>200426</v>
      </c>
      <c r="AZ18" s="141">
        <v>42856</v>
      </c>
      <c r="BA18">
        <v>179443</v>
      </c>
    </row>
    <row r="19" spans="1:53" x14ac:dyDescent="0.3">
      <c r="A19" s="33">
        <v>42856</v>
      </c>
      <c r="B19">
        <f>Data!C18</f>
        <v>179443</v>
      </c>
      <c r="Q19">
        <v>17</v>
      </c>
      <c r="R19" s="149">
        <v>42856</v>
      </c>
      <c r="S19" s="152">
        <v>179443</v>
      </c>
      <c r="T19" s="159"/>
      <c r="U19" s="152"/>
      <c r="V19" s="158"/>
      <c r="AG19" s="33">
        <v>42856</v>
      </c>
      <c r="AH19" s="2">
        <f>Decomposition!C27</f>
        <v>179443</v>
      </c>
      <c r="AZ19" s="142">
        <v>42887</v>
      </c>
      <c r="BA19">
        <v>167766</v>
      </c>
    </row>
    <row r="20" spans="1:53" x14ac:dyDescent="0.3">
      <c r="A20" s="33">
        <v>42887</v>
      </c>
      <c r="B20">
        <f>Data!C19</f>
        <v>167766</v>
      </c>
      <c r="Q20">
        <v>18</v>
      </c>
      <c r="R20" s="151">
        <v>42887</v>
      </c>
      <c r="S20" s="143">
        <v>167766</v>
      </c>
      <c r="T20" s="159"/>
      <c r="U20" s="143"/>
      <c r="V20" s="157"/>
      <c r="AG20" s="33">
        <v>42887</v>
      </c>
      <c r="AH20" s="2">
        <f>Decomposition!C28</f>
        <v>167766</v>
      </c>
      <c r="AZ20" s="141">
        <v>42917</v>
      </c>
      <c r="BA20">
        <v>211456</v>
      </c>
    </row>
    <row r="21" spans="1:53" x14ac:dyDescent="0.3">
      <c r="A21" s="33">
        <v>42917</v>
      </c>
      <c r="B21">
        <f>Data!C20</f>
        <v>211456</v>
      </c>
      <c r="Q21">
        <v>19</v>
      </c>
      <c r="R21" s="149">
        <v>42917</v>
      </c>
      <c r="S21" s="152">
        <v>211456</v>
      </c>
      <c r="T21" s="159"/>
      <c r="U21" s="152"/>
      <c r="V21" s="158"/>
      <c r="AA21" s="144"/>
      <c r="AG21" s="33">
        <v>42917</v>
      </c>
      <c r="AH21" s="2">
        <f>Decomposition!C29</f>
        <v>211456</v>
      </c>
      <c r="AZ21" s="142">
        <v>42948</v>
      </c>
      <c r="BA21">
        <v>193354</v>
      </c>
    </row>
    <row r="22" spans="1:53" x14ac:dyDescent="0.3">
      <c r="A22" s="33">
        <v>42948</v>
      </c>
      <c r="B22">
        <f>Data!C21</f>
        <v>193354</v>
      </c>
      <c r="Q22">
        <v>20</v>
      </c>
      <c r="R22" s="151">
        <v>42948</v>
      </c>
      <c r="S22" s="143">
        <v>193354</v>
      </c>
      <c r="T22" s="159"/>
      <c r="U22" s="143"/>
      <c r="V22" s="157"/>
      <c r="AG22" s="33">
        <v>42948</v>
      </c>
      <c r="AH22" s="2">
        <f>Decomposition!C30</f>
        <v>193354</v>
      </c>
      <c r="AZ22" s="141">
        <v>42979</v>
      </c>
      <c r="BA22">
        <v>199160</v>
      </c>
    </row>
    <row r="23" spans="1:53" x14ac:dyDescent="0.3">
      <c r="A23" s="33">
        <v>42979</v>
      </c>
      <c r="B23">
        <f>Data!C22</f>
        <v>199160</v>
      </c>
      <c r="Q23">
        <v>21</v>
      </c>
      <c r="R23" s="149">
        <v>42979</v>
      </c>
      <c r="S23" s="152">
        <v>199160</v>
      </c>
      <c r="T23" s="159"/>
      <c r="U23" s="152"/>
      <c r="V23" s="153"/>
      <c r="AG23" s="33">
        <v>42979</v>
      </c>
      <c r="AH23" s="2">
        <f>Decomposition!C31</f>
        <v>199160</v>
      </c>
      <c r="AZ23" s="142">
        <v>43009</v>
      </c>
      <c r="BA23">
        <v>224240</v>
      </c>
    </row>
    <row r="24" spans="1:53" x14ac:dyDescent="0.3">
      <c r="A24" s="33">
        <v>43009</v>
      </c>
      <c r="B24">
        <f>Data!C23</f>
        <v>224240</v>
      </c>
      <c r="Q24">
        <v>22</v>
      </c>
      <c r="R24" s="151">
        <v>43009</v>
      </c>
      <c r="S24" s="143">
        <v>224240</v>
      </c>
      <c r="T24" s="159"/>
      <c r="U24" s="143"/>
      <c r="V24" s="157"/>
      <c r="AG24" s="33">
        <v>43009</v>
      </c>
      <c r="AH24" s="2">
        <f>Decomposition!C32</f>
        <v>224240</v>
      </c>
      <c r="AZ24" s="141">
        <v>43040</v>
      </c>
      <c r="BA24">
        <v>243719</v>
      </c>
    </row>
    <row r="25" spans="1:53" x14ac:dyDescent="0.3">
      <c r="A25" s="33">
        <v>43040</v>
      </c>
      <c r="B25">
        <f>Data!C24</f>
        <v>243719</v>
      </c>
      <c r="Q25">
        <v>23</v>
      </c>
      <c r="R25" s="149">
        <v>43040</v>
      </c>
      <c r="S25" s="152">
        <v>243719</v>
      </c>
      <c r="T25" s="159"/>
      <c r="U25" s="152"/>
      <c r="V25" s="158"/>
      <c r="AG25" s="33">
        <v>43040</v>
      </c>
      <c r="AH25" s="2">
        <f>Decomposition!C33</f>
        <v>243719</v>
      </c>
      <c r="AZ25" s="142">
        <v>43070</v>
      </c>
      <c r="BA25">
        <v>255410</v>
      </c>
    </row>
    <row r="26" spans="1:53" x14ac:dyDescent="0.3">
      <c r="A26" s="33">
        <v>43070</v>
      </c>
      <c r="B26">
        <f>Data!C25</f>
        <v>255410</v>
      </c>
      <c r="Q26">
        <v>24</v>
      </c>
      <c r="R26" s="151">
        <v>43070</v>
      </c>
      <c r="S26" s="143">
        <v>255410</v>
      </c>
      <c r="T26" s="159"/>
      <c r="U26" s="143"/>
      <c r="V26" s="157"/>
      <c r="AG26" s="33">
        <v>43070</v>
      </c>
      <c r="AH26" s="2">
        <f>Decomposition!C34</f>
        <v>255410</v>
      </c>
      <c r="AZ26" s="141">
        <v>43101</v>
      </c>
      <c r="BA26">
        <v>275610</v>
      </c>
    </row>
    <row r="27" spans="1:53" x14ac:dyDescent="0.3">
      <c r="A27" s="33">
        <v>43101</v>
      </c>
      <c r="B27">
        <f>Data!C26</f>
        <v>275610</v>
      </c>
      <c r="Q27">
        <v>25</v>
      </c>
      <c r="R27" s="149">
        <v>43101</v>
      </c>
      <c r="S27" s="152">
        <v>275610</v>
      </c>
      <c r="T27" s="159"/>
      <c r="U27" s="152"/>
      <c r="V27" s="158"/>
      <c r="AG27" s="33">
        <v>43101</v>
      </c>
      <c r="AH27" s="2">
        <f>Decomposition!C35</f>
        <v>275610</v>
      </c>
      <c r="AZ27" s="142">
        <v>43132</v>
      </c>
      <c r="BA27">
        <v>214691</v>
      </c>
    </row>
    <row r="28" spans="1:53" x14ac:dyDescent="0.3">
      <c r="A28" s="33">
        <v>43132</v>
      </c>
      <c r="B28">
        <f>Data!C27</f>
        <v>214691</v>
      </c>
      <c r="Q28">
        <v>26</v>
      </c>
      <c r="R28" s="151">
        <v>43132</v>
      </c>
      <c r="S28" s="143">
        <v>214691</v>
      </c>
      <c r="T28" s="159"/>
      <c r="U28" s="143"/>
      <c r="V28" s="157"/>
      <c r="AG28" s="33">
        <v>43132</v>
      </c>
      <c r="AH28" s="2">
        <f>Decomposition!C36</f>
        <v>214691</v>
      </c>
      <c r="AZ28" s="141">
        <v>43160</v>
      </c>
      <c r="BA28">
        <v>220918</v>
      </c>
    </row>
    <row r="29" spans="1:53" x14ac:dyDescent="0.3">
      <c r="A29" s="33">
        <v>43160</v>
      </c>
      <c r="B29">
        <f>Data!C28</f>
        <v>220918</v>
      </c>
      <c r="Q29">
        <v>27</v>
      </c>
      <c r="R29" s="149">
        <v>43160</v>
      </c>
      <c r="S29" s="152">
        <v>220918</v>
      </c>
      <c r="T29" s="159"/>
      <c r="U29" s="152"/>
      <c r="V29" s="158"/>
      <c r="AG29" s="33">
        <v>43160</v>
      </c>
      <c r="AH29" s="2">
        <f>Decomposition!C37</f>
        <v>220918</v>
      </c>
      <c r="AZ29" s="142">
        <v>43191</v>
      </c>
      <c r="BA29">
        <v>202846</v>
      </c>
    </row>
    <row r="30" spans="1:53" x14ac:dyDescent="0.3">
      <c r="A30" s="33">
        <v>43191</v>
      </c>
      <c r="B30">
        <f>Data!C29</f>
        <v>202846</v>
      </c>
      <c r="Q30">
        <v>28</v>
      </c>
      <c r="R30" s="151">
        <v>43191</v>
      </c>
      <c r="S30" s="143">
        <v>202846</v>
      </c>
      <c r="T30" s="159"/>
      <c r="U30" s="143"/>
      <c r="V30" s="157"/>
      <c r="AG30" s="33">
        <v>43191</v>
      </c>
      <c r="AH30" s="2">
        <f>Decomposition!C38</f>
        <v>202846</v>
      </c>
      <c r="AZ30" s="141">
        <v>43221</v>
      </c>
      <c r="BA30">
        <v>184649</v>
      </c>
    </row>
    <row r="31" spans="1:53" x14ac:dyDescent="0.3">
      <c r="A31" s="33">
        <v>43221</v>
      </c>
      <c r="B31">
        <f>Data!C30</f>
        <v>184649</v>
      </c>
      <c r="Q31">
        <v>29</v>
      </c>
      <c r="R31" s="149">
        <v>43221</v>
      </c>
      <c r="S31" s="152">
        <v>184649</v>
      </c>
      <c r="T31" s="159"/>
      <c r="U31" s="152"/>
      <c r="V31" s="158"/>
      <c r="AG31" s="33">
        <v>43221</v>
      </c>
      <c r="AH31" s="2">
        <f>Decomposition!C39</f>
        <v>184649</v>
      </c>
      <c r="AZ31" s="142">
        <v>43252</v>
      </c>
      <c r="BA31">
        <v>167422</v>
      </c>
    </row>
    <row r="32" spans="1:53" x14ac:dyDescent="0.3">
      <c r="A32" s="33">
        <v>43252</v>
      </c>
      <c r="B32">
        <f>Data!C31</f>
        <v>167422</v>
      </c>
      <c r="Q32">
        <v>30</v>
      </c>
      <c r="R32" s="151">
        <v>43252</v>
      </c>
      <c r="S32" s="143">
        <v>167422</v>
      </c>
      <c r="T32" s="159"/>
      <c r="U32" s="143"/>
      <c r="V32" s="157"/>
      <c r="AG32" s="33">
        <v>43252</v>
      </c>
      <c r="AH32" s="2">
        <f>Decomposition!C40</f>
        <v>167422</v>
      </c>
      <c r="AZ32" s="141">
        <v>43282</v>
      </c>
      <c r="BA32">
        <v>215459</v>
      </c>
    </row>
    <row r="33" spans="1:53" x14ac:dyDescent="0.3">
      <c r="A33" s="33">
        <v>43282</v>
      </c>
      <c r="B33">
        <f>Data!C32</f>
        <v>215459</v>
      </c>
      <c r="Q33">
        <v>31</v>
      </c>
      <c r="R33" s="149">
        <v>43282</v>
      </c>
      <c r="S33" s="152">
        <v>215459</v>
      </c>
      <c r="T33" s="159"/>
      <c r="U33" s="152"/>
      <c r="V33" s="158"/>
      <c r="AG33" s="33">
        <v>43282</v>
      </c>
      <c r="AH33" s="2">
        <f>Decomposition!C41</f>
        <v>215459</v>
      </c>
      <c r="AZ33" s="142">
        <v>43313</v>
      </c>
      <c r="BA33">
        <v>203628</v>
      </c>
    </row>
    <row r="34" spans="1:53" x14ac:dyDescent="0.3">
      <c r="A34" s="33">
        <v>43313</v>
      </c>
      <c r="B34">
        <f>Data!C33</f>
        <v>203628</v>
      </c>
      <c r="Q34">
        <v>32</v>
      </c>
      <c r="R34" s="151">
        <v>43313</v>
      </c>
      <c r="S34" s="143">
        <v>203628</v>
      </c>
      <c r="T34" s="159"/>
      <c r="U34" s="143"/>
      <c r="V34" s="157"/>
      <c r="AG34" s="33">
        <v>43313</v>
      </c>
      <c r="AH34" s="2">
        <f>Decomposition!C42</f>
        <v>203628</v>
      </c>
      <c r="AZ34" s="141">
        <v>43344</v>
      </c>
      <c r="BA34">
        <v>216132</v>
      </c>
    </row>
    <row r="35" spans="1:53" x14ac:dyDescent="0.3">
      <c r="A35" s="33">
        <v>43344</v>
      </c>
      <c r="B35">
        <f>Data!C34</f>
        <v>216132</v>
      </c>
      <c r="Q35">
        <v>33</v>
      </c>
      <c r="R35" s="149">
        <v>43344</v>
      </c>
      <c r="S35" s="152">
        <v>216132</v>
      </c>
      <c r="T35" s="159"/>
      <c r="U35" s="152"/>
      <c r="V35" s="158"/>
      <c r="AG35" s="33">
        <v>43344</v>
      </c>
      <c r="AH35" s="2">
        <f>Decomposition!C43</f>
        <v>216132</v>
      </c>
      <c r="AZ35" s="142">
        <v>43374</v>
      </c>
      <c r="BA35">
        <v>227543</v>
      </c>
    </row>
    <row r="36" spans="1:53" x14ac:dyDescent="0.3">
      <c r="A36" s="33">
        <v>43374</v>
      </c>
      <c r="B36">
        <f>Data!C35</f>
        <v>227543</v>
      </c>
      <c r="Q36">
        <v>34</v>
      </c>
      <c r="R36" s="151">
        <v>43374</v>
      </c>
      <c r="S36" s="143">
        <v>227543</v>
      </c>
      <c r="T36" s="159"/>
      <c r="U36" s="143"/>
      <c r="V36" s="157"/>
      <c r="AG36" s="33">
        <v>43374</v>
      </c>
      <c r="AH36" s="2">
        <f>Decomposition!C44</f>
        <v>227543</v>
      </c>
      <c r="AZ36" s="141">
        <v>43405</v>
      </c>
      <c r="BA36">
        <v>261261</v>
      </c>
    </row>
    <row r="37" spans="1:53" x14ac:dyDescent="0.3">
      <c r="A37" s="33">
        <v>43405</v>
      </c>
      <c r="B37">
        <f>Data!C36</f>
        <v>261261</v>
      </c>
      <c r="Q37">
        <v>35</v>
      </c>
      <c r="R37" s="149">
        <v>43405</v>
      </c>
      <c r="S37" s="152">
        <v>261261</v>
      </c>
      <c r="T37" s="159"/>
      <c r="U37" s="152"/>
      <c r="V37" s="158"/>
      <c r="AG37" s="33">
        <v>43405</v>
      </c>
      <c r="AH37" s="2">
        <f>Decomposition!C45</f>
        <v>261261</v>
      </c>
      <c r="AZ37" s="142">
        <v>43435</v>
      </c>
      <c r="BA37">
        <v>293385</v>
      </c>
    </row>
    <row r="38" spans="1:53" x14ac:dyDescent="0.3">
      <c r="A38" s="33">
        <v>43435</v>
      </c>
      <c r="B38">
        <f>Data!C37</f>
        <v>293385</v>
      </c>
      <c r="Q38">
        <v>36</v>
      </c>
      <c r="R38" s="151">
        <v>43435</v>
      </c>
      <c r="S38" s="143">
        <v>293385</v>
      </c>
      <c r="T38" s="159"/>
      <c r="U38" s="143"/>
      <c r="V38" s="157"/>
      <c r="AG38" s="33">
        <v>43435</v>
      </c>
      <c r="AH38" s="2">
        <f>Decomposition!C46</f>
        <v>293385</v>
      </c>
      <c r="AZ38" s="141">
        <v>43466</v>
      </c>
      <c r="BA38">
        <v>321304</v>
      </c>
    </row>
    <row r="39" spans="1:53" x14ac:dyDescent="0.3">
      <c r="A39" s="33">
        <v>43466</v>
      </c>
      <c r="B39">
        <f>Data!C38</f>
        <v>321304</v>
      </c>
      <c r="Q39">
        <v>37</v>
      </c>
      <c r="R39" s="149">
        <v>43466</v>
      </c>
      <c r="S39" s="152">
        <v>321304</v>
      </c>
      <c r="T39" s="159"/>
      <c r="U39" s="152"/>
      <c r="V39" s="158"/>
      <c r="AG39" s="33">
        <v>43466</v>
      </c>
      <c r="AH39" s="2">
        <f>Decomposition!C47</f>
        <v>321304</v>
      </c>
      <c r="AZ39" s="142">
        <v>43497</v>
      </c>
      <c r="BA39">
        <v>237633</v>
      </c>
    </row>
    <row r="40" spans="1:53" x14ac:dyDescent="0.3">
      <c r="A40" s="33">
        <v>43497</v>
      </c>
      <c r="B40">
        <f>Data!C39</f>
        <v>237633</v>
      </c>
      <c r="Q40">
        <v>38</v>
      </c>
      <c r="R40" s="151">
        <v>43497</v>
      </c>
      <c r="S40" s="143">
        <v>237633</v>
      </c>
      <c r="T40" s="159"/>
      <c r="U40" s="143"/>
      <c r="V40" s="157"/>
      <c r="AG40" s="33">
        <v>43497</v>
      </c>
      <c r="AH40" s="2">
        <f>Decomposition!C48</f>
        <v>237633</v>
      </c>
      <c r="AZ40" s="141">
        <v>43525</v>
      </c>
      <c r="BA40">
        <v>261862</v>
      </c>
    </row>
    <row r="41" spans="1:53" x14ac:dyDescent="0.3">
      <c r="A41" s="33">
        <v>43525</v>
      </c>
      <c r="B41">
        <f>Data!C40</f>
        <v>261862</v>
      </c>
      <c r="Q41">
        <v>39</v>
      </c>
      <c r="R41" s="149">
        <v>43525</v>
      </c>
      <c r="S41" s="152">
        <v>261862</v>
      </c>
      <c r="T41" s="159"/>
      <c r="U41" s="152"/>
      <c r="V41" s="158"/>
      <c r="AG41" s="33">
        <v>43525</v>
      </c>
      <c r="AH41" s="2">
        <f>Decomposition!C49</f>
        <v>261862</v>
      </c>
      <c r="AZ41" s="142">
        <v>43556</v>
      </c>
      <c r="BA41">
        <v>239694</v>
      </c>
    </row>
    <row r="42" spans="1:53" x14ac:dyDescent="0.3">
      <c r="A42" s="33">
        <v>43556</v>
      </c>
      <c r="B42">
        <f>Data!C41</f>
        <v>239694</v>
      </c>
      <c r="Q42">
        <v>40</v>
      </c>
      <c r="R42" s="151">
        <v>43556</v>
      </c>
      <c r="S42" s="143">
        <v>239694</v>
      </c>
      <c r="T42" s="159"/>
      <c r="U42" s="143"/>
      <c r="V42" s="157"/>
      <c r="AG42" s="33">
        <v>43556</v>
      </c>
      <c r="AH42" s="2">
        <f>Decomposition!C50</f>
        <v>239694</v>
      </c>
      <c r="AZ42" s="141">
        <v>43586</v>
      </c>
      <c r="BA42">
        <v>209733</v>
      </c>
    </row>
    <row r="43" spans="1:53" x14ac:dyDescent="0.3">
      <c r="A43" s="33">
        <v>43586</v>
      </c>
      <c r="B43">
        <f>Data!C42</f>
        <v>209733</v>
      </c>
      <c r="Q43">
        <v>41</v>
      </c>
      <c r="R43" s="149">
        <v>43586</v>
      </c>
      <c r="S43" s="152">
        <v>209733</v>
      </c>
      <c r="T43" s="159"/>
      <c r="U43" s="152"/>
      <c r="V43" s="158"/>
      <c r="AG43" s="33">
        <v>43586</v>
      </c>
      <c r="AH43" s="2">
        <f>Decomposition!C51</f>
        <v>209733</v>
      </c>
      <c r="AZ43" s="142">
        <v>43617</v>
      </c>
      <c r="BA43">
        <v>197587</v>
      </c>
    </row>
    <row r="44" spans="1:53" x14ac:dyDescent="0.3">
      <c r="A44" s="33">
        <v>43617</v>
      </c>
      <c r="B44">
        <f>Data!C43</f>
        <v>197587</v>
      </c>
      <c r="Q44">
        <v>42</v>
      </c>
      <c r="R44" s="151">
        <v>43617</v>
      </c>
      <c r="S44" s="143">
        <v>197587</v>
      </c>
      <c r="T44" s="159"/>
      <c r="U44" s="143"/>
      <c r="V44" s="157"/>
      <c r="AG44" s="33">
        <v>43617</v>
      </c>
      <c r="AH44" s="2">
        <f>Decomposition!C52</f>
        <v>197587</v>
      </c>
      <c r="AZ44" s="141">
        <v>43647</v>
      </c>
      <c r="BA44">
        <v>244027</v>
      </c>
    </row>
    <row r="45" spans="1:53" x14ac:dyDescent="0.3">
      <c r="A45" s="33">
        <v>43647</v>
      </c>
      <c r="B45">
        <f>Data!C44</f>
        <v>244027</v>
      </c>
      <c r="Q45">
        <v>43</v>
      </c>
      <c r="R45" s="149">
        <v>43647</v>
      </c>
      <c r="S45" s="152">
        <v>244027</v>
      </c>
      <c r="T45" s="159"/>
      <c r="U45" s="152"/>
      <c r="V45" s="158"/>
      <c r="AG45" s="33">
        <v>43647</v>
      </c>
      <c r="AH45" s="2">
        <f>Decomposition!C53</f>
        <v>244027</v>
      </c>
      <c r="AZ45" s="142">
        <v>43678</v>
      </c>
      <c r="BA45">
        <v>216649</v>
      </c>
    </row>
    <row r="46" spans="1:53" x14ac:dyDescent="0.3">
      <c r="A46" s="33">
        <v>43678</v>
      </c>
      <c r="B46">
        <f>Data!C45</f>
        <v>216649</v>
      </c>
      <c r="Q46">
        <v>44</v>
      </c>
      <c r="R46" s="151">
        <v>43678</v>
      </c>
      <c r="S46" s="143">
        <v>216649</v>
      </c>
      <c r="T46" s="159"/>
      <c r="U46" s="143"/>
      <c r="V46" s="157"/>
      <c r="AG46" s="33">
        <v>43678</v>
      </c>
      <c r="AH46" s="2">
        <f>Decomposition!C54</f>
        <v>216649</v>
      </c>
      <c r="AZ46" s="141">
        <v>43709</v>
      </c>
      <c r="BA46">
        <v>225687</v>
      </c>
    </row>
    <row r="47" spans="1:53" x14ac:dyDescent="0.3">
      <c r="A47" s="33">
        <v>43709</v>
      </c>
      <c r="B47">
        <f>Data!C46</f>
        <v>225687</v>
      </c>
      <c r="Q47">
        <v>45</v>
      </c>
      <c r="R47" s="149">
        <v>43709</v>
      </c>
      <c r="S47" s="152">
        <v>225687</v>
      </c>
      <c r="T47" s="159"/>
      <c r="U47" s="152"/>
      <c r="V47" s="158"/>
      <c r="AG47" s="33">
        <v>43709</v>
      </c>
      <c r="AH47" s="2">
        <f>Decomposition!C55</f>
        <v>225687</v>
      </c>
      <c r="AZ47" s="142">
        <v>43739</v>
      </c>
      <c r="BA47">
        <v>225655</v>
      </c>
    </row>
    <row r="48" spans="1:53" x14ac:dyDescent="0.3">
      <c r="A48" s="33">
        <v>43739</v>
      </c>
      <c r="B48">
        <f>Data!C47</f>
        <v>225655</v>
      </c>
      <c r="Q48">
        <v>46</v>
      </c>
      <c r="R48" s="151">
        <v>43739</v>
      </c>
      <c r="S48" s="143">
        <v>225655</v>
      </c>
      <c r="T48" s="159"/>
      <c r="U48" s="143"/>
      <c r="V48" s="157"/>
      <c r="AG48" s="33">
        <v>43739</v>
      </c>
      <c r="AH48" s="2">
        <f>Decomposition!C56</f>
        <v>225655</v>
      </c>
      <c r="AZ48" s="141">
        <v>43770</v>
      </c>
      <c r="BA48">
        <v>247326</v>
      </c>
    </row>
    <row r="49" spans="1:53" x14ac:dyDescent="0.3">
      <c r="A49" s="33">
        <v>43770</v>
      </c>
      <c r="B49">
        <f>Data!C48</f>
        <v>247326</v>
      </c>
      <c r="Q49">
        <v>47</v>
      </c>
      <c r="R49" s="149">
        <v>43770</v>
      </c>
      <c r="S49" s="152">
        <v>247326</v>
      </c>
      <c r="T49" s="159"/>
      <c r="U49" s="152"/>
      <c r="V49" s="158"/>
      <c r="AG49" s="33">
        <v>43770</v>
      </c>
      <c r="AH49" s="2">
        <f>Decomposition!C57</f>
        <v>247326</v>
      </c>
      <c r="AZ49" s="142">
        <v>43800</v>
      </c>
      <c r="BA49">
        <v>306382</v>
      </c>
    </row>
    <row r="50" spans="1:53" x14ac:dyDescent="0.3">
      <c r="A50" s="33">
        <v>43800</v>
      </c>
      <c r="B50">
        <f>Data!C49</f>
        <v>306382</v>
      </c>
      <c r="Q50">
        <v>48</v>
      </c>
      <c r="R50" s="151">
        <v>43800</v>
      </c>
      <c r="S50" s="143">
        <v>306382</v>
      </c>
      <c r="T50" s="159"/>
      <c r="U50" s="143"/>
      <c r="V50" s="157"/>
      <c r="AG50" s="33">
        <v>43800</v>
      </c>
      <c r="AH50" s="2">
        <f>Decomposition!C58</f>
        <v>306382</v>
      </c>
      <c r="AZ50" s="142">
        <v>44958</v>
      </c>
      <c r="BA50">
        <v>205935</v>
      </c>
    </row>
    <row r="51" spans="1:53" x14ac:dyDescent="0.3">
      <c r="A51" s="33">
        <v>43831</v>
      </c>
      <c r="B51">
        <f>Data!C50</f>
        <v>308471</v>
      </c>
      <c r="Q51">
        <v>49</v>
      </c>
      <c r="R51" s="149">
        <v>43831</v>
      </c>
      <c r="S51" s="152">
        <v>308471</v>
      </c>
      <c r="T51" s="159"/>
      <c r="U51" s="152"/>
      <c r="V51" s="158"/>
      <c r="AG51" s="33">
        <v>43831</v>
      </c>
      <c r="AH51" s="2">
        <f>Decomposition!C59</f>
        <v>308471</v>
      </c>
      <c r="AZ51" s="141">
        <v>44986</v>
      </c>
      <c r="BA51">
        <v>221206</v>
      </c>
    </row>
    <row r="52" spans="1:53" x14ac:dyDescent="0.3">
      <c r="A52" s="33">
        <v>43862</v>
      </c>
      <c r="B52">
        <f>Data!C51</f>
        <v>255005</v>
      </c>
      <c r="Q52">
        <v>50</v>
      </c>
      <c r="R52" s="151">
        <v>43862</v>
      </c>
      <c r="S52" s="143">
        <v>255005</v>
      </c>
      <c r="T52" s="159"/>
      <c r="U52" s="145"/>
      <c r="V52" s="157"/>
      <c r="AG52" s="33">
        <v>43862</v>
      </c>
      <c r="AH52" s="2">
        <f>Decomposition!C60</f>
        <v>255005</v>
      </c>
      <c r="AZ52" s="142">
        <v>45017</v>
      </c>
      <c r="BA52">
        <v>222626</v>
      </c>
    </row>
    <row r="53" spans="1:53" x14ac:dyDescent="0.3">
      <c r="A53" s="33">
        <v>43891</v>
      </c>
      <c r="B53">
        <f>Data!C52</f>
        <v>118614</v>
      </c>
      <c r="Q53">
        <v>51</v>
      </c>
      <c r="R53" s="151">
        <v>43891</v>
      </c>
      <c r="S53" s="154">
        <f>Q53*1250.8482 + 191629.15</f>
        <v>255422.40820000001</v>
      </c>
      <c r="T53" s="106">
        <f t="shared" ref="T53:T66" si="0">Q53*1250.8482 + 191629.15</f>
        <v>255422.40820000001</v>
      </c>
      <c r="U53" s="152"/>
      <c r="V53" s="158"/>
      <c r="AG53" s="33">
        <v>43891</v>
      </c>
      <c r="AH53" s="2">
        <f>Decomposition!C61</f>
        <v>118614</v>
      </c>
      <c r="AZ53" s="141">
        <v>45047</v>
      </c>
      <c r="BA53">
        <v>196288</v>
      </c>
    </row>
    <row r="54" spans="1:53" x14ac:dyDescent="0.3">
      <c r="A54" s="33">
        <v>43922</v>
      </c>
      <c r="B54">
        <f>Data!C53</f>
        <v>0</v>
      </c>
      <c r="Q54">
        <v>52</v>
      </c>
      <c r="R54" s="149">
        <v>43922</v>
      </c>
      <c r="S54" s="154">
        <f t="shared" ref="S54:S64" si="1">Q54*1250.8482 + 191629.15</f>
        <v>256673.25639999998</v>
      </c>
      <c r="T54" s="106">
        <f t="shared" si="0"/>
        <v>256673.25639999998</v>
      </c>
      <c r="U54" s="143"/>
      <c r="V54" s="157"/>
      <c r="AG54" s="33">
        <v>43922</v>
      </c>
      <c r="AH54" s="2">
        <f>Decomposition!C62</f>
        <v>0</v>
      </c>
      <c r="AZ54" s="142">
        <v>45078</v>
      </c>
      <c r="BA54">
        <v>199427</v>
      </c>
    </row>
    <row r="55" spans="1:53" x14ac:dyDescent="0.3">
      <c r="A55" s="33">
        <v>43952</v>
      </c>
      <c r="B55">
        <f>Data!C54</f>
        <v>0</v>
      </c>
      <c r="Q55">
        <v>53</v>
      </c>
      <c r="R55" s="151">
        <v>43952</v>
      </c>
      <c r="S55" s="154">
        <f t="shared" si="1"/>
        <v>257924.10459999999</v>
      </c>
      <c r="T55" s="106">
        <f t="shared" si="0"/>
        <v>257924.10459999999</v>
      </c>
      <c r="U55" s="152"/>
      <c r="V55" s="158"/>
      <c r="AG55" s="33">
        <v>43952</v>
      </c>
      <c r="AH55" s="2">
        <f>Decomposition!C63</f>
        <v>0</v>
      </c>
      <c r="AZ55" s="141">
        <v>45108</v>
      </c>
      <c r="BA55">
        <v>263563</v>
      </c>
    </row>
    <row r="56" spans="1:53" x14ac:dyDescent="0.3">
      <c r="A56" s="33">
        <v>43983</v>
      </c>
      <c r="B56">
        <f>Data!C55</f>
        <v>0</v>
      </c>
      <c r="Q56">
        <v>54</v>
      </c>
      <c r="R56" s="149">
        <v>43983</v>
      </c>
      <c r="S56" s="154">
        <f t="shared" si="1"/>
        <v>259174.95279999997</v>
      </c>
      <c r="T56" s="106">
        <f t="shared" si="0"/>
        <v>259174.95279999997</v>
      </c>
      <c r="U56" s="143"/>
      <c r="V56" s="157"/>
      <c r="AG56" s="33">
        <v>43983</v>
      </c>
      <c r="AH56" s="2">
        <f>Decomposition!C64</f>
        <v>0</v>
      </c>
      <c r="AZ56" s="142">
        <v>45139</v>
      </c>
      <c r="BA56">
        <v>236928</v>
      </c>
    </row>
    <row r="57" spans="1:53" x14ac:dyDescent="0.3">
      <c r="A57" s="33">
        <v>44013</v>
      </c>
      <c r="B57">
        <f>Data!C56</f>
        <v>495</v>
      </c>
      <c r="Q57">
        <v>55</v>
      </c>
      <c r="R57" s="151">
        <v>44013</v>
      </c>
      <c r="S57" s="154">
        <f t="shared" si="1"/>
        <v>260425.80099999998</v>
      </c>
      <c r="T57" s="106">
        <f t="shared" si="0"/>
        <v>260425.80099999998</v>
      </c>
      <c r="U57" s="152"/>
      <c r="V57" s="158"/>
      <c r="AG57" s="33">
        <v>44013</v>
      </c>
      <c r="AH57" s="2">
        <f>Decomposition!C65</f>
        <v>495</v>
      </c>
      <c r="AZ57" s="141">
        <v>45170</v>
      </c>
      <c r="BA57">
        <v>239336</v>
      </c>
    </row>
    <row r="58" spans="1:53" x14ac:dyDescent="0.3">
      <c r="A58" s="33">
        <v>44044</v>
      </c>
      <c r="B58">
        <f>Data!C57</f>
        <v>890</v>
      </c>
      <c r="Q58">
        <v>56</v>
      </c>
      <c r="R58" s="149">
        <v>44044</v>
      </c>
      <c r="S58" s="154">
        <f t="shared" si="1"/>
        <v>261676.64919999999</v>
      </c>
      <c r="T58" s="106">
        <f t="shared" si="0"/>
        <v>261676.64919999999</v>
      </c>
      <c r="U58" s="143"/>
      <c r="V58" s="157"/>
      <c r="AG58" s="33">
        <v>44044</v>
      </c>
      <c r="AH58" s="2">
        <f>Decomposition!C66</f>
        <v>890</v>
      </c>
      <c r="AZ58" s="142">
        <v>45200</v>
      </c>
      <c r="BA58">
        <v>262043</v>
      </c>
    </row>
    <row r="59" spans="1:53" x14ac:dyDescent="0.3">
      <c r="A59" s="33">
        <v>44075</v>
      </c>
      <c r="B59">
        <f>Data!C58</f>
        <v>1392</v>
      </c>
      <c r="Q59">
        <v>57</v>
      </c>
      <c r="R59" s="151">
        <v>44075</v>
      </c>
      <c r="S59" s="154">
        <f t="shared" si="1"/>
        <v>262927.49739999999</v>
      </c>
      <c r="T59" s="106">
        <f t="shared" si="0"/>
        <v>262927.49739999999</v>
      </c>
      <c r="U59" s="152"/>
      <c r="V59" s="158"/>
      <c r="AG59" s="33">
        <v>44075</v>
      </c>
      <c r="AH59" s="2">
        <f>Decomposition!C67</f>
        <v>1392</v>
      </c>
      <c r="AZ59" s="141">
        <v>45231</v>
      </c>
      <c r="BA59">
        <v>311342</v>
      </c>
    </row>
    <row r="60" spans="1:53" x14ac:dyDescent="0.3">
      <c r="A60" s="33">
        <v>44105</v>
      </c>
      <c r="B60">
        <f>Data!C59</f>
        <v>1829</v>
      </c>
      <c r="Q60">
        <v>58</v>
      </c>
      <c r="R60" s="149">
        <v>44105</v>
      </c>
      <c r="S60" s="154">
        <f t="shared" si="1"/>
        <v>264178.3456</v>
      </c>
      <c r="T60" s="106">
        <f t="shared" si="0"/>
        <v>264178.3456</v>
      </c>
      <c r="U60" s="143"/>
      <c r="V60" s="157"/>
      <c r="AG60" s="33">
        <v>44105</v>
      </c>
      <c r="AH60" s="2">
        <f>Decomposition!C68</f>
        <v>1829</v>
      </c>
      <c r="AZ60" s="142">
        <v>45261</v>
      </c>
      <c r="BA60">
        <v>274711</v>
      </c>
    </row>
    <row r="61" spans="1:53" x14ac:dyDescent="0.3">
      <c r="A61" s="33">
        <v>44136</v>
      </c>
      <c r="B61">
        <f>Data!C60</f>
        <v>3897</v>
      </c>
      <c r="Q61">
        <v>59</v>
      </c>
      <c r="R61" s="151">
        <v>44136</v>
      </c>
      <c r="S61" s="154">
        <f t="shared" si="1"/>
        <v>265429.19380000001</v>
      </c>
      <c r="T61" s="106">
        <f t="shared" si="0"/>
        <v>265429.19380000001</v>
      </c>
      <c r="U61" s="152"/>
      <c r="V61" s="158"/>
      <c r="AG61" s="33">
        <v>44136</v>
      </c>
      <c r="AH61" s="2">
        <f>Decomposition!C69</f>
        <v>3897</v>
      </c>
      <c r="AZ61" s="141">
        <v>45292</v>
      </c>
      <c r="BA61">
        <v>327427</v>
      </c>
    </row>
    <row r="62" spans="1:53" x14ac:dyDescent="0.3">
      <c r="A62" s="33">
        <v>44166</v>
      </c>
      <c r="B62">
        <f>Data!C61</f>
        <v>7865</v>
      </c>
      <c r="Q62">
        <v>60</v>
      </c>
      <c r="R62" s="149">
        <v>44166</v>
      </c>
      <c r="S62" s="154">
        <f t="shared" si="1"/>
        <v>266680.04200000002</v>
      </c>
      <c r="T62" s="106">
        <f t="shared" si="0"/>
        <v>266680.04200000002</v>
      </c>
      <c r="U62" s="143"/>
      <c r="V62" s="157"/>
      <c r="AG62" s="33">
        <v>44166</v>
      </c>
      <c r="AH62" s="2">
        <f>Decomposition!C70</f>
        <v>7865</v>
      </c>
      <c r="AZ62" s="142">
        <v>45323</v>
      </c>
      <c r="BA62">
        <v>256687</v>
      </c>
    </row>
    <row r="63" spans="1:53" x14ac:dyDescent="0.3">
      <c r="A63" s="33">
        <v>44197</v>
      </c>
      <c r="B63">
        <f>Data!C62</f>
        <v>8229</v>
      </c>
      <c r="Q63">
        <v>61</v>
      </c>
      <c r="R63" s="151">
        <v>44197</v>
      </c>
      <c r="S63" s="154">
        <f t="shared" si="1"/>
        <v>267930.89020000002</v>
      </c>
      <c r="T63" s="106">
        <f t="shared" si="0"/>
        <v>267930.89020000002</v>
      </c>
      <c r="U63" s="152"/>
      <c r="V63" s="158"/>
      <c r="AG63" s="33">
        <v>44197</v>
      </c>
      <c r="AH63" s="2">
        <f>Decomposition!C71</f>
        <v>8229</v>
      </c>
      <c r="AZ63" s="141">
        <v>45352</v>
      </c>
      <c r="BA63">
        <v>278366</v>
      </c>
    </row>
    <row r="64" spans="1:53" x14ac:dyDescent="0.3">
      <c r="A64" s="33">
        <v>44228</v>
      </c>
      <c r="B64">
        <f>Data!C63</f>
        <v>3648</v>
      </c>
      <c r="Q64">
        <v>62</v>
      </c>
      <c r="R64" s="155">
        <v>44228</v>
      </c>
      <c r="S64" s="154">
        <f t="shared" si="1"/>
        <v>269181.73839999997</v>
      </c>
      <c r="T64" s="106">
        <f t="shared" si="0"/>
        <v>269181.73839999997</v>
      </c>
      <c r="U64" s="143"/>
      <c r="V64" s="157"/>
      <c r="AG64" s="33">
        <v>44228</v>
      </c>
      <c r="AH64" s="2">
        <f>Decomposition!C72</f>
        <v>3648</v>
      </c>
      <c r="AZ64" s="142">
        <v>45383</v>
      </c>
      <c r="BA64">
        <v>224410</v>
      </c>
    </row>
    <row r="65" spans="1:56" x14ac:dyDescent="0.3">
      <c r="A65" s="33">
        <v>44256</v>
      </c>
      <c r="B65">
        <f>Data!C64</f>
        <v>5784</v>
      </c>
      <c r="Q65">
        <v>63</v>
      </c>
      <c r="R65" s="142">
        <v>44256</v>
      </c>
      <c r="S65" s="106">
        <f>Q65*1250.8482 + 191629.15</f>
        <v>270432.58659999998</v>
      </c>
      <c r="T65" s="106">
        <f t="shared" si="0"/>
        <v>270432.58659999998</v>
      </c>
      <c r="V65" s="33"/>
      <c r="AG65" s="33">
        <v>44256</v>
      </c>
      <c r="AH65" s="2">
        <f>Decomposition!C73</f>
        <v>5784</v>
      </c>
      <c r="AZ65" s="141">
        <v>45413</v>
      </c>
      <c r="BA65">
        <v>182803</v>
      </c>
    </row>
    <row r="66" spans="1:56" x14ac:dyDescent="0.3">
      <c r="A66" s="33">
        <v>44287</v>
      </c>
      <c r="B66">
        <f>Data!C65</f>
        <v>4959</v>
      </c>
      <c r="Q66">
        <v>64</v>
      </c>
      <c r="R66" s="141">
        <v>44287</v>
      </c>
      <c r="S66" s="106">
        <f t="shared" ref="S66:S97" si="2">Q66*1250.8482 + 191629.15</f>
        <v>271683.43479999999</v>
      </c>
      <c r="T66" s="106">
        <f t="shared" si="0"/>
        <v>271683.43479999999</v>
      </c>
      <c r="V66" s="33"/>
      <c r="AG66" s="33">
        <v>44287</v>
      </c>
      <c r="AH66" s="2">
        <f>Decomposition!C74</f>
        <v>4959</v>
      </c>
      <c r="AZ66" s="142">
        <v>45444</v>
      </c>
      <c r="BA66">
        <v>169847</v>
      </c>
    </row>
    <row r="67" spans="1:56" x14ac:dyDescent="0.3">
      <c r="A67" s="33">
        <v>44317</v>
      </c>
      <c r="B67">
        <f>Data!C66</f>
        <v>3361</v>
      </c>
      <c r="Q67">
        <v>65</v>
      </c>
      <c r="R67" s="142">
        <v>44317</v>
      </c>
      <c r="S67" s="106">
        <f t="shared" si="2"/>
        <v>272934.283</v>
      </c>
      <c r="T67" s="106">
        <f t="shared" ref="T67:T105" si="3">Q67*1250.8482 + 191629.15</f>
        <v>272934.283</v>
      </c>
      <c r="V67" s="33"/>
      <c r="AG67" s="33">
        <v>44317</v>
      </c>
      <c r="AH67" s="2">
        <f>Decomposition!C75</f>
        <v>3361</v>
      </c>
      <c r="AZ67" s="141">
        <v>45474</v>
      </c>
      <c r="BA67">
        <v>233105</v>
      </c>
      <c r="BB67">
        <v>233104.99999999997</v>
      </c>
      <c r="BC67">
        <v>233105</v>
      </c>
      <c r="BD67">
        <v>233105</v>
      </c>
    </row>
    <row r="68" spans="1:56" x14ac:dyDescent="0.3">
      <c r="A68" s="33">
        <v>44348</v>
      </c>
      <c r="B68">
        <f>Data!C67</f>
        <v>2643</v>
      </c>
      <c r="Q68">
        <v>66</v>
      </c>
      <c r="R68" s="141">
        <v>44348</v>
      </c>
      <c r="S68" s="106">
        <f t="shared" si="2"/>
        <v>274185.1312</v>
      </c>
      <c r="T68" s="106">
        <f t="shared" si="3"/>
        <v>274185.1312</v>
      </c>
      <c r="V68" s="33"/>
      <c r="AG68" s="33">
        <v>44348</v>
      </c>
      <c r="AH68" s="2">
        <f>Decomposition!C76</f>
        <v>2643</v>
      </c>
      <c r="AZ68" s="142">
        <v>45505</v>
      </c>
      <c r="BB68">
        <v>21314</v>
      </c>
      <c r="BC68" s="33" t="e">
        <f>BB68-_xlfn.FORECAST.ETS.CONFINT(AZ68,$AZ$2:$AZ$67,$BA$2:$BA$67,0.95,1,1)</f>
        <v>#NUM!</v>
      </c>
      <c r="BD68">
        <v>193786.09870835033</v>
      </c>
    </row>
    <row r="69" spans="1:56" x14ac:dyDescent="0.3">
      <c r="A69" s="33">
        <v>44378</v>
      </c>
      <c r="B69">
        <f>Data!C68</f>
        <v>2004</v>
      </c>
      <c r="Q69">
        <v>67</v>
      </c>
      <c r="R69" s="142">
        <v>44378</v>
      </c>
      <c r="S69" s="106">
        <f t="shared" si="2"/>
        <v>275435.97939999995</v>
      </c>
      <c r="T69" s="106">
        <f t="shared" si="3"/>
        <v>275435.97939999995</v>
      </c>
      <c r="V69" s="33"/>
      <c r="AG69" s="33">
        <v>44378</v>
      </c>
      <c r="AH69" s="2">
        <f>Decomposition!C77</f>
        <v>2004</v>
      </c>
      <c r="AZ69" s="141">
        <v>45536</v>
      </c>
      <c r="BB69">
        <v>157373.68109237083</v>
      </c>
      <c r="BC69">
        <v>63356.980953375765</v>
      </c>
      <c r="BD69">
        <v>251390.3812313659</v>
      </c>
    </row>
    <row r="70" spans="1:56" x14ac:dyDescent="0.3">
      <c r="A70" s="33">
        <v>44409</v>
      </c>
      <c r="B70">
        <f>Data!C69</f>
        <v>1883</v>
      </c>
      <c r="Q70">
        <v>68</v>
      </c>
      <c r="R70" s="141">
        <v>44409</v>
      </c>
      <c r="S70" s="106">
        <f t="shared" si="2"/>
        <v>276686.82759999996</v>
      </c>
      <c r="T70" s="106">
        <f t="shared" si="3"/>
        <v>276686.82759999996</v>
      </c>
      <c r="V70" s="33"/>
      <c r="AG70" s="33">
        <v>44409</v>
      </c>
      <c r="AH70" s="2">
        <f>Decomposition!C78</f>
        <v>1883</v>
      </c>
      <c r="AZ70" s="142">
        <v>45566</v>
      </c>
      <c r="BB70">
        <v>171311.20924675299</v>
      </c>
      <c r="BC70">
        <v>56145.538852859318</v>
      </c>
      <c r="BD70">
        <v>286476.87964064663</v>
      </c>
    </row>
    <row r="71" spans="1:56" x14ac:dyDescent="0.3">
      <c r="A71" s="33">
        <v>44440</v>
      </c>
      <c r="B71">
        <f>Data!C70</f>
        <v>1959</v>
      </c>
      <c r="Q71">
        <v>69</v>
      </c>
      <c r="R71" s="142">
        <v>44440</v>
      </c>
      <c r="S71" s="106">
        <f t="shared" si="2"/>
        <v>277937.67579999997</v>
      </c>
      <c r="T71" s="106">
        <f t="shared" si="3"/>
        <v>277937.67579999997</v>
      </c>
      <c r="V71" s="33"/>
      <c r="AG71" s="33">
        <v>44440</v>
      </c>
      <c r="AH71" s="2">
        <f>Decomposition!C79</f>
        <v>1959</v>
      </c>
      <c r="AZ71" s="141">
        <v>45597</v>
      </c>
      <c r="BB71">
        <v>146363.33241386691</v>
      </c>
      <c r="BC71">
        <v>13337.110273341445</v>
      </c>
      <c r="BD71">
        <v>279389.55455439235</v>
      </c>
    </row>
    <row r="72" spans="1:56" x14ac:dyDescent="0.3">
      <c r="A72" s="33">
        <v>44470</v>
      </c>
      <c r="B72">
        <f>Data!C71</f>
        <v>9770</v>
      </c>
      <c r="Q72">
        <v>70</v>
      </c>
      <c r="R72" s="141">
        <v>44470</v>
      </c>
      <c r="S72" s="106">
        <f t="shared" si="2"/>
        <v>279188.52399999998</v>
      </c>
      <c r="T72" s="106">
        <f t="shared" si="3"/>
        <v>279188.52399999998</v>
      </c>
      <c r="V72" s="33"/>
      <c r="AG72" s="33">
        <v>44470</v>
      </c>
      <c r="AH72" s="2">
        <f>Decomposition!C80</f>
        <v>9770</v>
      </c>
      <c r="AZ72" s="142">
        <v>45627</v>
      </c>
      <c r="BB72">
        <v>170520.89242979808</v>
      </c>
      <c r="BC72">
        <v>21733.523435902636</v>
      </c>
      <c r="BD72">
        <v>319308.2614236935</v>
      </c>
    </row>
    <row r="73" spans="1:56" x14ac:dyDescent="0.3">
      <c r="A73" s="33">
        <v>44501</v>
      </c>
      <c r="B73">
        <f>Data!C72</f>
        <v>35285</v>
      </c>
      <c r="Q73">
        <v>71</v>
      </c>
      <c r="R73" s="142">
        <v>44501</v>
      </c>
      <c r="S73" s="106">
        <f t="shared" si="2"/>
        <v>280439.37219999998</v>
      </c>
      <c r="T73" s="106">
        <f t="shared" si="3"/>
        <v>280439.37219999998</v>
      </c>
      <c r="V73" s="33"/>
      <c r="AG73" s="33">
        <v>44501</v>
      </c>
      <c r="AH73" s="2">
        <f>Decomposition!C81</f>
        <v>35285</v>
      </c>
      <c r="AZ73" s="141">
        <v>45658</v>
      </c>
      <c r="BB73">
        <v>137182.58448285674</v>
      </c>
      <c r="BC73">
        <v>-25876.474359925516</v>
      </c>
      <c r="BD73">
        <v>300241.64332563896</v>
      </c>
    </row>
    <row r="74" spans="1:56" x14ac:dyDescent="0.3">
      <c r="A74" s="33">
        <v>44531</v>
      </c>
      <c r="B74">
        <f>Data!C73</f>
        <v>53384</v>
      </c>
      <c r="Q74">
        <v>72</v>
      </c>
      <c r="R74" s="141">
        <v>44531</v>
      </c>
      <c r="S74" s="106">
        <f t="shared" si="2"/>
        <v>281690.22039999999</v>
      </c>
      <c r="T74" s="106">
        <f t="shared" si="3"/>
        <v>281690.22039999999</v>
      </c>
      <c r="V74" s="33"/>
      <c r="AG74" s="33">
        <v>44531</v>
      </c>
      <c r="AH74" s="2">
        <f>Decomposition!C82</f>
        <v>53384</v>
      </c>
      <c r="AZ74" s="142">
        <v>45689</v>
      </c>
      <c r="BB74">
        <v>117509.1200896368</v>
      </c>
      <c r="BC74">
        <v>-58694.486912799097</v>
      </c>
      <c r="BD74">
        <v>293712.72709207272</v>
      </c>
    </row>
    <row r="75" spans="1:56" x14ac:dyDescent="0.3">
      <c r="A75" s="33">
        <v>44562</v>
      </c>
      <c r="B75">
        <f>Data!C74</f>
        <v>65077</v>
      </c>
      <c r="Q75">
        <v>73</v>
      </c>
      <c r="R75" s="142">
        <v>44562</v>
      </c>
      <c r="S75" s="106">
        <f t="shared" si="2"/>
        <v>282941.0686</v>
      </c>
      <c r="T75" s="106">
        <f t="shared" si="3"/>
        <v>282941.0686</v>
      </c>
      <c r="V75" s="33"/>
      <c r="AG75" s="33">
        <v>44562</v>
      </c>
      <c r="AH75" s="2">
        <f>Decomposition!C83</f>
        <v>65077</v>
      </c>
      <c r="AZ75" s="141">
        <v>45717</v>
      </c>
      <c r="BB75">
        <v>100764.33192118307</v>
      </c>
      <c r="BC75">
        <v>-87692.701298683591</v>
      </c>
      <c r="BD75">
        <v>289221.36514104973</v>
      </c>
    </row>
    <row r="76" spans="1:56" x14ac:dyDescent="0.3">
      <c r="A76" s="33">
        <v>44593</v>
      </c>
      <c r="B76">
        <f>Data!C75</f>
        <v>54803</v>
      </c>
      <c r="Q76">
        <v>74</v>
      </c>
      <c r="R76" s="141">
        <v>44593</v>
      </c>
      <c r="S76" s="106">
        <f t="shared" si="2"/>
        <v>284191.91680000001</v>
      </c>
      <c r="T76" s="106">
        <f t="shared" si="3"/>
        <v>284191.91680000001</v>
      </c>
      <c r="V76" s="33"/>
      <c r="AG76" s="33">
        <v>44593</v>
      </c>
      <c r="AH76" s="2">
        <f>Decomposition!C84</f>
        <v>54803</v>
      </c>
      <c r="AZ76" s="142">
        <v>45748</v>
      </c>
      <c r="BB76">
        <v>89001.629900717424</v>
      </c>
      <c r="BC76">
        <v>-110981.60006312856</v>
      </c>
      <c r="BD76">
        <v>288984.85986456339</v>
      </c>
    </row>
    <row r="77" spans="1:56" x14ac:dyDescent="0.3">
      <c r="A77" s="33">
        <v>44621</v>
      </c>
      <c r="B77">
        <f>Data!C76</f>
        <v>86454</v>
      </c>
      <c r="Q77">
        <v>75</v>
      </c>
      <c r="R77" s="142">
        <v>44621</v>
      </c>
      <c r="S77" s="106">
        <f t="shared" si="2"/>
        <v>285442.76500000001</v>
      </c>
      <c r="T77" s="106">
        <f t="shared" si="3"/>
        <v>285442.76500000001</v>
      </c>
      <c r="V77" s="33"/>
      <c r="AG77" s="33">
        <v>44621</v>
      </c>
      <c r="AH77" s="2">
        <f>Decomposition!C85</f>
        <v>86454</v>
      </c>
      <c r="AZ77" s="141">
        <v>45778</v>
      </c>
      <c r="BB77">
        <v>87263.781786629668</v>
      </c>
      <c r="BC77">
        <v>-123637.70388587128</v>
      </c>
      <c r="BD77">
        <v>298165.26745913061</v>
      </c>
    </row>
    <row r="78" spans="1:56" x14ac:dyDescent="0.3">
      <c r="A78" s="33">
        <v>44652</v>
      </c>
      <c r="B78">
        <f>Data!C77</f>
        <v>117027</v>
      </c>
      <c r="Q78">
        <v>76</v>
      </c>
      <c r="R78" s="141">
        <v>44652</v>
      </c>
      <c r="S78" s="106">
        <f t="shared" si="2"/>
        <v>286693.61320000002</v>
      </c>
      <c r="T78" s="106">
        <f t="shared" si="3"/>
        <v>286693.61320000002</v>
      </c>
      <c r="V78" s="33"/>
      <c r="AG78" s="33">
        <v>44652</v>
      </c>
      <c r="AH78" s="2">
        <f>Decomposition!C86</f>
        <v>117027</v>
      </c>
      <c r="AZ78" s="142">
        <v>45809</v>
      </c>
      <c r="BB78">
        <v>107419.62520292136</v>
      </c>
      <c r="BC78">
        <v>-113882.19447849071</v>
      </c>
      <c r="BD78">
        <v>328721.44488433341</v>
      </c>
    </row>
    <row r="79" spans="1:56" x14ac:dyDescent="0.3">
      <c r="A79" s="33">
        <v>44682</v>
      </c>
      <c r="B79">
        <f>Data!C78</f>
        <v>112595</v>
      </c>
      <c r="Q79">
        <v>77</v>
      </c>
      <c r="R79" s="142">
        <v>44682</v>
      </c>
      <c r="S79" s="106">
        <f t="shared" si="2"/>
        <v>287944.46139999997</v>
      </c>
      <c r="T79" s="106">
        <f t="shared" si="3"/>
        <v>287944.46139999997</v>
      </c>
      <c r="V79" s="33"/>
      <c r="AG79" s="33">
        <v>44682</v>
      </c>
      <c r="AH79" s="2">
        <f>Decomposition!C87</f>
        <v>112595</v>
      </c>
      <c r="AZ79" s="141">
        <v>45839</v>
      </c>
      <c r="BB79">
        <v>121757.86300328879</v>
      </c>
      <c r="BC79">
        <v>-109496.27711330297</v>
      </c>
      <c r="BD79">
        <v>353012.00311988057</v>
      </c>
    </row>
    <row r="80" spans="1:56" x14ac:dyDescent="0.3">
      <c r="A80" s="33">
        <v>44713</v>
      </c>
      <c r="B80">
        <f>Data!C79</f>
        <v>104309</v>
      </c>
      <c r="Q80">
        <v>78</v>
      </c>
      <c r="R80" s="141">
        <v>44713</v>
      </c>
      <c r="S80" s="106">
        <f t="shared" si="2"/>
        <v>289195.30959999998</v>
      </c>
      <c r="T80" s="106">
        <f t="shared" si="3"/>
        <v>289195.30959999998</v>
      </c>
      <c r="V80" s="33"/>
      <c r="AG80" s="33">
        <v>44713</v>
      </c>
      <c r="AH80" s="2">
        <f>Decomposition!C88</f>
        <v>104309</v>
      </c>
      <c r="AZ80" s="142">
        <v>45870</v>
      </c>
      <c r="BB80">
        <v>150527.21159869235</v>
      </c>
      <c r="BC80">
        <v>-90286.806446627656</v>
      </c>
      <c r="BD80">
        <v>391341.22964401235</v>
      </c>
    </row>
    <row r="81" spans="1:56" x14ac:dyDescent="0.3">
      <c r="A81" s="33">
        <v>44743</v>
      </c>
      <c r="B81">
        <f>Data!C80</f>
        <v>147686</v>
      </c>
      <c r="Q81">
        <v>79</v>
      </c>
      <c r="R81" s="142">
        <v>44743</v>
      </c>
      <c r="S81" s="106">
        <f t="shared" si="2"/>
        <v>290446.15779999999</v>
      </c>
      <c r="T81" s="106">
        <f t="shared" si="3"/>
        <v>290446.15779999999</v>
      </c>
      <c r="V81" s="33"/>
      <c r="AG81" s="33">
        <v>44743</v>
      </c>
      <c r="AH81" s="2">
        <f>Decomposition!C89</f>
        <v>147686</v>
      </c>
      <c r="AZ81" s="141">
        <v>45901</v>
      </c>
      <c r="BB81">
        <v>163828.8014021063</v>
      </c>
      <c r="BC81">
        <v>-86197.689475340594</v>
      </c>
      <c r="BD81">
        <v>413855.29227955319</v>
      </c>
    </row>
    <row r="82" spans="1:56" x14ac:dyDescent="0.3">
      <c r="A82" s="33">
        <v>44774</v>
      </c>
      <c r="B82">
        <f>Data!C81</f>
        <v>143140</v>
      </c>
      <c r="Q82">
        <v>80</v>
      </c>
      <c r="R82" s="141">
        <v>44774</v>
      </c>
      <c r="S82" s="106">
        <f t="shared" si="2"/>
        <v>291697.00599999999</v>
      </c>
      <c r="T82" s="106">
        <f t="shared" si="3"/>
        <v>291697.00599999999</v>
      </c>
      <c r="V82" s="33"/>
      <c r="AG82" s="33">
        <v>44774</v>
      </c>
      <c r="AH82" s="2">
        <f>Decomposition!C90</f>
        <v>143140</v>
      </c>
      <c r="AZ82" s="142">
        <v>45931</v>
      </c>
      <c r="BB82">
        <v>139945.09534940214</v>
      </c>
      <c r="BC82">
        <v>-118983.56418662277</v>
      </c>
      <c r="BD82">
        <v>398873.75488542707</v>
      </c>
    </row>
    <row r="83" spans="1:56" x14ac:dyDescent="0.3">
      <c r="A83" s="33">
        <v>44805</v>
      </c>
      <c r="B83">
        <f>Data!C82</f>
        <v>147480</v>
      </c>
      <c r="Q83">
        <v>81</v>
      </c>
      <c r="R83" s="142">
        <v>44805</v>
      </c>
      <c r="S83" s="106">
        <f t="shared" si="2"/>
        <v>292947.8542</v>
      </c>
      <c r="T83" s="106">
        <f t="shared" si="3"/>
        <v>292947.8542</v>
      </c>
      <c r="V83" s="33"/>
      <c r="AG83" s="33">
        <v>44805</v>
      </c>
      <c r="AH83" s="2">
        <f>Decomposition!C91</f>
        <v>147480</v>
      </c>
      <c r="AZ83" s="141">
        <v>45962</v>
      </c>
      <c r="BB83">
        <v>163013.38391862271</v>
      </c>
      <c r="BC83">
        <v>-104538.13243105749</v>
      </c>
      <c r="BD83">
        <v>430564.90026830288</v>
      </c>
    </row>
    <row r="84" spans="1:56" x14ac:dyDescent="0.3">
      <c r="A84" s="33">
        <v>44835</v>
      </c>
      <c r="B84">
        <f>Data!C83</f>
        <v>165092</v>
      </c>
      <c r="Q84">
        <v>82</v>
      </c>
      <c r="R84" s="141">
        <v>44835</v>
      </c>
      <c r="S84" s="106">
        <f t="shared" si="2"/>
        <v>294198.70239999995</v>
      </c>
      <c r="T84" s="106">
        <f t="shared" si="3"/>
        <v>294198.70239999995</v>
      </c>
      <c r="V84" s="33"/>
      <c r="AG84" s="33">
        <v>44835</v>
      </c>
      <c r="AH84" s="2">
        <f>Decomposition!C92</f>
        <v>165092</v>
      </c>
      <c r="AZ84" s="161">
        <v>45992</v>
      </c>
      <c r="BB84">
        <v>131118.58793562278</v>
      </c>
      <c r="BC84">
        <v>-144802.67710957979</v>
      </c>
      <c r="BD84">
        <v>407039.85298082535</v>
      </c>
    </row>
    <row r="85" spans="1:56" x14ac:dyDescent="0.3">
      <c r="A85" s="33">
        <v>44866</v>
      </c>
      <c r="B85">
        <f>Data!C84</f>
        <v>196077</v>
      </c>
      <c r="Q85">
        <v>83</v>
      </c>
      <c r="R85" s="142">
        <v>44866</v>
      </c>
      <c r="S85" s="106">
        <f t="shared" si="2"/>
        <v>295449.55059999996</v>
      </c>
      <c r="T85" s="106">
        <f t="shared" si="3"/>
        <v>295449.55059999996</v>
      </c>
      <c r="V85" s="33"/>
      <c r="AG85" s="33">
        <v>44866</v>
      </c>
      <c r="AH85" s="2">
        <f>Decomposition!C93</f>
        <v>196077</v>
      </c>
    </row>
    <row r="86" spans="1:56" x14ac:dyDescent="0.3">
      <c r="A86" s="33">
        <v>44896</v>
      </c>
      <c r="B86">
        <f>Data!C85</f>
        <v>183609</v>
      </c>
      <c r="Q86">
        <v>84</v>
      </c>
      <c r="R86" s="141">
        <v>44896</v>
      </c>
      <c r="S86" s="106">
        <f t="shared" si="2"/>
        <v>296700.39879999997</v>
      </c>
      <c r="T86" s="106">
        <f t="shared" si="3"/>
        <v>296700.39879999997</v>
      </c>
      <c r="V86" s="33"/>
      <c r="AG86" s="33">
        <v>44896</v>
      </c>
      <c r="AH86" s="2">
        <f>Decomposition!C94</f>
        <v>183609</v>
      </c>
    </row>
    <row r="87" spans="1:56" x14ac:dyDescent="0.3">
      <c r="A87" s="33">
        <v>44927</v>
      </c>
      <c r="B87">
        <f>Data!C86</f>
        <v>239235</v>
      </c>
      <c r="Q87">
        <v>85</v>
      </c>
      <c r="R87" s="142">
        <v>44927</v>
      </c>
      <c r="S87" s="106">
        <f t="shared" si="2"/>
        <v>297951.24699999997</v>
      </c>
      <c r="T87" s="106">
        <f t="shared" si="3"/>
        <v>297951.24699999997</v>
      </c>
      <c r="V87" s="33"/>
      <c r="AG87" s="33">
        <v>44927</v>
      </c>
      <c r="AH87" s="2">
        <f>Decomposition!C95</f>
        <v>239235</v>
      </c>
    </row>
    <row r="88" spans="1:56" x14ac:dyDescent="0.3">
      <c r="A88" s="33">
        <v>44958</v>
      </c>
      <c r="B88">
        <f>Data!C87</f>
        <v>205935</v>
      </c>
      <c r="Q88">
        <v>86</v>
      </c>
      <c r="R88" s="141">
        <v>44958</v>
      </c>
      <c r="S88" s="106">
        <f t="shared" si="2"/>
        <v>299202.09519999998</v>
      </c>
      <c r="T88" s="106">
        <f t="shared" si="3"/>
        <v>299202.09519999998</v>
      </c>
      <c r="V88" s="33"/>
      <c r="AG88" s="33">
        <v>44958</v>
      </c>
      <c r="AH88" s="2">
        <f>Decomposition!C96</f>
        <v>205935</v>
      </c>
    </row>
    <row r="89" spans="1:56" x14ac:dyDescent="0.3">
      <c r="A89" s="33">
        <v>44986</v>
      </c>
      <c r="B89">
        <f>Data!C88</f>
        <v>221206</v>
      </c>
      <c r="Q89">
        <v>87</v>
      </c>
      <c r="R89" s="142">
        <v>44986</v>
      </c>
      <c r="S89" s="106">
        <f t="shared" si="2"/>
        <v>300452.94339999999</v>
      </c>
      <c r="T89" s="106">
        <f t="shared" si="3"/>
        <v>300452.94339999999</v>
      </c>
      <c r="V89" s="33"/>
      <c r="AG89" s="33">
        <v>44986</v>
      </c>
      <c r="AH89" s="2">
        <f>Decomposition!C97</f>
        <v>221206</v>
      </c>
    </row>
    <row r="90" spans="1:56" x14ac:dyDescent="0.3">
      <c r="A90" s="33">
        <v>45017</v>
      </c>
      <c r="B90">
        <f>Data!C89</f>
        <v>222626</v>
      </c>
      <c r="Q90">
        <v>88</v>
      </c>
      <c r="R90" s="141">
        <v>45017</v>
      </c>
      <c r="S90" s="106">
        <f t="shared" si="2"/>
        <v>301703.7916</v>
      </c>
      <c r="T90" s="106">
        <f t="shared" si="3"/>
        <v>301703.7916</v>
      </c>
      <c r="V90" s="33"/>
      <c r="AG90" s="33">
        <v>45017</v>
      </c>
      <c r="AH90" s="2">
        <f>Decomposition!C98</f>
        <v>222626</v>
      </c>
    </row>
    <row r="91" spans="1:56" x14ac:dyDescent="0.3">
      <c r="A91" s="33">
        <v>45047</v>
      </c>
      <c r="B91">
        <f>Data!C90</f>
        <v>196288</v>
      </c>
      <c r="Q91">
        <v>89</v>
      </c>
      <c r="R91" s="142">
        <v>45047</v>
      </c>
      <c r="S91" s="106">
        <f t="shared" si="2"/>
        <v>302954.6398</v>
      </c>
      <c r="T91" s="106">
        <f t="shared" si="3"/>
        <v>302954.6398</v>
      </c>
      <c r="V91" s="33"/>
      <c r="AG91" s="33">
        <v>45047</v>
      </c>
      <c r="AH91" s="2">
        <f>Decomposition!C99</f>
        <v>196288</v>
      </c>
    </row>
    <row r="92" spans="1:56" x14ac:dyDescent="0.3">
      <c r="A92" s="33">
        <v>45078</v>
      </c>
      <c r="B92">
        <f>Data!C91</f>
        <v>199427</v>
      </c>
      <c r="Q92">
        <v>90</v>
      </c>
      <c r="R92" s="141">
        <v>45078</v>
      </c>
      <c r="S92" s="106">
        <f t="shared" si="2"/>
        <v>304205.48800000001</v>
      </c>
      <c r="T92" s="106">
        <f t="shared" si="3"/>
        <v>304205.48800000001</v>
      </c>
      <c r="V92" s="33"/>
      <c r="AG92" s="33">
        <v>45078</v>
      </c>
      <c r="AH92" s="2">
        <f>Decomposition!C100</f>
        <v>199427</v>
      </c>
    </row>
    <row r="93" spans="1:56" x14ac:dyDescent="0.3">
      <c r="A93" s="33">
        <v>45108</v>
      </c>
      <c r="B93">
        <f>Data!C92</f>
        <v>263563</v>
      </c>
      <c r="Q93">
        <v>91</v>
      </c>
      <c r="R93" s="142">
        <v>45108</v>
      </c>
      <c r="S93" s="106">
        <f t="shared" si="2"/>
        <v>305456.33620000002</v>
      </c>
      <c r="T93" s="106">
        <f t="shared" si="3"/>
        <v>305456.33620000002</v>
      </c>
      <c r="V93" s="33"/>
      <c r="AG93" s="33">
        <v>45108</v>
      </c>
      <c r="AH93" s="2">
        <f>Decomposition!C101</f>
        <v>263563</v>
      </c>
    </row>
    <row r="94" spans="1:56" x14ac:dyDescent="0.3">
      <c r="A94" s="33">
        <v>45139</v>
      </c>
      <c r="B94">
        <f>Data!C93</f>
        <v>236928</v>
      </c>
      <c r="Q94">
        <v>92</v>
      </c>
      <c r="R94" s="141">
        <v>45139</v>
      </c>
      <c r="S94" s="106">
        <f t="shared" si="2"/>
        <v>306707.18439999997</v>
      </c>
      <c r="T94" s="106">
        <f t="shared" si="3"/>
        <v>306707.18439999997</v>
      </c>
      <c r="V94" s="33"/>
      <c r="AG94" s="33">
        <v>45139</v>
      </c>
      <c r="AH94" s="2">
        <f>Decomposition!C102</f>
        <v>236928</v>
      </c>
    </row>
    <row r="95" spans="1:56" x14ac:dyDescent="0.3">
      <c r="A95" s="33">
        <v>45170</v>
      </c>
      <c r="B95">
        <f>Data!C94</f>
        <v>239336</v>
      </c>
      <c r="Q95">
        <v>93</v>
      </c>
      <c r="R95" s="142">
        <v>45170</v>
      </c>
      <c r="S95" s="106">
        <f t="shared" si="2"/>
        <v>307958.03259999998</v>
      </c>
      <c r="T95" s="106">
        <f t="shared" si="3"/>
        <v>307958.03259999998</v>
      </c>
      <c r="V95" s="33"/>
      <c r="AG95" s="33">
        <v>45170</v>
      </c>
      <c r="AH95" s="2">
        <f>Decomposition!C103</f>
        <v>239336</v>
      </c>
    </row>
    <row r="96" spans="1:56" x14ac:dyDescent="0.3">
      <c r="A96" s="33">
        <v>45200</v>
      </c>
      <c r="B96">
        <f>Data!C95</f>
        <v>262043</v>
      </c>
      <c r="Q96">
        <v>94</v>
      </c>
      <c r="R96" s="141">
        <v>45200</v>
      </c>
      <c r="S96" s="106">
        <f t="shared" si="2"/>
        <v>309208.88079999998</v>
      </c>
      <c r="T96" s="106">
        <f t="shared" si="3"/>
        <v>309208.88079999998</v>
      </c>
      <c r="V96" s="33"/>
      <c r="AG96" s="33">
        <v>45200</v>
      </c>
      <c r="AH96" s="2">
        <f>Decomposition!C104</f>
        <v>262043</v>
      </c>
    </row>
    <row r="97" spans="1:37" x14ac:dyDescent="0.3">
      <c r="A97" s="33">
        <v>45231</v>
      </c>
      <c r="B97">
        <f>Data!C96</f>
        <v>311342</v>
      </c>
      <c r="Q97">
        <v>95</v>
      </c>
      <c r="R97" s="142">
        <v>45231</v>
      </c>
      <c r="S97" s="106">
        <f t="shared" si="2"/>
        <v>310459.72899999999</v>
      </c>
      <c r="T97" s="106">
        <f t="shared" si="3"/>
        <v>310459.72899999999</v>
      </c>
      <c r="V97" s="33"/>
      <c r="AG97" s="33">
        <v>45231</v>
      </c>
      <c r="AH97" s="2">
        <f>Decomposition!C105</f>
        <v>311342</v>
      </c>
    </row>
    <row r="98" spans="1:37" x14ac:dyDescent="0.3">
      <c r="A98" s="33">
        <v>45261</v>
      </c>
      <c r="B98">
        <f>Data!C97</f>
        <v>274711</v>
      </c>
      <c r="Q98">
        <v>96</v>
      </c>
      <c r="R98" s="142">
        <v>45261</v>
      </c>
      <c r="S98" s="106">
        <f>Q98*1250.8482 + 191629.15</f>
        <v>311710.5772</v>
      </c>
      <c r="T98" s="106">
        <f t="shared" si="3"/>
        <v>311710.5772</v>
      </c>
      <c r="V98" s="33"/>
      <c r="AG98" s="33">
        <v>45261</v>
      </c>
      <c r="AH98" s="2">
        <f>Decomposition!C106</f>
        <v>274711</v>
      </c>
    </row>
    <row r="99" spans="1:37" x14ac:dyDescent="0.3">
      <c r="A99" s="33">
        <v>45292</v>
      </c>
      <c r="B99">
        <f>Data!C98</f>
        <v>327427</v>
      </c>
      <c r="Q99">
        <v>97</v>
      </c>
      <c r="R99" s="141">
        <v>45292</v>
      </c>
      <c r="S99" s="106">
        <f t="shared" ref="S99:S123" si="4">Q99*1250.8482 + 191629.15</f>
        <v>312961.42539999995</v>
      </c>
      <c r="T99" s="106">
        <f t="shared" si="3"/>
        <v>312961.42539999995</v>
      </c>
      <c r="V99" s="33"/>
      <c r="AG99" s="33">
        <v>45292</v>
      </c>
      <c r="AH99" s="2">
        <f>Decomposition!C107</f>
        <v>327427</v>
      </c>
    </row>
    <row r="100" spans="1:37" x14ac:dyDescent="0.3">
      <c r="A100" s="33">
        <v>45323</v>
      </c>
      <c r="B100">
        <f>Data!C99</f>
        <v>256687</v>
      </c>
      <c r="Q100">
        <v>98</v>
      </c>
      <c r="R100" s="142">
        <v>45323</v>
      </c>
      <c r="S100" s="106">
        <f t="shared" si="4"/>
        <v>314212.27359999996</v>
      </c>
      <c r="T100" s="106">
        <f t="shared" si="3"/>
        <v>314212.27359999996</v>
      </c>
      <c r="V100" s="33"/>
      <c r="AG100" s="33">
        <v>45323</v>
      </c>
      <c r="AH100" s="2">
        <f>Decomposition!C108</f>
        <v>256687</v>
      </c>
    </row>
    <row r="101" spans="1:37" x14ac:dyDescent="0.3">
      <c r="A101" s="33">
        <v>45352</v>
      </c>
      <c r="B101">
        <f>Data!C100</f>
        <v>278366</v>
      </c>
      <c r="D101" s="34"/>
      <c r="E101" s="34"/>
      <c r="Q101">
        <v>99</v>
      </c>
      <c r="R101" s="141">
        <v>45352</v>
      </c>
      <c r="S101" s="106">
        <f t="shared" si="4"/>
        <v>315463.12179999996</v>
      </c>
      <c r="T101" s="106">
        <f t="shared" si="3"/>
        <v>315463.12179999996</v>
      </c>
      <c r="V101" s="33"/>
      <c r="AG101" s="33">
        <v>45352</v>
      </c>
      <c r="AH101" s="2">
        <f>Decomposition!C109</f>
        <v>278366</v>
      </c>
      <c r="AJ101" s="34"/>
      <c r="AK101" s="34"/>
    </row>
    <row r="102" spans="1:37" x14ac:dyDescent="0.3">
      <c r="A102" s="33">
        <v>45383</v>
      </c>
      <c r="B102">
        <f>Data!C101</f>
        <v>224410</v>
      </c>
      <c r="C102" s="9"/>
      <c r="D102" s="34"/>
      <c r="E102" s="34"/>
      <c r="Q102">
        <v>100</v>
      </c>
      <c r="R102" s="142">
        <v>45383</v>
      </c>
      <c r="S102" s="106">
        <f t="shared" si="4"/>
        <v>316713.96999999997</v>
      </c>
      <c r="T102" s="106">
        <f t="shared" si="3"/>
        <v>316713.96999999997</v>
      </c>
      <c r="V102" s="33"/>
      <c r="AG102" s="33">
        <v>45383</v>
      </c>
      <c r="AH102" s="2">
        <f>Decomposition!C110</f>
        <v>224410</v>
      </c>
      <c r="AI102" s="9"/>
      <c r="AJ102" s="34"/>
      <c r="AK102" s="34"/>
    </row>
    <row r="103" spans="1:37" x14ac:dyDescent="0.3">
      <c r="A103" s="33">
        <v>45413</v>
      </c>
      <c r="B103">
        <f>Data!C102</f>
        <v>182803</v>
      </c>
      <c r="C103" s="9"/>
      <c r="D103" s="34"/>
      <c r="E103" s="34"/>
      <c r="Q103">
        <v>101</v>
      </c>
      <c r="R103" s="141">
        <v>45413</v>
      </c>
      <c r="S103" s="106">
        <f t="shared" si="4"/>
        <v>317964.81819999998</v>
      </c>
      <c r="T103" s="106">
        <f t="shared" si="3"/>
        <v>317964.81819999998</v>
      </c>
      <c r="V103" s="33"/>
      <c r="AG103" s="33">
        <v>45413</v>
      </c>
      <c r="AH103" s="2">
        <f>Decomposition!C111</f>
        <v>182803</v>
      </c>
      <c r="AI103" s="9"/>
      <c r="AJ103" s="34"/>
      <c r="AK103" s="34"/>
    </row>
    <row r="104" spans="1:37" x14ac:dyDescent="0.3">
      <c r="A104" s="33">
        <v>45444</v>
      </c>
      <c r="B104">
        <f>Data!C103</f>
        <v>169847</v>
      </c>
      <c r="C104" s="9"/>
      <c r="D104" s="34"/>
      <c r="E104" s="34"/>
      <c r="Q104">
        <v>102</v>
      </c>
      <c r="R104" s="142">
        <v>45444</v>
      </c>
      <c r="S104" s="106">
        <f t="shared" si="4"/>
        <v>319215.66639999999</v>
      </c>
      <c r="T104" s="106">
        <f t="shared" si="3"/>
        <v>319215.66639999999</v>
      </c>
      <c r="V104" s="33"/>
      <c r="AG104" s="33">
        <v>45444</v>
      </c>
      <c r="AH104" s="2">
        <f>Decomposition!C112</f>
        <v>169847</v>
      </c>
      <c r="AI104" s="9"/>
      <c r="AJ104" s="34"/>
      <c r="AK104" s="34"/>
    </row>
    <row r="105" spans="1:37" x14ac:dyDescent="0.3">
      <c r="A105" s="33">
        <v>45474</v>
      </c>
      <c r="B105">
        <f>Data!C104</f>
        <v>233105</v>
      </c>
      <c r="C105" s="1">
        <f>'Simple Linear Regression'!G124</f>
        <v>233104.99999999997</v>
      </c>
      <c r="D105">
        <v>233105</v>
      </c>
      <c r="E105">
        <v>233105</v>
      </c>
      <c r="F105">
        <f>AVERAGE(B94:B105)</f>
        <v>249750.41666666666</v>
      </c>
      <c r="G105" s="39">
        <f>(C105-B93)/B93</f>
        <v>-0.11556250308275452</v>
      </c>
      <c r="Q105">
        <v>103</v>
      </c>
      <c r="R105" s="141">
        <v>45474</v>
      </c>
      <c r="S105" s="106">
        <f t="shared" si="4"/>
        <v>320466.51459999999</v>
      </c>
      <c r="T105" s="106">
        <f t="shared" si="3"/>
        <v>320466.51459999999</v>
      </c>
      <c r="U105" s="145"/>
      <c r="V105" s="33"/>
      <c r="AG105" s="33">
        <v>45474</v>
      </c>
      <c r="AH105" s="2">
        <f>Decomposition!C113</f>
        <v>233105</v>
      </c>
      <c r="AI105" s="2">
        <f>Tabla131968[[#This Row],[SUM de Turistas CABA]]</f>
        <v>233105</v>
      </c>
      <c r="AJ105" s="2">
        <f>Tabla131968[[#This Row],[SUM de Turistas CABA]]</f>
        <v>233105</v>
      </c>
      <c r="AK105" s="2">
        <f>Tabla131968[[#This Row],[SUM de Turistas CABA]]</f>
        <v>233105</v>
      </c>
    </row>
    <row r="106" spans="1:37" x14ac:dyDescent="0.3">
      <c r="A106" s="33">
        <v>45505</v>
      </c>
      <c r="C106" s="1">
        <f>'Simple Linear Regression'!G125</f>
        <v>127273.00426635912</v>
      </c>
      <c r="D106" s="34">
        <f>'Simple Linear Regression'!H125</f>
        <v>60759.909824367918</v>
      </c>
      <c r="E106" s="34">
        <f>'Simple Linear Regression'!I125</f>
        <v>193786.09870835033</v>
      </c>
      <c r="G106" s="39">
        <f>(C106-B94)/B94</f>
        <v>-0.46281991041008613</v>
      </c>
      <c r="Q106">
        <v>104</v>
      </c>
      <c r="R106" s="142">
        <v>45505</v>
      </c>
      <c r="T106" s="106">
        <f>Q106*1250.8482 + 191629.15</f>
        <v>321717.3628</v>
      </c>
      <c r="U106" s="145">
        <f>T106-_xlfn.FORECAST.ETS.CONFINT(R106,$S$3:$S$105,$R$3:$R$105,0.95,1,1)</f>
        <v>293654.22878038022</v>
      </c>
      <c r="V106" s="146">
        <f t="shared" ref="V106:V123" si="5">T106+_xlfn.FORECAST.ETS.CONFINT(R106,$S$3:$S$105,$R$3:$R$105,0.95,1,1)</f>
        <v>349780.49681961979</v>
      </c>
      <c r="AG106" s="33">
        <v>45505</v>
      </c>
      <c r="AI106" s="9">
        <f>'Simple Linear Regression'!F125</f>
        <v>142913.28</v>
      </c>
      <c r="AJ106" s="34">
        <f>AI106-_xlfn.FORECAST.ETS.CONFINT(AG106,$AH$3:$AH$105,$AG$3:$AG$105,0.95,1,1)</f>
        <v>76400.185558008801</v>
      </c>
      <c r="AK106" s="34">
        <f>AI106+_xlfn.FORECAST.ETS.CONFINT(AG106,$AH$3:$AH$105,$AG$3:$AG$105,0.95,1,1)</f>
        <v>209426.37444199121</v>
      </c>
    </row>
    <row r="107" spans="1:37" x14ac:dyDescent="0.3">
      <c r="A107" s="33">
        <v>45536</v>
      </c>
      <c r="C107" s="1">
        <f>'Simple Linear Regression'!G126</f>
        <v>157373.68109237083</v>
      </c>
      <c r="D107" s="34">
        <f>'Simple Linear Regression'!H126</f>
        <v>63356.980953375765</v>
      </c>
      <c r="E107" s="34">
        <f>'Simple Linear Regression'!I126</f>
        <v>251390.3812313659</v>
      </c>
      <c r="G107" s="39">
        <f t="shared" ref="G107:G116" si="6">(C107-B95)/B95</f>
        <v>-0.34245712683269203</v>
      </c>
      <c r="Q107">
        <v>105</v>
      </c>
      <c r="R107" s="141">
        <v>45536</v>
      </c>
      <c r="T107" s="106">
        <f>Q107*1250.8482 + 191629.15</f>
        <v>322968.21100000001</v>
      </c>
      <c r="U107" s="145">
        <f t="shared" ref="U107:U123" si="7">T107-_xlfn.FORECAST.ETS.CONFINT(R107,$S$3:$S$105,$R$3:$R$105,0.95,1,1)</f>
        <v>294904.95069656125</v>
      </c>
      <c r="V107" s="146">
        <f t="shared" si="5"/>
        <v>351031.47130343877</v>
      </c>
      <c r="AG107" s="33">
        <v>45536</v>
      </c>
      <c r="AI107" s="9">
        <f>'Simple Linear Regression'!F126</f>
        <v>142391.85</v>
      </c>
      <c r="AJ107" s="34">
        <f t="shared" ref="AJ107:AJ122" si="8">AI107-_xlfn.FORECAST.ETS.CONFINT(AG107,$AH$3:$AH$105,$AG$3:$AG$105,0.95,1,1)</f>
        <v>48375.149861004946</v>
      </c>
      <c r="AK107" s="34">
        <f t="shared" ref="AK107:AK122" si="9">AI107+_xlfn.FORECAST.ETS.CONFINT(AG107,$AH$3:$AH$105,$AG$3:$AG$105,0.95,1,1)</f>
        <v>236408.55013899505</v>
      </c>
    </row>
    <row r="108" spans="1:37" x14ac:dyDescent="0.3">
      <c r="A108" s="33">
        <v>45566</v>
      </c>
      <c r="C108" s="1">
        <f>'Simple Linear Regression'!G127</f>
        <v>171311.20924675299</v>
      </c>
      <c r="D108" s="34">
        <f>'Simple Linear Regression'!H127</f>
        <v>56145.538852859318</v>
      </c>
      <c r="E108" s="34">
        <f>'Simple Linear Regression'!I127</f>
        <v>286476.87964064663</v>
      </c>
      <c r="G108" s="39">
        <f t="shared" si="6"/>
        <v>-0.34624771794418097</v>
      </c>
      <c r="Q108">
        <v>106</v>
      </c>
      <c r="R108" s="142">
        <v>45566</v>
      </c>
      <c r="T108" s="106">
        <f>Q108*1250.8482 + 191629.15</f>
        <v>324219.05920000002</v>
      </c>
      <c r="U108" s="145">
        <f t="shared" si="7"/>
        <v>296155.57439339737</v>
      </c>
      <c r="V108" s="146">
        <f t="shared" si="5"/>
        <v>352282.54400660266</v>
      </c>
      <c r="AG108" s="33">
        <v>45566</v>
      </c>
      <c r="AI108" s="9">
        <f>'Simple Linear Regression'!F127</f>
        <v>141870.42000000001</v>
      </c>
      <c r="AJ108" s="34">
        <f t="shared" si="8"/>
        <v>26704.749606106343</v>
      </c>
      <c r="AK108" s="34">
        <f t="shared" si="9"/>
        <v>257036.09039389368</v>
      </c>
    </row>
    <row r="109" spans="1:37" x14ac:dyDescent="0.3">
      <c r="A109" s="33">
        <v>45597</v>
      </c>
      <c r="C109" s="1">
        <f>'Simple Linear Regression'!G128</f>
        <v>146363.33241386691</v>
      </c>
      <c r="D109" s="34">
        <f>'Simple Linear Regression'!H128</f>
        <v>13337.110273341445</v>
      </c>
      <c r="E109" s="34">
        <f>'Simple Linear Regression'!I128</f>
        <v>279389.55455439235</v>
      </c>
      <c r="G109" s="39">
        <f t="shared" si="6"/>
        <v>-0.52989531635992926</v>
      </c>
      <c r="Q109">
        <v>107</v>
      </c>
      <c r="R109" s="141">
        <v>45597</v>
      </c>
      <c r="T109" s="106">
        <f>Q109*1250.8482 + 191629.15</f>
        <v>325469.90740000003</v>
      </c>
      <c r="U109" s="145">
        <f t="shared" si="7"/>
        <v>297406.07181079924</v>
      </c>
      <c r="V109" s="146">
        <f t="shared" si="5"/>
        <v>353533.74298920081</v>
      </c>
      <c r="AG109" s="33">
        <v>45597</v>
      </c>
      <c r="AI109" s="9">
        <f>'Simple Linear Regression'!F128</f>
        <v>141348.99</v>
      </c>
      <c r="AJ109" s="34">
        <f t="shared" si="8"/>
        <v>8322.767859474523</v>
      </c>
      <c r="AK109" s="34">
        <f t="shared" si="9"/>
        <v>274375.21214052546</v>
      </c>
    </row>
    <row r="110" spans="1:37" x14ac:dyDescent="0.3">
      <c r="A110" s="33">
        <v>45627</v>
      </c>
      <c r="C110" s="1">
        <f>'Simple Linear Regression'!G129</f>
        <v>170520.89242979808</v>
      </c>
      <c r="D110" s="34">
        <f>'Simple Linear Regression'!H129</f>
        <v>21733.523435902636</v>
      </c>
      <c r="E110" s="34">
        <f>'Simple Linear Regression'!I129</f>
        <v>319308.2614236935</v>
      </c>
      <c r="G110" s="39">
        <f t="shared" si="6"/>
        <v>-0.3792716985129897</v>
      </c>
      <c r="Q110">
        <v>108</v>
      </c>
      <c r="R110" s="142">
        <v>45627</v>
      </c>
      <c r="T110" s="106">
        <f>Q110*1250.8482 + 191629.15</f>
        <v>326720.75559999997</v>
      </c>
      <c r="U110" s="145">
        <f t="shared" si="7"/>
        <v>298656.41489156062</v>
      </c>
      <c r="V110" s="146">
        <f t="shared" si="5"/>
        <v>354785.09630843933</v>
      </c>
      <c r="AG110" s="33">
        <v>45627</v>
      </c>
      <c r="AI110" s="9">
        <f>'Simple Linear Regression'!F129</f>
        <v>140827.56</v>
      </c>
      <c r="AJ110" s="34">
        <f t="shared" si="8"/>
        <v>-7959.8089938954508</v>
      </c>
      <c r="AK110" s="34">
        <f t="shared" si="9"/>
        <v>289614.92899389542</v>
      </c>
    </row>
    <row r="111" spans="1:37" x14ac:dyDescent="0.3">
      <c r="A111" s="33">
        <v>45658</v>
      </c>
      <c r="C111" s="1">
        <f>'Simple Linear Regression'!G130</f>
        <v>137182.58448285674</v>
      </c>
      <c r="D111" s="34">
        <f>'Simple Linear Regression'!H130</f>
        <v>-25876.474359925516</v>
      </c>
      <c r="E111" s="34">
        <f>'Simple Linear Regression'!I130</f>
        <v>300241.64332563896</v>
      </c>
      <c r="G111" s="39">
        <f t="shared" si="6"/>
        <v>-0.58102849037233728</v>
      </c>
      <c r="Q111">
        <v>109</v>
      </c>
      <c r="R111" s="141">
        <v>45658</v>
      </c>
      <c r="T111" s="106">
        <f>Q111*1250.8482 + 191629.15</f>
        <v>327971.60379999998</v>
      </c>
      <c r="U111" s="145">
        <f t="shared" si="7"/>
        <v>299906.57558276091</v>
      </c>
      <c r="V111" s="146">
        <f t="shared" si="5"/>
        <v>356036.63201723906</v>
      </c>
      <c r="AG111" s="33">
        <v>45658</v>
      </c>
      <c r="AI111" s="9">
        <f>'Simple Linear Regression'!F130</f>
        <v>140306.13</v>
      </c>
      <c r="AJ111" s="34">
        <f t="shared" si="8"/>
        <v>-22752.928842782247</v>
      </c>
      <c r="AK111" s="34">
        <f t="shared" si="9"/>
        <v>303365.18884278229</v>
      </c>
    </row>
    <row r="112" spans="1:37" x14ac:dyDescent="0.3">
      <c r="A112" s="33">
        <v>45689</v>
      </c>
      <c r="C112" s="1">
        <f>'Simple Linear Regression'!G131</f>
        <v>117509.1200896368</v>
      </c>
      <c r="D112" s="34">
        <f>'Simple Linear Regression'!H131</f>
        <v>-58694.486912799097</v>
      </c>
      <c r="E112" s="34">
        <f>'Simple Linear Regression'!I131</f>
        <v>293712.72709207272</v>
      </c>
      <c r="G112" s="39">
        <f t="shared" si="6"/>
        <v>-0.54220852598831726</v>
      </c>
      <c r="Q112">
        <v>110</v>
      </c>
      <c r="R112" s="142">
        <v>45689</v>
      </c>
      <c r="T112" s="106">
        <f>Q112*1250.8482 + 191629.15</f>
        <v>329222.45199999999</v>
      </c>
      <c r="U112" s="145">
        <f t="shared" si="7"/>
        <v>301156.52583744744</v>
      </c>
      <c r="V112" s="146">
        <f t="shared" si="5"/>
        <v>357288.37816255254</v>
      </c>
      <c r="AG112" s="33">
        <v>45689</v>
      </c>
      <c r="AI112" s="9">
        <f>'Simple Linear Regression'!F131</f>
        <v>139784.70000000001</v>
      </c>
      <c r="AJ112" s="34">
        <f t="shared" si="8"/>
        <v>-36418.907002435881</v>
      </c>
      <c r="AK112" s="34">
        <f t="shared" si="9"/>
        <v>315988.3070024359</v>
      </c>
    </row>
    <row r="113" spans="1:37" x14ac:dyDescent="0.3">
      <c r="A113" s="33">
        <v>45717</v>
      </c>
      <c r="C113" s="1">
        <f>'Simple Linear Regression'!G132</f>
        <v>100764.33192118307</v>
      </c>
      <c r="D113" s="34">
        <f>'Simple Linear Regression'!H132</f>
        <v>-87692.701298683591</v>
      </c>
      <c r="E113" s="34">
        <f>'Simple Linear Regression'!I132</f>
        <v>289221.36514104973</v>
      </c>
      <c r="G113" s="39">
        <f t="shared" si="6"/>
        <v>-0.63801494463697772</v>
      </c>
      <c r="Q113">
        <v>111</v>
      </c>
      <c r="R113" s="141">
        <v>45717</v>
      </c>
      <c r="T113" s="106">
        <f>Q113*1250.8482 + 191629.15</f>
        <v>330473.3002</v>
      </c>
      <c r="U113" s="145">
        <f t="shared" si="7"/>
        <v>302406.23761659767</v>
      </c>
      <c r="V113" s="146">
        <f t="shared" si="5"/>
        <v>358540.36278340232</v>
      </c>
      <c r="AG113" s="33">
        <v>45717</v>
      </c>
      <c r="AI113" s="9">
        <f>'Simple Linear Regression'!F132</f>
        <v>139263.27000000002</v>
      </c>
      <c r="AJ113" s="34">
        <f t="shared" si="8"/>
        <v>-49193.76321986664</v>
      </c>
      <c r="AK113" s="34">
        <f t="shared" si="9"/>
        <v>327720.30321986671</v>
      </c>
    </row>
    <row r="114" spans="1:37" x14ac:dyDescent="0.3">
      <c r="A114" s="33">
        <v>45748</v>
      </c>
      <c r="C114" s="1">
        <f>'Simple Linear Regression'!G133</f>
        <v>89001.629900717424</v>
      </c>
      <c r="D114" s="34">
        <f>'Simple Linear Regression'!H133</f>
        <v>-110981.60006312856</v>
      </c>
      <c r="E114" s="34">
        <f>'Simple Linear Regression'!I133</f>
        <v>288984.85986456339</v>
      </c>
      <c r="G114" s="39">
        <f t="shared" si="6"/>
        <v>-0.6033972198176667</v>
      </c>
      <c r="Q114">
        <v>112</v>
      </c>
      <c r="R114" s="142">
        <v>45748</v>
      </c>
      <c r="T114" s="106">
        <f>Q114*1250.8482 + 191629.15</f>
        <v>331724.14839999995</v>
      </c>
      <c r="U114" s="145">
        <f t="shared" si="7"/>
        <v>303655.68289135979</v>
      </c>
      <c r="V114" s="146">
        <f t="shared" si="5"/>
        <v>359792.61390864011</v>
      </c>
      <c r="AG114" s="33">
        <v>45748</v>
      </c>
      <c r="AI114" s="9">
        <f>'Simple Linear Regression'!F133</f>
        <v>138741.84</v>
      </c>
      <c r="AJ114" s="34">
        <f t="shared" si="8"/>
        <v>-61241.389963845984</v>
      </c>
      <c r="AK114" s="34">
        <f t="shared" si="9"/>
        <v>338725.06996384601</v>
      </c>
    </row>
    <row r="115" spans="1:37" x14ac:dyDescent="0.3">
      <c r="A115" s="33">
        <v>45778</v>
      </c>
      <c r="C115" s="1">
        <f>'Simple Linear Regression'!G134</f>
        <v>87263.781786629668</v>
      </c>
      <c r="D115" s="34">
        <f>'Simple Linear Regression'!H134</f>
        <v>-123637.70388587128</v>
      </c>
      <c r="E115" s="34">
        <f>'Simple Linear Regression'!I134</f>
        <v>298165.26745913061</v>
      </c>
      <c r="G115" s="39">
        <f t="shared" si="6"/>
        <v>-0.52263484851654696</v>
      </c>
      <c r="Q115">
        <v>113</v>
      </c>
      <c r="R115" s="141">
        <v>45778</v>
      </c>
      <c r="T115" s="106">
        <f>Q115*1250.8482 + 191629.15</f>
        <v>332974.99659999995</v>
      </c>
      <c r="U115" s="145">
        <f t="shared" si="7"/>
        <v>304904.83364557213</v>
      </c>
      <c r="V115" s="146">
        <f t="shared" si="5"/>
        <v>361045.15955442778</v>
      </c>
      <c r="AG115" s="33">
        <v>45778</v>
      </c>
      <c r="AI115" s="9">
        <f>'Simple Linear Regression'!F134</f>
        <v>138220.41</v>
      </c>
      <c r="AJ115" s="34">
        <f t="shared" si="8"/>
        <v>-72681.075672500941</v>
      </c>
      <c r="AK115" s="34">
        <f t="shared" si="9"/>
        <v>349121.89567250095</v>
      </c>
    </row>
    <row r="116" spans="1:37" x14ac:dyDescent="0.3">
      <c r="A116" s="33">
        <v>45809</v>
      </c>
      <c r="C116" s="1">
        <f>'Simple Linear Regression'!G135</f>
        <v>107419.62520292136</v>
      </c>
      <c r="D116" s="34">
        <f>'Simple Linear Regression'!H135</f>
        <v>-113882.19447849071</v>
      </c>
      <c r="E116" s="34">
        <f>'Simple Linear Regression'!I135</f>
        <v>328721.44488433341</v>
      </c>
      <c r="G116" s="39">
        <f t="shared" si="6"/>
        <v>-0.3675506473301185</v>
      </c>
      <c r="Q116">
        <v>114</v>
      </c>
      <c r="R116" s="142">
        <v>45809</v>
      </c>
      <c r="T116" s="106">
        <f>Q116*1250.8482 + 191629.15</f>
        <v>334225.84479999996</v>
      </c>
      <c r="U116" s="145">
        <f t="shared" si="7"/>
        <v>306153.66187855904</v>
      </c>
      <c r="V116" s="146">
        <f t="shared" si="5"/>
        <v>362298.02772144089</v>
      </c>
      <c r="AG116" s="33">
        <v>45809</v>
      </c>
      <c r="AI116" s="9">
        <f>'Simple Linear Regression'!F135</f>
        <v>137698.98000000001</v>
      </c>
      <c r="AJ116" s="34">
        <f t="shared" si="8"/>
        <v>-83602.839681412064</v>
      </c>
      <c r="AK116" s="34">
        <f t="shared" si="9"/>
        <v>359000.79968141206</v>
      </c>
    </row>
    <row r="117" spans="1:37" x14ac:dyDescent="0.3">
      <c r="A117" s="33">
        <v>45839</v>
      </c>
      <c r="C117" s="1">
        <f>'Simple Linear Regression'!G136</f>
        <v>121757.86300328879</v>
      </c>
      <c r="D117" s="34">
        <f>'Simple Linear Regression'!H136</f>
        <v>-109496.27711330297</v>
      </c>
      <c r="E117" s="34">
        <f>'Simple Linear Regression'!I136</f>
        <v>353012.00311988057</v>
      </c>
      <c r="F117" s="1">
        <f>AVERAGE(C106:C117)</f>
        <v>127811.75465303184</v>
      </c>
      <c r="G117" s="39">
        <f>(C117-B105)/B105</f>
        <v>-0.47766944937565137</v>
      </c>
      <c r="H117" s="160">
        <f>(F117-F105)/F105</f>
        <v>-0.48824207639413947</v>
      </c>
      <c r="Q117">
        <v>115</v>
      </c>
      <c r="R117" s="141">
        <v>45839</v>
      </c>
      <c r="T117" s="106">
        <f>Q117*1250.8482 + 191629.15</f>
        <v>335476.69299999997</v>
      </c>
      <c r="U117" s="145">
        <f t="shared" si="7"/>
        <v>307402.13960820372</v>
      </c>
      <c r="V117" s="146">
        <f t="shared" si="5"/>
        <v>363551.24639179622</v>
      </c>
      <c r="AG117" s="33">
        <v>45839</v>
      </c>
      <c r="AI117" s="9">
        <f>'Simple Linear Regression'!F136</f>
        <v>137177.54999999999</v>
      </c>
      <c r="AJ117" s="34">
        <f t="shared" si="8"/>
        <v>-94076.590116591775</v>
      </c>
      <c r="AK117" s="34">
        <f t="shared" si="9"/>
        <v>368431.69011659175</v>
      </c>
    </row>
    <row r="118" spans="1:37" x14ac:dyDescent="0.3">
      <c r="A118" s="33">
        <v>45870</v>
      </c>
      <c r="C118" s="1">
        <f>'Simple Linear Regression'!G137</f>
        <v>150527.21159869235</v>
      </c>
      <c r="D118" s="34">
        <f>'Simple Linear Regression'!H137</f>
        <v>-90286.806446627656</v>
      </c>
      <c r="E118" s="34">
        <f>'Simple Linear Regression'!I137</f>
        <v>391341.22964401235</v>
      </c>
      <c r="Q118">
        <v>116</v>
      </c>
      <c r="R118" s="142">
        <v>45870</v>
      </c>
      <c r="T118" s="106">
        <f>Q118*1250.8482 + 191629.15</f>
        <v>336727.54119999998</v>
      </c>
      <c r="U118" s="145">
        <f t="shared" si="7"/>
        <v>301402.41984296305</v>
      </c>
      <c r="V118" s="146">
        <f t="shared" si="5"/>
        <v>372052.66255703691</v>
      </c>
      <c r="AG118" s="33">
        <v>45870</v>
      </c>
      <c r="AI118" s="9">
        <f>'Simple Linear Regression'!F137</f>
        <v>136656.12</v>
      </c>
      <c r="AJ118" s="34">
        <f t="shared" si="8"/>
        <v>-104157.89804532001</v>
      </c>
      <c r="AK118" s="34">
        <f t="shared" si="9"/>
        <v>377470.13804532</v>
      </c>
    </row>
    <row r="119" spans="1:37" x14ac:dyDescent="0.3">
      <c r="A119" s="33">
        <v>45901</v>
      </c>
      <c r="C119" s="1">
        <f>'Simple Linear Regression'!G138</f>
        <v>163828.8014021063</v>
      </c>
      <c r="D119" s="34">
        <f>'Simple Linear Regression'!H138</f>
        <v>-86197.689475340594</v>
      </c>
      <c r="E119" s="34">
        <f>'Simple Linear Regression'!I138</f>
        <v>413855.29227955319</v>
      </c>
      <c r="Q119">
        <v>117</v>
      </c>
      <c r="R119" s="141">
        <v>45901</v>
      </c>
      <c r="T119" s="106">
        <f>Q119*1250.8482 + 191629.15</f>
        <v>337978.38939999999</v>
      </c>
      <c r="U119" s="145">
        <f t="shared" si="7"/>
        <v>302650.76005305874</v>
      </c>
      <c r="V119" s="146">
        <f t="shared" si="5"/>
        <v>373306.01874694123</v>
      </c>
      <c r="AG119" s="33">
        <v>45901</v>
      </c>
      <c r="AI119" s="9">
        <f>'Simple Linear Regression'!F138</f>
        <v>136134.69</v>
      </c>
      <c r="AJ119" s="34">
        <f t="shared" si="8"/>
        <v>-113891.80087744689</v>
      </c>
      <c r="AK119" s="34">
        <f t="shared" si="9"/>
        <v>386161.1808774469</v>
      </c>
    </row>
    <row r="120" spans="1:37" x14ac:dyDescent="0.3">
      <c r="A120" s="33">
        <v>45931</v>
      </c>
      <c r="C120" s="1">
        <f>'Simple Linear Regression'!G139</f>
        <v>139945.09534940214</v>
      </c>
      <c r="D120" s="34">
        <f>'Simple Linear Regression'!H139</f>
        <v>-118983.56418662277</v>
      </c>
      <c r="E120" s="34">
        <f>'Simple Linear Regression'!I139</f>
        <v>398873.75488542707</v>
      </c>
      <c r="Q120">
        <v>118</v>
      </c>
      <c r="R120" s="142">
        <v>45931</v>
      </c>
      <c r="T120" s="106">
        <f>Q120*1250.8482 + 191629.15</f>
        <v>339229.23759999999</v>
      </c>
      <c r="U120" s="145">
        <f t="shared" si="7"/>
        <v>303898.75493439578</v>
      </c>
      <c r="V120" s="146">
        <f t="shared" si="5"/>
        <v>374559.72026560421</v>
      </c>
      <c r="AG120" s="33">
        <v>45931</v>
      </c>
      <c r="AI120" s="9">
        <f>'Simple Linear Regression'!F139</f>
        <v>135613.26</v>
      </c>
      <c r="AJ120" s="34">
        <f t="shared" si="8"/>
        <v>-123315.3995360249</v>
      </c>
      <c r="AK120" s="34">
        <f t="shared" si="9"/>
        <v>394541.91953602491</v>
      </c>
    </row>
    <row r="121" spans="1:37" x14ac:dyDescent="0.3">
      <c r="A121" s="33">
        <v>45962</v>
      </c>
      <c r="C121" s="1">
        <f>'Simple Linear Regression'!G140</f>
        <v>163013.38391862271</v>
      </c>
      <c r="D121" s="34">
        <f>'Simple Linear Regression'!H140</f>
        <v>-104538.13243105749</v>
      </c>
      <c r="E121" s="34">
        <f>'Simple Linear Regression'!I140</f>
        <v>430564.90026830288</v>
      </c>
      <c r="Q121">
        <v>119</v>
      </c>
      <c r="R121" s="141">
        <v>45962</v>
      </c>
      <c r="T121" s="106">
        <f>Q121*1250.8482 + 191629.15</f>
        <v>340480.0858</v>
      </c>
      <c r="U121" s="145">
        <f t="shared" si="7"/>
        <v>305146.38228200661</v>
      </c>
      <c r="V121" s="146">
        <f t="shared" si="5"/>
        <v>375813.78931799339</v>
      </c>
      <c r="AG121" s="33">
        <v>45962</v>
      </c>
      <c r="AI121" s="9">
        <f>'Simple Linear Regression'!F140</f>
        <v>135091.83000000002</v>
      </c>
      <c r="AJ121" s="34">
        <f t="shared" si="8"/>
        <v>-132459.68634968018</v>
      </c>
      <c r="AK121" s="34">
        <f t="shared" si="9"/>
        <v>402643.34634968021</v>
      </c>
    </row>
    <row r="122" spans="1:37" x14ac:dyDescent="0.3">
      <c r="A122" s="33">
        <v>45992</v>
      </c>
      <c r="C122" s="1">
        <f>'Simple Linear Regression'!G141</f>
        <v>131118.58793562278</v>
      </c>
      <c r="D122" s="34">
        <f>'Simple Linear Regression'!H141</f>
        <v>-144802.67710957979</v>
      </c>
      <c r="E122" s="34">
        <f>'Simple Linear Regression'!I141</f>
        <v>407039.85298082535</v>
      </c>
      <c r="Q122">
        <v>120</v>
      </c>
      <c r="R122" s="142">
        <v>45992</v>
      </c>
      <c r="T122" s="106">
        <f>Q122*1250.8482 + 191629.15</f>
        <v>341730.93400000001</v>
      </c>
      <c r="U122" s="145">
        <f t="shared" si="7"/>
        <v>306393.61991003918</v>
      </c>
      <c r="V122" s="146">
        <f t="shared" si="5"/>
        <v>377068.24808996083</v>
      </c>
      <c r="AG122" s="33">
        <v>45992</v>
      </c>
      <c r="AI122" s="9">
        <f>'Simple Linear Regression'!F141</f>
        <v>134570.40000000002</v>
      </c>
      <c r="AJ122" s="34">
        <f t="shared" si="8"/>
        <v>-141350.86504520255</v>
      </c>
      <c r="AK122" s="34">
        <f t="shared" si="9"/>
        <v>410491.66504520259</v>
      </c>
    </row>
    <row r="123" spans="1:37" x14ac:dyDescent="0.3">
      <c r="Q123">
        <v>121</v>
      </c>
      <c r="R123" s="141">
        <v>46023</v>
      </c>
      <c r="T123" s="106">
        <f>Q123*1250.8482 + 191629.15</f>
        <v>342981.78220000002</v>
      </c>
      <c r="U123" s="145">
        <f t="shared" si="7"/>
        <v>307640.44565412507</v>
      </c>
      <c r="V123" s="146">
        <f t="shared" si="5"/>
        <v>378323.11874587496</v>
      </c>
    </row>
  </sheetData>
  <mergeCells count="2">
    <mergeCell ref="AG1:AK1"/>
    <mergeCell ref="A1:E1"/>
  </mergeCells>
  <phoneticPr fontId="2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6"/>
  <sheetViews>
    <sheetView topLeftCell="A88" zoomScale="70" zoomScaleNormal="70" workbookViewId="0">
      <selection activeCell="I127" sqref="I127"/>
    </sheetView>
  </sheetViews>
  <sheetFormatPr baseColWidth="10" defaultColWidth="9.5703125" defaultRowHeight="13.2" x14ac:dyDescent="0.3"/>
  <cols>
    <col min="3" max="3" width="12.42578125" bestFit="1" customWidth="1"/>
    <col min="5" max="5" width="15.28515625" customWidth="1"/>
    <col min="6" max="6" width="23.42578125" customWidth="1"/>
    <col min="7" max="7" width="18.42578125" customWidth="1"/>
    <col min="8" max="8" width="16.140625" customWidth="1"/>
    <col min="9" max="9" width="16.5703125" customWidth="1"/>
    <col min="10" max="11" width="8.5703125" customWidth="1"/>
    <col min="12" max="13" width="12.28515625" customWidth="1"/>
    <col min="14" max="14" width="15.7109375" bestFit="1" customWidth="1"/>
    <col min="15" max="19" width="12.7109375" customWidth="1"/>
    <col min="22" max="22" width="13.85546875" customWidth="1"/>
  </cols>
  <sheetData>
    <row r="1" spans="2:26" ht="14.4" x14ac:dyDescent="0.3">
      <c r="B1" s="27" t="s">
        <v>61</v>
      </c>
      <c r="C1" s="27" t="s">
        <v>63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2:26" ht="14.4" x14ac:dyDescent="0.3">
      <c r="B2" s="27" t="s">
        <v>13</v>
      </c>
      <c r="C2" s="27" t="s">
        <v>64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2:26" ht="14.4" x14ac:dyDescent="0.3">
      <c r="B3" s="27" t="s">
        <v>14</v>
      </c>
      <c r="C3" s="27" t="s">
        <v>65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2:26" ht="14.4" x14ac:dyDescent="0.3">
      <c r="B4" s="27" t="s">
        <v>62</v>
      </c>
      <c r="C4" s="27" t="s">
        <v>66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2:26" ht="14.4" x14ac:dyDescent="0.3">
      <c r="B5" s="27" t="s">
        <v>16</v>
      </c>
      <c r="C5" s="27" t="s">
        <v>67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2:26" ht="14.4" x14ac:dyDescent="0.3">
      <c r="B6" s="27" t="s">
        <v>17</v>
      </c>
      <c r="C6" s="27" t="s">
        <v>68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10" spans="2:26" x14ac:dyDescent="0.3">
      <c r="U10" t="s">
        <v>156</v>
      </c>
    </row>
    <row r="11" spans="2:26" x14ac:dyDescent="0.3">
      <c r="U11" s="34">
        <f>1-V15/U15</f>
        <v>3.1172487741891519E-2</v>
      </c>
    </row>
    <row r="12" spans="2:26" x14ac:dyDescent="0.3">
      <c r="N12" s="129" t="s">
        <v>180</v>
      </c>
      <c r="O12" s="136"/>
      <c r="P12" s="136"/>
      <c r="Q12" s="136"/>
      <c r="R12" s="137"/>
    </row>
    <row r="13" spans="2:26" x14ac:dyDescent="0.3">
      <c r="N13" s="129" t="s">
        <v>128</v>
      </c>
      <c r="O13" s="130"/>
      <c r="P13" s="130"/>
      <c r="Q13" s="131"/>
      <c r="R13" s="92">
        <f>P124</f>
        <v>93238.950000000012</v>
      </c>
      <c r="Z13" t="s">
        <v>128</v>
      </c>
    </row>
    <row r="14" spans="2:26" x14ac:dyDescent="0.3">
      <c r="N14" s="129" t="s">
        <v>121</v>
      </c>
      <c r="O14" s="130"/>
      <c r="P14" s="130"/>
      <c r="Q14" s="131"/>
      <c r="R14" s="100">
        <f>AVERAGE(R22:R124)</f>
        <v>0.22322422655914978</v>
      </c>
      <c r="U14" t="s">
        <v>160</v>
      </c>
      <c r="V14" t="s">
        <v>161</v>
      </c>
      <c r="Z14" t="s">
        <v>121</v>
      </c>
    </row>
    <row r="15" spans="2:26" x14ac:dyDescent="0.3">
      <c r="N15" s="129" t="s">
        <v>175</v>
      </c>
      <c r="O15" s="130"/>
      <c r="P15" s="130"/>
      <c r="Q15" s="131"/>
      <c r="R15" s="65">
        <f>AVERAGE(P22:P124)</f>
        <v>76108.053398058255</v>
      </c>
      <c r="U15">
        <f>SUM(N22:N123)</f>
        <v>9151726725.0608406</v>
      </c>
      <c r="V15" s="1">
        <f>SUM(O22:O123)</f>
        <v>8866444635.9067402</v>
      </c>
      <c r="W15" s="1"/>
      <c r="X15" s="1"/>
      <c r="Y15" s="1"/>
      <c r="Z15" t="s">
        <v>175</v>
      </c>
    </row>
    <row r="17" spans="1:31" x14ac:dyDescent="0.3">
      <c r="N17" s="35" t="s">
        <v>177</v>
      </c>
      <c r="O17" s="35" t="s">
        <v>178</v>
      </c>
      <c r="P17" s="35" t="s">
        <v>179</v>
      </c>
    </row>
    <row r="18" spans="1:31" x14ac:dyDescent="0.3">
      <c r="O18" s="34">
        <f>AVERAGE(Q22:Q123)</f>
        <v>12.821433442903999</v>
      </c>
    </row>
    <row r="19" spans="1:31" ht="15.6" x14ac:dyDescent="0.3">
      <c r="B19" s="7" t="s">
        <v>69</v>
      </c>
    </row>
    <row r="20" spans="1:31" x14ac:dyDescent="0.3">
      <c r="C20" s="35" t="s">
        <v>116</v>
      </c>
      <c r="J20" t="s">
        <v>61</v>
      </c>
    </row>
    <row r="21" spans="1:31" x14ac:dyDescent="0.3">
      <c r="B21" t="s">
        <v>51</v>
      </c>
      <c r="C21" t="s">
        <v>20</v>
      </c>
      <c r="D21" t="s">
        <v>47</v>
      </c>
      <c r="E21" s="35" t="s">
        <v>75</v>
      </c>
      <c r="F21" s="117" t="s">
        <v>188</v>
      </c>
      <c r="G21" t="s">
        <v>76</v>
      </c>
      <c r="H21" t="s">
        <v>77</v>
      </c>
      <c r="I21" t="s">
        <v>78</v>
      </c>
      <c r="J21" t="s">
        <v>94</v>
      </c>
      <c r="L21" t="s">
        <v>87</v>
      </c>
      <c r="M21" t="s">
        <v>159</v>
      </c>
      <c r="N21" s="35" t="s">
        <v>157</v>
      </c>
      <c r="O21" s="35" t="s">
        <v>158</v>
      </c>
      <c r="P21" s="35" t="s">
        <v>163</v>
      </c>
      <c r="Q21" s="35" t="s">
        <v>178</v>
      </c>
      <c r="R21" s="35" t="s">
        <v>179</v>
      </c>
      <c r="AD21" s="30"/>
      <c r="AE21" s="10"/>
    </row>
    <row r="22" spans="1:31" x14ac:dyDescent="0.3">
      <c r="A22" s="30">
        <v>42370</v>
      </c>
      <c r="B22">
        <v>1</v>
      </c>
      <c r="C22" s="10">
        <f>Decomposition!I11</f>
        <v>163554.05993523935</v>
      </c>
      <c r="D22" s="34">
        <f>Decomposition!H11</f>
        <v>1.5205003171334823</v>
      </c>
      <c r="E22">
        <f>Data!C2</f>
        <v>248684</v>
      </c>
      <c r="F22" s="1">
        <f t="shared" ref="F22:F53" si="0">C22*D22</f>
        <v>248684</v>
      </c>
      <c r="G22" s="1">
        <v>248684</v>
      </c>
      <c r="H22" s="1"/>
      <c r="J22">
        <v>1</v>
      </c>
      <c r="L22" s="2">
        <f>Decomposition!C11</f>
        <v>248684</v>
      </c>
      <c r="M22" s="9">
        <f t="shared" ref="M22:M85" si="1">-573.65*J22+198952</f>
        <v>198378.35</v>
      </c>
      <c r="N22">
        <f>((L22-AVERAGE(L$22:L$123))^2)/COUNT(L$22:L$123)</f>
        <v>61613133.477584988</v>
      </c>
      <c r="O22" s="1">
        <f>((L22-M22)^2)/COUNT(L$22:L$123)</f>
        <v>24810376.6855147</v>
      </c>
      <c r="P22" s="1">
        <f>ABS(L22-M22)</f>
        <v>50305.649999999994</v>
      </c>
      <c r="Q22" s="39">
        <f>P22/L22</f>
        <v>0.20228744108989719</v>
      </c>
      <c r="R22" s="39">
        <f>IF(Q22&gt;1,AVERAGE(Q$22:Q$72,Q96:Q123),Q22)</f>
        <v>0.20228744108989719</v>
      </c>
      <c r="S22" s="34"/>
      <c r="AD22" s="30"/>
      <c r="AE22" s="10"/>
    </row>
    <row r="23" spans="1:31" x14ac:dyDescent="0.3">
      <c r="A23" s="30">
        <v>42401</v>
      </c>
      <c r="B23">
        <v>2</v>
      </c>
      <c r="C23" s="10">
        <f>Decomposition!I12</f>
        <v>186385.1538066793</v>
      </c>
      <c r="D23" s="34">
        <f>Decomposition!H12</f>
        <v>1.1359864006100491</v>
      </c>
      <c r="E23">
        <f>Data!C3</f>
        <v>211731</v>
      </c>
      <c r="F23" s="1">
        <f t="shared" si="0"/>
        <v>211731</v>
      </c>
      <c r="G23" s="1">
        <v>211731</v>
      </c>
      <c r="H23" s="1"/>
      <c r="J23">
        <v>2</v>
      </c>
      <c r="L23" s="2">
        <f>Decomposition!C12</f>
        <v>211731</v>
      </c>
      <c r="M23" s="9">
        <f t="shared" si="1"/>
        <v>197804.7</v>
      </c>
      <c r="N23">
        <f t="shared" ref="N23:N86" si="2">((L23-AVERAGE(L$22:L$123))^2)/COUNT(L$22:L$123)</f>
        <v>17560383.848980602</v>
      </c>
      <c r="O23" s="1">
        <f t="shared" ref="O23:O86" si="3">((L23-M23)^2)/COUNT(L$22:L$123)</f>
        <v>1901390.5067647027</v>
      </c>
      <c r="P23" s="1">
        <f t="shared" ref="P23:P86" si="4">ABS(L23-M23)</f>
        <v>13926.299999999988</v>
      </c>
      <c r="Q23" s="39">
        <f t="shared" ref="Q23:Q86" si="5">P23/L23</f>
        <v>6.577355229040617E-2</v>
      </c>
      <c r="R23" s="39">
        <f t="shared" ref="R23:R86" si="6">IF(Q23&gt;1,AVERAGE(Q$22:Q$72,Q97:Q124),Q23)</f>
        <v>6.577355229040617E-2</v>
      </c>
      <c r="S23" s="34"/>
      <c r="AD23" s="30"/>
      <c r="AE23" s="10"/>
    </row>
    <row r="24" spans="1:31" x14ac:dyDescent="0.3">
      <c r="A24" s="30">
        <v>42430</v>
      </c>
      <c r="B24">
        <v>3</v>
      </c>
      <c r="C24" s="10">
        <f>Decomposition!I13</f>
        <v>184615.17654602198</v>
      </c>
      <c r="D24" s="34">
        <f>Decomposition!H13</f>
        <v>1.1421704539411746</v>
      </c>
      <c r="E24">
        <f>Data!C4</f>
        <v>210862</v>
      </c>
      <c r="F24" s="1">
        <f t="shared" si="0"/>
        <v>210862</v>
      </c>
      <c r="G24" s="1">
        <v>210862</v>
      </c>
      <c r="H24" s="1"/>
      <c r="J24">
        <v>3</v>
      </c>
      <c r="L24" s="2">
        <f>Decomposition!C13</f>
        <v>210862</v>
      </c>
      <c r="M24" s="9">
        <f t="shared" si="1"/>
        <v>197231.05</v>
      </c>
      <c r="N24">
        <f t="shared" si="2"/>
        <v>16846652.198461574</v>
      </c>
      <c r="O24" s="1">
        <f t="shared" si="3"/>
        <v>1821596.0578676504</v>
      </c>
      <c r="P24" s="1">
        <f t="shared" si="4"/>
        <v>13630.950000000012</v>
      </c>
      <c r="Q24" s="39">
        <f t="shared" si="5"/>
        <v>6.4643937741271598E-2</v>
      </c>
      <c r="R24" s="39">
        <f t="shared" si="6"/>
        <v>6.4643937741271598E-2</v>
      </c>
      <c r="S24" s="34"/>
      <c r="AD24" s="30"/>
      <c r="AE24" s="10"/>
    </row>
    <row r="25" spans="1:31" x14ac:dyDescent="0.3">
      <c r="A25" s="30">
        <v>42461</v>
      </c>
      <c r="B25">
        <v>4</v>
      </c>
      <c r="C25" s="10">
        <f>Decomposition!I14</f>
        <v>204700.83844635609</v>
      </c>
      <c r="D25" s="34">
        <f>Decomposition!H14</f>
        <v>0.89114925656645383</v>
      </c>
      <c r="E25">
        <f>Data!C5</f>
        <v>182419</v>
      </c>
      <c r="F25" s="1">
        <f t="shared" si="0"/>
        <v>182419</v>
      </c>
      <c r="G25" s="1">
        <v>182419</v>
      </c>
      <c r="H25" s="1"/>
      <c r="J25">
        <v>4</v>
      </c>
      <c r="L25" s="2">
        <f>Decomposition!C14</f>
        <v>182419</v>
      </c>
      <c r="M25" s="9">
        <f t="shared" si="1"/>
        <v>196657.4</v>
      </c>
      <c r="N25">
        <f t="shared" si="2"/>
        <v>1659435.2538248885</v>
      </c>
      <c r="O25" s="1">
        <f t="shared" si="3"/>
        <v>1987568.966274508</v>
      </c>
      <c r="P25" s="1">
        <f t="shared" si="4"/>
        <v>14238.399999999994</v>
      </c>
      <c r="Q25" s="39">
        <f t="shared" si="5"/>
        <v>7.8053272959505288E-2</v>
      </c>
      <c r="R25" s="39">
        <f t="shared" si="6"/>
        <v>7.8053272959505288E-2</v>
      </c>
      <c r="S25" s="34"/>
      <c r="AD25" s="30"/>
      <c r="AE25" s="10"/>
    </row>
    <row r="26" spans="1:31" x14ac:dyDescent="0.3">
      <c r="A26" s="30">
        <v>42491</v>
      </c>
      <c r="B26">
        <v>5</v>
      </c>
      <c r="C26" s="10">
        <f>Decomposition!I15</f>
        <v>242583.70449869026</v>
      </c>
      <c r="D26" s="34">
        <f>Decomposition!H15</f>
        <v>0.72718404710878848</v>
      </c>
      <c r="E26">
        <f>Data!C6</f>
        <v>176403</v>
      </c>
      <c r="F26" s="1">
        <f t="shared" si="0"/>
        <v>176403</v>
      </c>
      <c r="G26" s="1">
        <v>176403</v>
      </c>
      <c r="H26" s="1"/>
      <c r="J26">
        <v>5</v>
      </c>
      <c r="L26" s="2">
        <f>Decomposition!C15</f>
        <v>176403</v>
      </c>
      <c r="M26" s="9">
        <f t="shared" si="1"/>
        <v>196083.75</v>
      </c>
      <c r="N26">
        <f t="shared" si="2"/>
        <v>479581.08081450692</v>
      </c>
      <c r="O26" s="1">
        <f t="shared" si="3"/>
        <v>3797371.7702205884</v>
      </c>
      <c r="P26" s="1">
        <f t="shared" si="4"/>
        <v>19680.75</v>
      </c>
      <c r="Q26" s="39">
        <f t="shared" si="5"/>
        <v>0.11156698015339875</v>
      </c>
      <c r="R26" s="39">
        <f t="shared" si="6"/>
        <v>0.11156698015339875</v>
      </c>
      <c r="S26" s="34"/>
      <c r="AD26" s="30"/>
      <c r="AE26" s="10"/>
    </row>
    <row r="27" spans="1:31" x14ac:dyDescent="0.3">
      <c r="A27" s="30">
        <v>42522</v>
      </c>
      <c r="B27">
        <v>6</v>
      </c>
      <c r="C27" s="10">
        <f>Decomposition!I16</f>
        <v>238323.25929326477</v>
      </c>
      <c r="D27" s="34">
        <f>Decomposition!H16</f>
        <v>0.67381589390901009</v>
      </c>
      <c r="E27">
        <f>Data!C7</f>
        <v>160586</v>
      </c>
      <c r="F27" s="1">
        <f t="shared" si="0"/>
        <v>160586</v>
      </c>
      <c r="G27" s="1">
        <v>160586</v>
      </c>
      <c r="H27" s="1"/>
      <c r="J27">
        <v>6</v>
      </c>
      <c r="L27" s="2">
        <f>Decomposition!C16</f>
        <v>160586</v>
      </c>
      <c r="M27" s="9">
        <f t="shared" si="1"/>
        <v>195510.1</v>
      </c>
      <c r="N27">
        <f t="shared" si="2"/>
        <v>763174.23537044437</v>
      </c>
      <c r="O27" s="1">
        <f t="shared" si="3"/>
        <v>11957772.164803926</v>
      </c>
      <c r="P27" s="1">
        <f t="shared" si="4"/>
        <v>34924.100000000006</v>
      </c>
      <c r="Q27" s="39">
        <f t="shared" si="5"/>
        <v>0.21747910776780047</v>
      </c>
      <c r="R27" s="39">
        <f t="shared" si="6"/>
        <v>0.21747910776780047</v>
      </c>
      <c r="S27" s="34"/>
      <c r="AD27" s="30"/>
      <c r="AE27" s="10"/>
    </row>
    <row r="28" spans="1:31" x14ac:dyDescent="0.3">
      <c r="A28" s="30">
        <v>42552</v>
      </c>
      <c r="B28">
        <v>7</v>
      </c>
      <c r="C28" s="10">
        <f>Decomposition!I17</f>
        <v>239932.80180152546</v>
      </c>
      <c r="D28" s="34">
        <f>Decomposition!H17</f>
        <v>0.85601050985057181</v>
      </c>
      <c r="E28">
        <f>Data!C8</f>
        <v>205385</v>
      </c>
      <c r="F28" s="1">
        <f t="shared" si="0"/>
        <v>205385</v>
      </c>
      <c r="G28" s="1">
        <v>205385</v>
      </c>
      <c r="H28" s="1"/>
      <c r="J28">
        <v>7</v>
      </c>
      <c r="L28" s="2">
        <f>Decomposition!C17</f>
        <v>205385</v>
      </c>
      <c r="M28" s="9">
        <f t="shared" si="1"/>
        <v>194936.45</v>
      </c>
      <c r="N28">
        <f t="shared" si="2"/>
        <v>12689009.065820279</v>
      </c>
      <c r="O28" s="1">
        <f t="shared" si="3"/>
        <v>1070315.6578676447</v>
      </c>
      <c r="P28" s="1">
        <f t="shared" si="4"/>
        <v>10448.549999999988</v>
      </c>
      <c r="Q28" s="39">
        <f t="shared" si="5"/>
        <v>5.0872994619860203E-2</v>
      </c>
      <c r="R28" s="39">
        <f t="shared" si="6"/>
        <v>5.0872994619860203E-2</v>
      </c>
      <c r="S28" s="34"/>
      <c r="AD28" s="30"/>
      <c r="AE28" s="10"/>
    </row>
    <row r="29" spans="1:31" x14ac:dyDescent="0.3">
      <c r="A29" s="30">
        <v>42583</v>
      </c>
      <c r="B29">
        <v>8</v>
      </c>
      <c r="C29" s="10">
        <f>Decomposition!I18</f>
        <v>249056.79957154609</v>
      </c>
      <c r="D29" s="34">
        <f>Decomposition!H18</f>
        <v>0.756269253937361</v>
      </c>
      <c r="E29">
        <f>Data!C9</f>
        <v>188354</v>
      </c>
      <c r="F29" s="1">
        <f t="shared" si="0"/>
        <v>188354</v>
      </c>
      <c r="G29" s="1">
        <v>188354</v>
      </c>
      <c r="H29" s="1"/>
      <c r="J29">
        <v>8</v>
      </c>
      <c r="L29" s="2">
        <f>Decomposition!C18</f>
        <v>188354</v>
      </c>
      <c r="M29" s="9">
        <f t="shared" si="1"/>
        <v>194362.8</v>
      </c>
      <c r="N29">
        <f t="shared" si="2"/>
        <v>3518787.9239517637</v>
      </c>
      <c r="O29" s="1">
        <f t="shared" si="3"/>
        <v>353977.22980392026</v>
      </c>
      <c r="P29" s="1">
        <f t="shared" si="4"/>
        <v>6008.7999999999884</v>
      </c>
      <c r="Q29" s="39">
        <f t="shared" si="5"/>
        <v>3.1901632033298939E-2</v>
      </c>
      <c r="R29" s="39">
        <f t="shared" si="6"/>
        <v>3.1901632033298939E-2</v>
      </c>
      <c r="S29" s="34"/>
      <c r="AD29" s="30"/>
      <c r="AE29" s="10"/>
    </row>
    <row r="30" spans="1:31" x14ac:dyDescent="0.3">
      <c r="A30" s="30">
        <v>42614</v>
      </c>
      <c r="B30">
        <v>9</v>
      </c>
      <c r="C30" s="10">
        <f>Decomposition!I19</f>
        <v>229806.82064988138</v>
      </c>
      <c r="D30" s="34">
        <f>Decomposition!H19</f>
        <v>0.81803490195971706</v>
      </c>
      <c r="E30">
        <f>Data!C10</f>
        <v>187990</v>
      </c>
      <c r="F30" s="1">
        <f t="shared" si="0"/>
        <v>187990</v>
      </c>
      <c r="G30" s="1">
        <v>187990</v>
      </c>
      <c r="H30" s="1"/>
      <c r="J30">
        <v>9</v>
      </c>
      <c r="L30" s="2">
        <f>Decomposition!C19</f>
        <v>187990</v>
      </c>
      <c r="M30" s="9">
        <f t="shared" si="1"/>
        <v>193789.15</v>
      </c>
      <c r="N30">
        <f t="shared" si="2"/>
        <v>3384870.9804684883</v>
      </c>
      <c r="O30" s="1">
        <f t="shared" si="3"/>
        <v>329707.26198529341</v>
      </c>
      <c r="P30" s="1">
        <f t="shared" si="4"/>
        <v>5799.1499999999942</v>
      </c>
      <c r="Q30" s="39">
        <f t="shared" si="5"/>
        <v>3.0848183414011354E-2</v>
      </c>
      <c r="R30" s="39">
        <f t="shared" si="6"/>
        <v>3.0848183414011354E-2</v>
      </c>
      <c r="S30" s="34"/>
      <c r="AD30" s="30"/>
      <c r="AE30" s="10"/>
    </row>
    <row r="31" spans="1:31" x14ac:dyDescent="0.3">
      <c r="A31" s="30">
        <v>42644</v>
      </c>
      <c r="B31">
        <v>10</v>
      </c>
      <c r="C31" s="10">
        <f>Decomposition!I20</f>
        <v>222930.21241106166</v>
      </c>
      <c r="D31" s="34">
        <f>Decomposition!H20</f>
        <v>0.91618806527394414</v>
      </c>
      <c r="E31">
        <f>Data!C11</f>
        <v>204246</v>
      </c>
      <c r="F31" s="1">
        <f t="shared" si="0"/>
        <v>204246</v>
      </c>
      <c r="G31" s="1">
        <v>204246</v>
      </c>
      <c r="H31" s="1"/>
      <c r="J31">
        <v>10</v>
      </c>
      <c r="L31" s="2">
        <f>Decomposition!C20</f>
        <v>204246</v>
      </c>
      <c r="M31" s="9">
        <f t="shared" si="1"/>
        <v>193215.5</v>
      </c>
      <c r="N31">
        <f t="shared" si="2"/>
        <v>11898261.928565376</v>
      </c>
      <c r="O31" s="1">
        <f t="shared" si="3"/>
        <v>1192862.0612745099</v>
      </c>
      <c r="P31" s="1">
        <f t="shared" si="4"/>
        <v>11030.5</v>
      </c>
      <c r="Q31" s="39">
        <f t="shared" si="5"/>
        <v>5.4005953604966558E-2</v>
      </c>
      <c r="R31" s="39">
        <f t="shared" si="6"/>
        <v>5.4005953604966558E-2</v>
      </c>
      <c r="S31" s="34"/>
      <c r="AD31" s="30"/>
      <c r="AE31" s="10"/>
    </row>
    <row r="32" spans="1:31" x14ac:dyDescent="0.3">
      <c r="A32" s="30">
        <v>42675</v>
      </c>
      <c r="B32">
        <v>11</v>
      </c>
      <c r="C32" s="10">
        <f>Decomposition!I21</f>
        <v>197050.22828587753</v>
      </c>
      <c r="D32" s="34">
        <f>Decomposition!H21</f>
        <v>1.1708334570680377</v>
      </c>
      <c r="E32">
        <f>Data!C12</f>
        <v>230713</v>
      </c>
      <c r="F32" s="1">
        <f t="shared" si="0"/>
        <v>230713</v>
      </c>
      <c r="G32" s="1">
        <v>230713</v>
      </c>
      <c r="H32" s="1"/>
      <c r="J32">
        <v>11</v>
      </c>
      <c r="L32" s="2">
        <f>Decomposition!C21</f>
        <v>230713</v>
      </c>
      <c r="M32" s="9">
        <f t="shared" si="1"/>
        <v>192641.85</v>
      </c>
      <c r="N32">
        <f t="shared" si="2"/>
        <v>36845012.101575762</v>
      </c>
      <c r="O32" s="1">
        <f t="shared" si="3"/>
        <v>14209926.101200975</v>
      </c>
      <c r="P32" s="1">
        <f t="shared" si="4"/>
        <v>38071.149999999994</v>
      </c>
      <c r="Q32" s="39">
        <f t="shared" si="5"/>
        <v>0.16501519203512588</v>
      </c>
      <c r="R32" s="39">
        <f t="shared" si="6"/>
        <v>0.16501519203512588</v>
      </c>
      <c r="S32" s="34"/>
      <c r="AD32" s="30"/>
      <c r="AE32" s="10"/>
    </row>
    <row r="33" spans="1:31" x14ac:dyDescent="0.3">
      <c r="A33" s="30">
        <v>42705</v>
      </c>
      <c r="B33">
        <v>12</v>
      </c>
      <c r="C33" s="10">
        <f>Decomposition!I22</f>
        <v>174169.41747995917</v>
      </c>
      <c r="D33" s="34">
        <f>Decomposition!H22</f>
        <v>1.3918574426414096</v>
      </c>
      <c r="E33">
        <f>Data!C13</f>
        <v>242419</v>
      </c>
      <c r="F33" s="1">
        <f t="shared" si="0"/>
        <v>242419</v>
      </c>
      <c r="G33" s="1">
        <v>242419</v>
      </c>
      <c r="H33" s="1"/>
      <c r="J33">
        <v>12</v>
      </c>
      <c r="L33" s="2">
        <f>Decomposition!C22</f>
        <v>242419</v>
      </c>
      <c r="M33" s="9">
        <f t="shared" si="1"/>
        <v>192068.2</v>
      </c>
      <c r="N33">
        <f t="shared" si="2"/>
        <v>52259539.060053274</v>
      </c>
      <c r="O33" s="1">
        <f t="shared" si="3"/>
        <v>24854931.967058811</v>
      </c>
      <c r="P33" s="1">
        <f t="shared" si="4"/>
        <v>50350.799999999988</v>
      </c>
      <c r="Q33" s="39">
        <f t="shared" si="5"/>
        <v>0.20770154154583589</v>
      </c>
      <c r="R33" s="39">
        <f t="shared" si="6"/>
        <v>0.20770154154583589</v>
      </c>
      <c r="S33" s="34"/>
      <c r="AD33" s="30"/>
      <c r="AE33" s="10"/>
    </row>
    <row r="34" spans="1:31" x14ac:dyDescent="0.3">
      <c r="A34" s="30">
        <v>42736</v>
      </c>
      <c r="B34">
        <v>13</v>
      </c>
      <c r="C34" s="10">
        <f>Decomposition!I23</f>
        <v>162232.78431473341</v>
      </c>
      <c r="D34" s="34">
        <f>Decomposition!H23</f>
        <v>1.5205003171334823</v>
      </c>
      <c r="E34">
        <f>Data!C14</f>
        <v>246675</v>
      </c>
      <c r="F34" s="1">
        <f t="shared" si="0"/>
        <v>246674.99999999997</v>
      </c>
      <c r="G34" s="1">
        <v>246674.99999999997</v>
      </c>
      <c r="H34" s="1"/>
      <c r="J34">
        <v>13</v>
      </c>
      <c r="L34" s="2">
        <f>Decomposition!C23</f>
        <v>246675</v>
      </c>
      <c r="M34" s="9">
        <f t="shared" si="1"/>
        <v>191494.55</v>
      </c>
      <c r="N34">
        <f t="shared" si="2"/>
        <v>58529886.188080959</v>
      </c>
      <c r="O34" s="1">
        <f t="shared" si="3"/>
        <v>29851784.923553932</v>
      </c>
      <c r="P34" s="1">
        <f t="shared" si="4"/>
        <v>55180.450000000012</v>
      </c>
      <c r="Q34" s="39">
        <f t="shared" si="5"/>
        <v>0.22369696969696976</v>
      </c>
      <c r="R34" s="39">
        <f t="shared" si="6"/>
        <v>0.22369696969696976</v>
      </c>
      <c r="S34" s="34"/>
      <c r="AD34" s="30"/>
      <c r="AE34" s="10"/>
    </row>
    <row r="35" spans="1:31" x14ac:dyDescent="0.3">
      <c r="A35" s="30">
        <v>42767</v>
      </c>
      <c r="B35">
        <v>14</v>
      </c>
      <c r="C35" s="10">
        <f>Decomposition!I24</f>
        <v>183393.04052242285</v>
      </c>
      <c r="D35" s="34">
        <f>Decomposition!H24</f>
        <v>1.1359864006100491</v>
      </c>
      <c r="E35">
        <f>Data!C15</f>
        <v>208332</v>
      </c>
      <c r="F35" s="1">
        <f t="shared" si="0"/>
        <v>208332</v>
      </c>
      <c r="G35" s="1">
        <v>208332</v>
      </c>
      <c r="H35" s="1"/>
      <c r="J35">
        <v>14</v>
      </c>
      <c r="L35" s="2">
        <f>Decomposition!C24</f>
        <v>208332</v>
      </c>
      <c r="M35" s="9">
        <f t="shared" si="1"/>
        <v>190920.9</v>
      </c>
      <c r="N35">
        <f t="shared" si="2"/>
        <v>14853007.82129894</v>
      </c>
      <c r="O35" s="1">
        <f t="shared" si="3"/>
        <v>2972023.5608823551</v>
      </c>
      <c r="P35" s="1">
        <f t="shared" si="4"/>
        <v>17411.100000000006</v>
      </c>
      <c r="Q35" s="39">
        <f t="shared" si="5"/>
        <v>8.3573814872415206E-2</v>
      </c>
      <c r="R35" s="39">
        <f t="shared" si="6"/>
        <v>8.3573814872415206E-2</v>
      </c>
      <c r="S35" s="34"/>
      <c r="AD35" s="30"/>
      <c r="AE35" s="10"/>
    </row>
    <row r="36" spans="1:31" x14ac:dyDescent="0.3">
      <c r="A36" s="30">
        <v>42795</v>
      </c>
      <c r="B36">
        <v>15</v>
      </c>
      <c r="C36" s="10">
        <f>Decomposition!I25</f>
        <v>189075.9818333757</v>
      </c>
      <c r="D36" s="34">
        <f>Decomposition!H25</f>
        <v>1.1421704539411746</v>
      </c>
      <c r="E36">
        <f>Data!C16</f>
        <v>215957</v>
      </c>
      <c r="F36" s="1">
        <f t="shared" si="0"/>
        <v>215957</v>
      </c>
      <c r="G36" s="1">
        <v>215957</v>
      </c>
      <c r="H36" s="1"/>
      <c r="J36">
        <v>15</v>
      </c>
      <c r="L36" s="2">
        <f>Decomposition!C25</f>
        <v>215957</v>
      </c>
      <c r="M36" s="9">
        <f t="shared" si="1"/>
        <v>190347.25</v>
      </c>
      <c r="N36">
        <f t="shared" si="2"/>
        <v>21242397.23883066</v>
      </c>
      <c r="O36" s="1">
        <f t="shared" si="3"/>
        <v>6429993.0888480395</v>
      </c>
      <c r="P36" s="1">
        <f t="shared" si="4"/>
        <v>25609.75</v>
      </c>
      <c r="Q36" s="39">
        <f t="shared" si="5"/>
        <v>0.11858726505739568</v>
      </c>
      <c r="R36" s="39">
        <f t="shared" si="6"/>
        <v>0.11858726505739568</v>
      </c>
      <c r="S36" s="34"/>
      <c r="AD36" s="30"/>
      <c r="AE36" s="10"/>
    </row>
    <row r="37" spans="1:31" x14ac:dyDescent="0.3">
      <c r="A37" s="30">
        <v>42826</v>
      </c>
      <c r="B37">
        <v>16</v>
      </c>
      <c r="C37" s="10">
        <f>Decomposition!I26</f>
        <v>224907.33008321153</v>
      </c>
      <c r="D37" s="34">
        <f>Decomposition!H26</f>
        <v>0.89114925656645383</v>
      </c>
      <c r="E37">
        <f>Data!C17</f>
        <v>200426</v>
      </c>
      <c r="F37" s="1">
        <f t="shared" si="0"/>
        <v>200426</v>
      </c>
      <c r="G37" s="1">
        <v>200426</v>
      </c>
      <c r="H37" s="1"/>
      <c r="J37">
        <v>16</v>
      </c>
      <c r="L37" s="2">
        <f>Decomposition!C26</f>
        <v>200426</v>
      </c>
      <c r="M37" s="9">
        <f t="shared" si="1"/>
        <v>189773.6</v>
      </c>
      <c r="N37">
        <f t="shared" si="2"/>
        <v>9431958.4568237383</v>
      </c>
      <c r="O37" s="1">
        <f t="shared" si="3"/>
        <v>1112486.5270588223</v>
      </c>
      <c r="P37" s="1">
        <f t="shared" si="4"/>
        <v>10652.399999999994</v>
      </c>
      <c r="Q37" s="39">
        <f t="shared" si="5"/>
        <v>5.3148793070759252E-2</v>
      </c>
      <c r="R37" s="39">
        <f t="shared" si="6"/>
        <v>5.3148793070759252E-2</v>
      </c>
      <c r="S37" s="34"/>
      <c r="AD37" s="30"/>
      <c r="AE37" s="10"/>
    </row>
    <row r="38" spans="1:31" x14ac:dyDescent="0.3">
      <c r="A38" s="30">
        <v>42856</v>
      </c>
      <c r="B38">
        <v>17</v>
      </c>
      <c r="C38" s="10">
        <f>Decomposition!I27</f>
        <v>246764.21425008914</v>
      </c>
      <c r="D38" s="34">
        <f>Decomposition!H27</f>
        <v>0.72718404710878848</v>
      </c>
      <c r="E38">
        <f>Data!C18</f>
        <v>179443</v>
      </c>
      <c r="F38" s="1">
        <f t="shared" si="0"/>
        <v>179443</v>
      </c>
      <c r="G38" s="1">
        <v>179443</v>
      </c>
      <c r="H38" s="1"/>
      <c r="J38">
        <v>17</v>
      </c>
      <c r="L38" s="2">
        <f>Decomposition!C27</f>
        <v>179443</v>
      </c>
      <c r="M38" s="9">
        <f t="shared" si="1"/>
        <v>189199.95</v>
      </c>
      <c r="N38">
        <f t="shared" si="2"/>
        <v>987087.51680066658</v>
      </c>
      <c r="O38" s="1">
        <f t="shared" si="3"/>
        <v>933314.44414215919</v>
      </c>
      <c r="P38" s="1">
        <f t="shared" si="4"/>
        <v>9756.9500000000116</v>
      </c>
      <c r="Q38" s="39">
        <f t="shared" si="5"/>
        <v>5.4373533656927334E-2</v>
      </c>
      <c r="R38" s="39">
        <f t="shared" si="6"/>
        <v>5.4373533656927334E-2</v>
      </c>
      <c r="S38" s="34"/>
      <c r="AD38" s="30"/>
      <c r="AE38" s="10"/>
    </row>
    <row r="39" spans="1:31" x14ac:dyDescent="0.3">
      <c r="A39" s="30">
        <v>42887</v>
      </c>
      <c r="B39">
        <v>18</v>
      </c>
      <c r="C39" s="10">
        <f>Decomposition!I28</f>
        <v>248978.98894420348</v>
      </c>
      <c r="D39" s="34">
        <f>Decomposition!H28</f>
        <v>0.67381589390901009</v>
      </c>
      <c r="E39">
        <f>Data!C19</f>
        <v>167766</v>
      </c>
      <c r="F39" s="1">
        <f t="shared" si="0"/>
        <v>167766</v>
      </c>
      <c r="G39" s="1">
        <v>167766</v>
      </c>
      <c r="H39" s="1"/>
      <c r="J39">
        <v>18</v>
      </c>
      <c r="L39" s="2">
        <f>Decomposition!C28</f>
        <v>167766</v>
      </c>
      <c r="M39" s="9">
        <f t="shared" si="1"/>
        <v>188626.3</v>
      </c>
      <c r="N39">
        <f t="shared" si="2"/>
        <v>26462.343790284001</v>
      </c>
      <c r="O39" s="1">
        <f t="shared" si="3"/>
        <v>4266197.2165686227</v>
      </c>
      <c r="P39" s="1">
        <f t="shared" si="4"/>
        <v>20860.299999999988</v>
      </c>
      <c r="Q39" s="39">
        <f t="shared" si="5"/>
        <v>0.1243416425258991</v>
      </c>
      <c r="R39" s="39">
        <f t="shared" si="6"/>
        <v>0.1243416425258991</v>
      </c>
      <c r="S39" s="34"/>
      <c r="AD39" s="30"/>
      <c r="AE39" s="10"/>
    </row>
    <row r="40" spans="1:31" x14ac:dyDescent="0.3">
      <c r="A40" s="30">
        <v>42917</v>
      </c>
      <c r="B40">
        <v>19</v>
      </c>
      <c r="C40" s="10">
        <f>Decomposition!I29</f>
        <v>247025.0044440605</v>
      </c>
      <c r="D40" s="34">
        <f>Decomposition!H29</f>
        <v>0.85601050985057181</v>
      </c>
      <c r="E40">
        <f>Data!C20</f>
        <v>211456</v>
      </c>
      <c r="F40" s="1">
        <f t="shared" si="0"/>
        <v>211456</v>
      </c>
      <c r="G40" s="1">
        <v>211456</v>
      </c>
      <c r="H40" s="1"/>
      <c r="J40">
        <v>19</v>
      </c>
      <c r="L40" s="2">
        <f>Decomposition!C29</f>
        <v>211456</v>
      </c>
      <c r="M40" s="9">
        <f t="shared" si="1"/>
        <v>188052.65</v>
      </c>
      <c r="N40">
        <f t="shared" si="2"/>
        <v>17332917.932025585</v>
      </c>
      <c r="O40" s="1">
        <f t="shared" si="3"/>
        <v>5369772.4629656896</v>
      </c>
      <c r="P40" s="1">
        <f t="shared" si="4"/>
        <v>23403.350000000006</v>
      </c>
      <c r="Q40" s="39">
        <f t="shared" si="5"/>
        <v>0.11067716215193707</v>
      </c>
      <c r="R40" s="39">
        <f t="shared" si="6"/>
        <v>0.11067716215193707</v>
      </c>
      <c r="S40" s="34"/>
      <c r="AD40" s="30"/>
      <c r="AE40" s="10"/>
    </row>
    <row r="41" spans="1:31" x14ac:dyDescent="0.3">
      <c r="A41" s="30">
        <v>42948</v>
      </c>
      <c r="B41">
        <v>20</v>
      </c>
      <c r="C41" s="10">
        <f>Decomposition!I30</f>
        <v>255668.2014948274</v>
      </c>
      <c r="D41" s="34">
        <f>Decomposition!H30</f>
        <v>0.756269253937361</v>
      </c>
      <c r="E41">
        <f>Data!C21</f>
        <v>193354</v>
      </c>
      <c r="F41" s="1">
        <f t="shared" si="0"/>
        <v>193354</v>
      </c>
      <c r="G41" s="1">
        <v>193354</v>
      </c>
      <c r="H41" s="1"/>
      <c r="J41">
        <v>20</v>
      </c>
      <c r="L41" s="2">
        <f>Decomposition!C30</f>
        <v>193354</v>
      </c>
      <c r="M41" s="9">
        <f t="shared" si="1"/>
        <v>187479</v>
      </c>
      <c r="N41">
        <f t="shared" si="2"/>
        <v>5621247.5548629528</v>
      </c>
      <c r="O41" s="1">
        <f t="shared" si="3"/>
        <v>338388.48039215687</v>
      </c>
      <c r="P41" s="1">
        <f t="shared" si="4"/>
        <v>5875</v>
      </c>
      <c r="Q41" s="39">
        <f t="shared" si="5"/>
        <v>3.0384683016643047E-2</v>
      </c>
      <c r="R41" s="39">
        <f t="shared" si="6"/>
        <v>3.0384683016643047E-2</v>
      </c>
      <c r="S41" s="34"/>
      <c r="AD41" s="30"/>
      <c r="AE41" s="10"/>
    </row>
    <row r="42" spans="1:31" x14ac:dyDescent="0.3">
      <c r="A42" s="30">
        <v>42979</v>
      </c>
      <c r="B42">
        <v>21</v>
      </c>
      <c r="C42" s="10">
        <f>Decomposition!I31</f>
        <v>243461.49476371284</v>
      </c>
      <c r="D42" s="34">
        <f>Decomposition!H31</f>
        <v>0.81803490195971706</v>
      </c>
      <c r="E42">
        <f>Data!C22</f>
        <v>199160</v>
      </c>
      <c r="F42" s="1">
        <f t="shared" si="0"/>
        <v>199160</v>
      </c>
      <c r="G42" s="1">
        <v>199160</v>
      </c>
      <c r="H42" s="1"/>
      <c r="J42">
        <v>21</v>
      </c>
      <c r="L42" s="2">
        <f>Decomposition!C31</f>
        <v>199160</v>
      </c>
      <c r="M42" s="9">
        <f t="shared" si="1"/>
        <v>186905.35</v>
      </c>
      <c r="N42">
        <f t="shared" si="2"/>
        <v>8677718.1488652602</v>
      </c>
      <c r="O42" s="1">
        <f t="shared" si="3"/>
        <v>1472318.1041421555</v>
      </c>
      <c r="P42" s="1">
        <f t="shared" si="4"/>
        <v>12254.649999999994</v>
      </c>
      <c r="Q42" s="39">
        <f t="shared" si="5"/>
        <v>6.1531683068889308E-2</v>
      </c>
      <c r="R42" s="39">
        <f t="shared" si="6"/>
        <v>6.1531683068889308E-2</v>
      </c>
      <c r="S42" s="34"/>
      <c r="AD42" s="30"/>
      <c r="AE42" s="10"/>
    </row>
    <row r="43" spans="1:31" x14ac:dyDescent="0.3">
      <c r="A43" s="30">
        <v>43009</v>
      </c>
      <c r="B43">
        <v>22</v>
      </c>
      <c r="C43" s="10">
        <f>Decomposition!I32</f>
        <v>244753.2428104172</v>
      </c>
      <c r="D43" s="34">
        <f>Decomposition!H32</f>
        <v>0.91618806527394414</v>
      </c>
      <c r="E43">
        <f>Data!C23</f>
        <v>224240</v>
      </c>
      <c r="F43" s="1">
        <f t="shared" si="0"/>
        <v>224240</v>
      </c>
      <c r="G43" s="1">
        <v>224240</v>
      </c>
      <c r="H43" s="1"/>
      <c r="J43">
        <v>22</v>
      </c>
      <c r="L43" s="2">
        <f>Decomposition!C32</f>
        <v>224240</v>
      </c>
      <c r="M43" s="9">
        <f t="shared" si="1"/>
        <v>186331.7</v>
      </c>
      <c r="N43">
        <f t="shared" si="2"/>
        <v>29474982.716339312</v>
      </c>
      <c r="O43" s="1">
        <f t="shared" si="3"/>
        <v>14088619.694999991</v>
      </c>
      <c r="P43" s="1">
        <f t="shared" si="4"/>
        <v>37908.299999999988</v>
      </c>
      <c r="Q43" s="39">
        <f t="shared" si="5"/>
        <v>0.16905235462004989</v>
      </c>
      <c r="R43" s="39">
        <f t="shared" si="6"/>
        <v>0.16905235462004989</v>
      </c>
      <c r="S43" s="34"/>
      <c r="AD43" s="30"/>
      <c r="AE43" s="10"/>
    </row>
    <row r="44" spans="1:31" x14ac:dyDescent="0.3">
      <c r="A44" s="30">
        <v>43040</v>
      </c>
      <c r="B44">
        <v>23</v>
      </c>
      <c r="C44" s="10">
        <f>Decomposition!I33</f>
        <v>208158.55451407499</v>
      </c>
      <c r="D44" s="34">
        <f>Decomposition!H33</f>
        <v>1.1708334570680377</v>
      </c>
      <c r="E44">
        <f>Data!C24</f>
        <v>243719</v>
      </c>
      <c r="F44" s="1">
        <f t="shared" si="0"/>
        <v>243719</v>
      </c>
      <c r="G44" s="1">
        <v>243719</v>
      </c>
      <c r="H44" s="1"/>
      <c r="J44">
        <v>23</v>
      </c>
      <c r="L44" s="2">
        <f>Decomposition!C33</f>
        <v>243719</v>
      </c>
      <c r="M44" s="9">
        <f t="shared" si="1"/>
        <v>185758.05</v>
      </c>
      <c r="N44">
        <f t="shared" si="2"/>
        <v>54137149.152325474</v>
      </c>
      <c r="O44" s="1">
        <f t="shared" si="3"/>
        <v>32935997.302965701</v>
      </c>
      <c r="P44" s="1">
        <f t="shared" si="4"/>
        <v>57960.950000000012</v>
      </c>
      <c r="Q44" s="39">
        <f t="shared" si="5"/>
        <v>0.23781875848825906</v>
      </c>
      <c r="R44" s="39">
        <f t="shared" si="6"/>
        <v>0.23781875848825906</v>
      </c>
      <c r="S44" s="34"/>
      <c r="AD44" s="30"/>
      <c r="AE44" s="10"/>
    </row>
    <row r="45" spans="1:31" x14ac:dyDescent="0.3">
      <c r="A45" s="30">
        <v>43070</v>
      </c>
      <c r="B45">
        <v>24</v>
      </c>
      <c r="C45" s="10">
        <f>Decomposition!I34</f>
        <v>183502.98829116684</v>
      </c>
      <c r="D45" s="34">
        <f>Decomposition!H34</f>
        <v>1.3918574426414096</v>
      </c>
      <c r="E45">
        <f>Data!C25</f>
        <v>255410</v>
      </c>
      <c r="F45" s="1">
        <f t="shared" si="0"/>
        <v>255410.00000000003</v>
      </c>
      <c r="G45" s="1">
        <v>255410.00000000003</v>
      </c>
      <c r="H45" s="1"/>
      <c r="J45">
        <v>24</v>
      </c>
      <c r="L45" s="2">
        <f>Decomposition!C34</f>
        <v>255410</v>
      </c>
      <c r="M45" s="9">
        <f t="shared" si="1"/>
        <v>185184.4</v>
      </c>
      <c r="N45">
        <f t="shared" si="2"/>
        <v>72511638.99661614</v>
      </c>
      <c r="O45" s="1">
        <f t="shared" si="3"/>
        <v>48349361.719215691</v>
      </c>
      <c r="P45" s="1">
        <f t="shared" si="4"/>
        <v>70225.600000000006</v>
      </c>
      <c r="Q45" s="39">
        <f t="shared" si="5"/>
        <v>0.2749524294271955</v>
      </c>
      <c r="R45" s="39">
        <f t="shared" si="6"/>
        <v>0.2749524294271955</v>
      </c>
      <c r="S45" s="34"/>
      <c r="AD45" s="30"/>
      <c r="AE45" s="10"/>
    </row>
    <row r="46" spans="1:31" x14ac:dyDescent="0.3">
      <c r="A46" s="30">
        <v>43101</v>
      </c>
      <c r="B46">
        <v>25</v>
      </c>
      <c r="C46" s="10">
        <f>Decomposition!I35</f>
        <v>181262.70471261247</v>
      </c>
      <c r="D46" s="34">
        <f>Decomposition!H35</f>
        <v>1.5205003171334823</v>
      </c>
      <c r="E46">
        <f>Data!C26</f>
        <v>275610</v>
      </c>
      <c r="F46" s="1">
        <f t="shared" si="0"/>
        <v>275610</v>
      </c>
      <c r="G46" s="1">
        <v>275610</v>
      </c>
      <c r="H46" s="1"/>
      <c r="J46">
        <v>25</v>
      </c>
      <c r="L46" s="2">
        <f>Decomposition!C35</f>
        <v>275610</v>
      </c>
      <c r="M46" s="9">
        <f t="shared" si="1"/>
        <v>184610.75</v>
      </c>
      <c r="N46">
        <f t="shared" si="2"/>
        <v>110575207.27804637</v>
      </c>
      <c r="O46" s="1">
        <f t="shared" si="3"/>
        <v>81184936.280024514</v>
      </c>
      <c r="P46" s="1">
        <f t="shared" si="4"/>
        <v>90999.25</v>
      </c>
      <c r="Q46" s="39">
        <f t="shared" si="5"/>
        <v>0.33017397772214363</v>
      </c>
      <c r="R46" s="39">
        <f t="shared" si="6"/>
        <v>0.33017397772214363</v>
      </c>
      <c r="S46" s="34"/>
      <c r="AD46" s="30"/>
      <c r="AE46" s="10"/>
    </row>
    <row r="47" spans="1:31" x14ac:dyDescent="0.3">
      <c r="A47" s="30">
        <v>43132</v>
      </c>
      <c r="B47">
        <v>26</v>
      </c>
      <c r="C47" s="10">
        <f>Decomposition!I36</f>
        <v>188990.81880267785</v>
      </c>
      <c r="D47" s="34">
        <f>Decomposition!H36</f>
        <v>1.1359864006100491</v>
      </c>
      <c r="E47">
        <f>Data!C27</f>
        <v>214691</v>
      </c>
      <c r="F47" s="1">
        <f t="shared" si="0"/>
        <v>214691</v>
      </c>
      <c r="G47" s="1">
        <v>214691</v>
      </c>
      <c r="H47" s="1"/>
      <c r="J47">
        <v>26</v>
      </c>
      <c r="L47" s="2">
        <f>Decomposition!C36</f>
        <v>214691</v>
      </c>
      <c r="M47" s="9">
        <f t="shared" si="1"/>
        <v>184037.1</v>
      </c>
      <c r="N47">
        <f t="shared" si="2"/>
        <v>20102622.695578065</v>
      </c>
      <c r="O47" s="1">
        <f t="shared" si="3"/>
        <v>9212368.482450977</v>
      </c>
      <c r="P47" s="1">
        <f t="shared" si="4"/>
        <v>30653.899999999994</v>
      </c>
      <c r="Q47" s="39">
        <f t="shared" si="5"/>
        <v>0.14278148594957402</v>
      </c>
      <c r="R47" s="39">
        <f t="shared" si="6"/>
        <v>0.14278148594957402</v>
      </c>
      <c r="S47" s="34"/>
      <c r="AD47" s="30"/>
      <c r="AE47" s="10"/>
    </row>
    <row r="48" spans="1:31" x14ac:dyDescent="0.3">
      <c r="A48" s="30">
        <v>43160</v>
      </c>
      <c r="B48">
        <v>27</v>
      </c>
      <c r="C48" s="10">
        <f>Decomposition!I37</f>
        <v>193419.46662838294</v>
      </c>
      <c r="D48" s="34">
        <f>Decomposition!H37</f>
        <v>1.1421704539411746</v>
      </c>
      <c r="E48">
        <f>Data!C28</f>
        <v>220918</v>
      </c>
      <c r="F48" s="1">
        <f t="shared" si="0"/>
        <v>220918</v>
      </c>
      <c r="G48" s="1">
        <v>220918</v>
      </c>
      <c r="H48" s="1"/>
      <c r="J48">
        <v>27</v>
      </c>
      <c r="L48" s="2">
        <f>Decomposition!C37</f>
        <v>220918</v>
      </c>
      <c r="M48" s="9">
        <f t="shared" si="1"/>
        <v>183463.45</v>
      </c>
      <c r="N48">
        <f t="shared" si="2"/>
        <v>26011629.125797216</v>
      </c>
      <c r="O48" s="1">
        <f t="shared" si="3"/>
        <v>13753365.84022058</v>
      </c>
      <c r="P48" s="1">
        <f t="shared" si="4"/>
        <v>37454.549999999988</v>
      </c>
      <c r="Q48" s="39">
        <f t="shared" si="5"/>
        <v>0.16954050824287739</v>
      </c>
      <c r="R48" s="39">
        <f t="shared" si="6"/>
        <v>0.16954050824287739</v>
      </c>
      <c r="S48" s="34"/>
      <c r="AD48" s="30"/>
      <c r="AE48" s="10"/>
    </row>
    <row r="49" spans="1:31" x14ac:dyDescent="0.3">
      <c r="A49" s="30">
        <v>43191</v>
      </c>
      <c r="B49">
        <v>28</v>
      </c>
      <c r="C49" s="10">
        <f>Decomposition!I38</f>
        <v>227622.92456098075</v>
      </c>
      <c r="D49" s="34">
        <f>Decomposition!H38</f>
        <v>0.89114925656645383</v>
      </c>
      <c r="E49">
        <f>Data!C29</f>
        <v>202846</v>
      </c>
      <c r="F49" s="1">
        <f t="shared" si="0"/>
        <v>202846</v>
      </c>
      <c r="G49" s="1">
        <v>202846</v>
      </c>
      <c r="H49" s="1"/>
      <c r="J49">
        <v>28</v>
      </c>
      <c r="L49" s="2">
        <f>Decomposition!C38</f>
        <v>202846</v>
      </c>
      <c r="M49" s="9">
        <f t="shared" si="1"/>
        <v>182889.8</v>
      </c>
      <c r="N49">
        <f t="shared" si="2"/>
        <v>10961165.388772989</v>
      </c>
      <c r="O49" s="1">
        <f t="shared" si="3"/>
        <v>3904410.9650980439</v>
      </c>
      <c r="P49" s="1">
        <f t="shared" si="4"/>
        <v>19956.200000000012</v>
      </c>
      <c r="Q49" s="39">
        <f t="shared" si="5"/>
        <v>9.8381037831655596E-2</v>
      </c>
      <c r="R49" s="39">
        <f t="shared" si="6"/>
        <v>9.8381037831655596E-2</v>
      </c>
      <c r="S49" s="34"/>
      <c r="AD49" s="30"/>
      <c r="AE49" s="10"/>
    </row>
    <row r="50" spans="1:31" x14ac:dyDescent="0.3">
      <c r="A50" s="30">
        <v>43221</v>
      </c>
      <c r="B50">
        <v>29</v>
      </c>
      <c r="C50" s="10">
        <f>Decomposition!I39</f>
        <v>253923.33719935975</v>
      </c>
      <c r="D50" s="34">
        <f>Decomposition!H39</f>
        <v>0.72718404710878848</v>
      </c>
      <c r="E50">
        <f>Data!C30</f>
        <v>184649</v>
      </c>
      <c r="F50" s="1">
        <f t="shared" si="0"/>
        <v>184649</v>
      </c>
      <c r="G50" s="1">
        <v>184649</v>
      </c>
      <c r="H50" s="1"/>
      <c r="J50">
        <v>29</v>
      </c>
      <c r="L50" s="2">
        <f>Decomposition!C39</f>
        <v>184649</v>
      </c>
      <c r="M50" s="9">
        <f t="shared" si="1"/>
        <v>182316.15</v>
      </c>
      <c r="N50">
        <f t="shared" si="2"/>
        <v>2277061.6609759848</v>
      </c>
      <c r="O50" s="1">
        <f t="shared" si="3"/>
        <v>53354.795318627723</v>
      </c>
      <c r="P50" s="1">
        <f t="shared" si="4"/>
        <v>2332.8500000000058</v>
      </c>
      <c r="Q50" s="39">
        <f t="shared" si="5"/>
        <v>1.2633970397890082E-2</v>
      </c>
      <c r="R50" s="39">
        <f t="shared" si="6"/>
        <v>1.2633970397890082E-2</v>
      </c>
      <c r="S50" s="34"/>
      <c r="AD50" s="30"/>
      <c r="AE50" s="10"/>
    </row>
    <row r="51" spans="1:31" x14ac:dyDescent="0.3">
      <c r="A51" s="30">
        <v>43252</v>
      </c>
      <c r="B51">
        <v>30</v>
      </c>
      <c r="C51" s="10">
        <f>Decomposition!I40</f>
        <v>248468.46373530055</v>
      </c>
      <c r="D51" s="34">
        <f>Decomposition!H40</f>
        <v>0.67381589390901009</v>
      </c>
      <c r="E51">
        <f>Data!C31</f>
        <v>167422</v>
      </c>
      <c r="F51" s="1">
        <f t="shared" si="0"/>
        <v>167422</v>
      </c>
      <c r="G51" s="1">
        <v>167422</v>
      </c>
      <c r="H51" s="1"/>
      <c r="J51">
        <v>30</v>
      </c>
      <c r="L51" s="2">
        <f>Decomposition!C40</f>
        <v>167422</v>
      </c>
      <c r="M51" s="9">
        <f t="shared" si="1"/>
        <v>181742.5</v>
      </c>
      <c r="N51">
        <f t="shared" si="2"/>
        <v>38704.101575751069</v>
      </c>
      <c r="O51" s="1">
        <f t="shared" si="3"/>
        <v>2010556.080882353</v>
      </c>
      <c r="P51" s="1">
        <f t="shared" si="4"/>
        <v>14320.5</v>
      </c>
      <c r="Q51" s="39">
        <f t="shared" si="5"/>
        <v>8.5535353776684073E-2</v>
      </c>
      <c r="R51" s="39">
        <f t="shared" si="6"/>
        <v>8.5535353776684073E-2</v>
      </c>
      <c r="S51" s="34"/>
      <c r="AD51" s="30"/>
      <c r="AE51" s="10"/>
    </row>
    <row r="52" spans="1:31" x14ac:dyDescent="0.3">
      <c r="A52" s="30">
        <v>43282</v>
      </c>
      <c r="B52">
        <v>31</v>
      </c>
      <c r="C52" s="10">
        <f>Decomposition!I41</f>
        <v>251701.34889770369</v>
      </c>
      <c r="D52" s="34">
        <f>Decomposition!H41</f>
        <v>0.85601050985057181</v>
      </c>
      <c r="E52">
        <f>Data!C32</f>
        <v>215459</v>
      </c>
      <c r="F52" s="1">
        <f t="shared" si="0"/>
        <v>215459</v>
      </c>
      <c r="G52" s="1">
        <v>215459</v>
      </c>
      <c r="H52" s="1"/>
      <c r="J52">
        <v>31</v>
      </c>
      <c r="L52" s="2">
        <f>Decomposition!C41</f>
        <v>215459</v>
      </c>
      <c r="M52" s="9">
        <f t="shared" si="1"/>
        <v>181168.85</v>
      </c>
      <c r="N52">
        <f t="shared" si="2"/>
        <v>20790300.259591907</v>
      </c>
      <c r="O52" s="1">
        <f t="shared" si="3"/>
        <v>11527592.029632349</v>
      </c>
      <c r="P52" s="1">
        <f t="shared" si="4"/>
        <v>34290.149999999994</v>
      </c>
      <c r="Q52" s="39">
        <f t="shared" si="5"/>
        <v>0.15914930450805023</v>
      </c>
      <c r="R52" s="39">
        <f t="shared" si="6"/>
        <v>0.15914930450805023</v>
      </c>
      <c r="S52" s="34"/>
      <c r="AD52" s="30"/>
      <c r="AE52" s="10"/>
    </row>
    <row r="53" spans="1:31" x14ac:dyDescent="0.3">
      <c r="A53" s="30">
        <v>43313</v>
      </c>
      <c r="B53">
        <v>32</v>
      </c>
      <c r="C53" s="10">
        <f>Decomposition!I42</f>
        <v>269253.31016678584</v>
      </c>
      <c r="D53" s="34">
        <f>Decomposition!H42</f>
        <v>0.756269253937361</v>
      </c>
      <c r="E53">
        <f>Data!C33</f>
        <v>203628</v>
      </c>
      <c r="F53" s="1">
        <f t="shared" si="0"/>
        <v>203628</v>
      </c>
      <c r="G53" s="1">
        <v>203628</v>
      </c>
      <c r="H53" s="1"/>
      <c r="J53">
        <v>32</v>
      </c>
      <c r="L53" s="2">
        <f>Decomposition!C42</f>
        <v>203628</v>
      </c>
      <c r="M53" s="9">
        <f t="shared" si="1"/>
        <v>180595.20000000001</v>
      </c>
      <c r="N53">
        <f t="shared" si="2"/>
        <v>11479862.741714165</v>
      </c>
      <c r="O53" s="1">
        <f t="shared" si="3"/>
        <v>5201077.2141176416</v>
      </c>
      <c r="P53" s="1">
        <f t="shared" si="4"/>
        <v>23032.799999999988</v>
      </c>
      <c r="Q53" s="39">
        <f t="shared" si="5"/>
        <v>0.11311214567741169</v>
      </c>
      <c r="R53" s="39">
        <f t="shared" si="6"/>
        <v>0.11311214567741169</v>
      </c>
      <c r="S53" s="34"/>
      <c r="AD53" s="30"/>
      <c r="AE53" s="10"/>
    </row>
    <row r="54" spans="1:31" x14ac:dyDescent="0.3">
      <c r="A54" s="30">
        <v>43344</v>
      </c>
      <c r="B54">
        <v>33</v>
      </c>
      <c r="C54" s="10">
        <f>Decomposition!I43</f>
        <v>264208.77578967053</v>
      </c>
      <c r="D54" s="34">
        <f>Decomposition!H43</f>
        <v>0.81803490195971706</v>
      </c>
      <c r="E54">
        <f>Data!C34</f>
        <v>216132</v>
      </c>
      <c r="F54" s="1">
        <f t="shared" ref="F54:F85" si="7">C54*D54</f>
        <v>216132</v>
      </c>
      <c r="G54" s="1">
        <v>216132</v>
      </c>
      <c r="H54" s="1"/>
      <c r="J54">
        <v>33</v>
      </c>
      <c r="L54" s="2">
        <f>Decomposition!C43</f>
        <v>216132</v>
      </c>
      <c r="M54" s="9">
        <f t="shared" si="1"/>
        <v>180021.55</v>
      </c>
      <c r="N54">
        <f t="shared" si="2"/>
        <v>21402421.316108633</v>
      </c>
      <c r="O54" s="1">
        <f t="shared" si="3"/>
        <v>12783966.658848047</v>
      </c>
      <c r="P54" s="1">
        <f t="shared" si="4"/>
        <v>36110.450000000012</v>
      </c>
      <c r="Q54" s="39">
        <f t="shared" si="5"/>
        <v>0.16707590731589961</v>
      </c>
      <c r="R54" s="39">
        <f t="shared" si="6"/>
        <v>0.16707590731589961</v>
      </c>
      <c r="S54" s="34"/>
      <c r="AD54" s="30"/>
      <c r="AE54" s="10"/>
    </row>
    <row r="55" spans="1:31" x14ac:dyDescent="0.3">
      <c r="A55" s="30">
        <v>43374</v>
      </c>
      <c r="B55">
        <v>34</v>
      </c>
      <c r="C55" s="10">
        <f>Decomposition!I44</f>
        <v>248358.39782737583</v>
      </c>
      <c r="D55" s="34">
        <f>Decomposition!H44</f>
        <v>0.91618806527394414</v>
      </c>
      <c r="E55">
        <f>Data!C35</f>
        <v>227543</v>
      </c>
      <c r="F55" s="1">
        <f t="shared" si="7"/>
        <v>227543</v>
      </c>
      <c r="G55" s="1">
        <v>227543</v>
      </c>
      <c r="H55" s="1"/>
      <c r="J55">
        <v>34</v>
      </c>
      <c r="L55" s="2">
        <f>Decomposition!C44</f>
        <v>227543</v>
      </c>
      <c r="M55" s="9">
        <f t="shared" si="1"/>
        <v>179447.9</v>
      </c>
      <c r="N55">
        <f t="shared" si="2"/>
        <v>33133060.930872187</v>
      </c>
      <c r="O55" s="1">
        <f t="shared" si="3"/>
        <v>22677829.843235303</v>
      </c>
      <c r="P55" s="1">
        <f t="shared" si="4"/>
        <v>48095.100000000006</v>
      </c>
      <c r="Q55" s="39">
        <f t="shared" si="5"/>
        <v>0.21136708226576958</v>
      </c>
      <c r="R55" s="39">
        <f t="shared" si="6"/>
        <v>0.21136708226576958</v>
      </c>
      <c r="S55" s="34"/>
      <c r="AD55" s="30"/>
      <c r="AE55" s="10"/>
    </row>
    <row r="56" spans="1:31" x14ac:dyDescent="0.3">
      <c r="A56" s="30">
        <v>43405</v>
      </c>
      <c r="B56">
        <v>35</v>
      </c>
      <c r="C56" s="10">
        <f>Decomposition!I45</f>
        <v>223141.04403391507</v>
      </c>
      <c r="D56" s="34">
        <f>Decomposition!H45</f>
        <v>1.1708334570680377</v>
      </c>
      <c r="E56">
        <f>Data!C36</f>
        <v>261261</v>
      </c>
      <c r="F56" s="1">
        <f t="shared" si="7"/>
        <v>261261</v>
      </c>
      <c r="G56" s="1">
        <v>261261</v>
      </c>
      <c r="H56" s="1"/>
      <c r="J56">
        <v>35</v>
      </c>
      <c r="L56" s="2">
        <f>Decomposition!C45</f>
        <v>261261</v>
      </c>
      <c r="M56" s="9">
        <f t="shared" si="1"/>
        <v>178874.25</v>
      </c>
      <c r="N56">
        <f t="shared" si="2"/>
        <v>82713785.42337507</v>
      </c>
      <c r="O56" s="1">
        <f t="shared" si="3"/>
        <v>66544868.387867644</v>
      </c>
      <c r="P56" s="1">
        <f t="shared" si="4"/>
        <v>82386.75</v>
      </c>
      <c r="Q56" s="39">
        <f t="shared" si="5"/>
        <v>0.31534270327373776</v>
      </c>
      <c r="R56" s="39">
        <f t="shared" si="6"/>
        <v>0.31534270327373776</v>
      </c>
      <c r="S56" s="34"/>
      <c r="AD56" s="30"/>
      <c r="AE56" s="10"/>
    </row>
    <row r="57" spans="1:31" x14ac:dyDescent="0.3">
      <c r="A57" s="30">
        <v>43435</v>
      </c>
      <c r="B57">
        <v>36</v>
      </c>
      <c r="C57" s="10">
        <f>Decomposition!I46</f>
        <v>210786.67326966047</v>
      </c>
      <c r="D57" s="34">
        <f>Decomposition!H46</f>
        <v>1.3918574426414096</v>
      </c>
      <c r="E57">
        <f>Data!C37</f>
        <v>293385</v>
      </c>
      <c r="F57" s="1">
        <f t="shared" si="7"/>
        <v>293385</v>
      </c>
      <c r="G57" s="1">
        <v>293385</v>
      </c>
      <c r="H57" s="1"/>
      <c r="J57">
        <v>36</v>
      </c>
      <c r="L57" s="2">
        <f>Decomposition!C46</f>
        <v>293385</v>
      </c>
      <c r="M57" s="9">
        <f t="shared" si="1"/>
        <v>178300.6</v>
      </c>
      <c r="N57">
        <f t="shared" si="2"/>
        <v>150686965.23652387</v>
      </c>
      <c r="O57" s="1">
        <f t="shared" si="3"/>
        <v>129847246.30745097</v>
      </c>
      <c r="P57" s="1">
        <f t="shared" si="4"/>
        <v>115084.4</v>
      </c>
      <c r="Q57" s="39">
        <f t="shared" si="5"/>
        <v>0.39226408984781086</v>
      </c>
      <c r="R57" s="39">
        <f t="shared" si="6"/>
        <v>0.39226408984781086</v>
      </c>
      <c r="S57" s="34"/>
      <c r="AD57" s="30"/>
      <c r="AE57" s="10"/>
    </row>
    <row r="58" spans="1:31" x14ac:dyDescent="0.3">
      <c r="A58" s="30">
        <v>43466</v>
      </c>
      <c r="B58">
        <v>37</v>
      </c>
      <c r="C58" s="10">
        <f>Decomposition!I47</f>
        <v>211314.65503784781</v>
      </c>
      <c r="D58" s="34">
        <f>Decomposition!H47</f>
        <v>1.5205003171334823</v>
      </c>
      <c r="E58">
        <f>Data!C38</f>
        <v>321304</v>
      </c>
      <c r="F58" s="1">
        <f t="shared" si="7"/>
        <v>321304</v>
      </c>
      <c r="G58" s="1">
        <v>321304</v>
      </c>
      <c r="H58" s="1"/>
      <c r="J58">
        <v>37</v>
      </c>
      <c r="L58" s="2">
        <f>Decomposition!C47</f>
        <v>321304</v>
      </c>
      <c r="M58" s="9">
        <f t="shared" si="1"/>
        <v>177726.95</v>
      </c>
      <c r="N58">
        <f t="shared" si="2"/>
        <v>226197233.62752736</v>
      </c>
      <c r="O58" s="1">
        <f t="shared" si="3"/>
        <v>202101659.67355388</v>
      </c>
      <c r="P58" s="1">
        <f t="shared" si="4"/>
        <v>143577.04999999999</v>
      </c>
      <c r="Q58" s="39">
        <f t="shared" si="5"/>
        <v>0.44685733759928287</v>
      </c>
      <c r="R58" s="39">
        <f t="shared" si="6"/>
        <v>0.44685733759928287</v>
      </c>
      <c r="S58" s="34"/>
      <c r="AD58" s="30"/>
      <c r="AE58" s="10"/>
    </row>
    <row r="59" spans="1:31" x14ac:dyDescent="0.3">
      <c r="A59" s="30">
        <v>43497</v>
      </c>
      <c r="B59">
        <v>38</v>
      </c>
      <c r="C59" s="10">
        <f>Decomposition!I48</f>
        <v>209186.48310612343</v>
      </c>
      <c r="D59" s="34">
        <f>Decomposition!H48</f>
        <v>1.1359864006100491</v>
      </c>
      <c r="E59">
        <f>Data!C39</f>
        <v>237633</v>
      </c>
      <c r="F59" s="1">
        <f t="shared" si="7"/>
        <v>237633</v>
      </c>
      <c r="G59" s="1">
        <v>237633</v>
      </c>
      <c r="H59" s="1"/>
      <c r="J59">
        <v>38</v>
      </c>
      <c r="L59" s="2">
        <f>Decomposition!C48</f>
        <v>237633</v>
      </c>
      <c r="M59" s="9">
        <f t="shared" si="1"/>
        <v>177153.3</v>
      </c>
      <c r="N59">
        <f t="shared" si="2"/>
        <v>45632609.956247039</v>
      </c>
      <c r="O59" s="1">
        <f t="shared" si="3"/>
        <v>35860726.589117661</v>
      </c>
      <c r="P59" s="1">
        <f t="shared" si="4"/>
        <v>60479.700000000012</v>
      </c>
      <c r="Q59" s="39">
        <f t="shared" si="5"/>
        <v>0.25450884346871022</v>
      </c>
      <c r="R59" s="39">
        <f t="shared" si="6"/>
        <v>0.25450884346871022</v>
      </c>
      <c r="S59" s="34"/>
      <c r="AD59" s="30"/>
      <c r="AE59" s="10"/>
    </row>
    <row r="60" spans="1:31" x14ac:dyDescent="0.3">
      <c r="A60" s="30">
        <v>43525</v>
      </c>
      <c r="B60">
        <v>39</v>
      </c>
      <c r="C60" s="10">
        <f>Decomposition!I49</f>
        <v>229267.00572267364</v>
      </c>
      <c r="D60" s="34">
        <f>Decomposition!H49</f>
        <v>1.1421704539411746</v>
      </c>
      <c r="E60">
        <f>Data!C40</f>
        <v>261862</v>
      </c>
      <c r="F60" s="1">
        <f t="shared" si="7"/>
        <v>261862.00000000003</v>
      </c>
      <c r="G60" s="1">
        <v>261862.00000000003</v>
      </c>
      <c r="H60" s="1"/>
      <c r="J60">
        <v>39</v>
      </c>
      <c r="L60" s="2">
        <f>Decomposition!C49</f>
        <v>261862</v>
      </c>
      <c r="M60" s="9">
        <f t="shared" si="1"/>
        <v>176579.65</v>
      </c>
      <c r="N60">
        <f t="shared" si="2"/>
        <v>83799740.433755696</v>
      </c>
      <c r="O60" s="1">
        <f t="shared" si="3"/>
        <v>71304698.250220597</v>
      </c>
      <c r="P60" s="1">
        <f t="shared" si="4"/>
        <v>85282.35</v>
      </c>
      <c r="Q60" s="39">
        <f t="shared" si="5"/>
        <v>0.32567669230357976</v>
      </c>
      <c r="R60" s="39">
        <f t="shared" si="6"/>
        <v>0.32567669230357976</v>
      </c>
      <c r="S60" s="34"/>
      <c r="AD60" s="30"/>
      <c r="AE60" s="10"/>
    </row>
    <row r="61" spans="1:31" x14ac:dyDescent="0.3">
      <c r="A61" s="30">
        <v>43556</v>
      </c>
      <c r="B61">
        <v>40</v>
      </c>
      <c r="C61" s="10">
        <f>Decomposition!I50</f>
        <v>268971.77799769148</v>
      </c>
      <c r="D61" s="34">
        <f>Decomposition!H50</f>
        <v>0.89114925656645383</v>
      </c>
      <c r="E61">
        <f>Data!C41</f>
        <v>239694</v>
      </c>
      <c r="F61" s="1">
        <f t="shared" si="7"/>
        <v>239694.00000000003</v>
      </c>
      <c r="G61" s="1">
        <v>239694.00000000003</v>
      </c>
      <c r="H61" s="1"/>
      <c r="J61">
        <v>40</v>
      </c>
      <c r="L61" s="2">
        <f>Decomposition!C50</f>
        <v>239694</v>
      </c>
      <c r="M61" s="9">
        <f t="shared" si="1"/>
        <v>176006</v>
      </c>
      <c r="N61">
        <f t="shared" si="2"/>
        <v>48431310.080814518</v>
      </c>
      <c r="O61" s="1">
        <f t="shared" si="3"/>
        <v>39766287.686274506</v>
      </c>
      <c r="P61" s="1">
        <f t="shared" si="4"/>
        <v>63688</v>
      </c>
      <c r="Q61" s="39">
        <f t="shared" si="5"/>
        <v>0.26570544110407435</v>
      </c>
      <c r="R61" s="39">
        <f t="shared" si="6"/>
        <v>0.26570544110407435</v>
      </c>
      <c r="S61" s="34"/>
      <c r="AD61" s="30"/>
      <c r="AE61" s="10"/>
    </row>
    <row r="62" spans="1:31" x14ac:dyDescent="0.3">
      <c r="A62" s="30">
        <v>43586</v>
      </c>
      <c r="B62">
        <v>41</v>
      </c>
      <c r="C62" s="10">
        <f>Decomposition!I51</f>
        <v>288418.04331912613</v>
      </c>
      <c r="D62" s="34">
        <f>Decomposition!H51</f>
        <v>0.72718404710878848</v>
      </c>
      <c r="E62">
        <f>Data!C42</f>
        <v>209733</v>
      </c>
      <c r="F62" s="1">
        <f t="shared" si="7"/>
        <v>209733</v>
      </c>
      <c r="G62" s="1">
        <v>209733</v>
      </c>
      <c r="H62" s="1"/>
      <c r="J62">
        <v>41</v>
      </c>
      <c r="L62" s="2">
        <f>Decomposition!C51</f>
        <v>209733</v>
      </c>
      <c r="M62" s="9">
        <f t="shared" si="1"/>
        <v>175432.35</v>
      </c>
      <c r="N62">
        <f t="shared" si="2"/>
        <v>15941491.098115552</v>
      </c>
      <c r="O62" s="1">
        <f t="shared" si="3"/>
        <v>11534652.847279409</v>
      </c>
      <c r="P62" s="1">
        <f t="shared" si="4"/>
        <v>34300.649999999994</v>
      </c>
      <c r="Q62" s="39">
        <f t="shared" si="5"/>
        <v>0.1635443635479395</v>
      </c>
      <c r="R62" s="39">
        <f t="shared" si="6"/>
        <v>0.1635443635479395</v>
      </c>
      <c r="S62" s="34"/>
      <c r="AD62" s="30"/>
      <c r="AE62" s="10"/>
    </row>
    <row r="63" spans="1:31" x14ac:dyDescent="0.3">
      <c r="A63" s="30">
        <v>43617</v>
      </c>
      <c r="B63">
        <v>42</v>
      </c>
      <c r="C63" s="10">
        <f>Decomposition!I52</f>
        <v>293235.88503342948</v>
      </c>
      <c r="D63" s="34">
        <f>Decomposition!H52</f>
        <v>0.67381589390901009</v>
      </c>
      <c r="E63">
        <f>Data!C43</f>
        <v>197587</v>
      </c>
      <c r="F63" s="1">
        <f t="shared" si="7"/>
        <v>197587</v>
      </c>
      <c r="G63" s="1">
        <v>197587</v>
      </c>
      <c r="H63" s="1"/>
      <c r="J63">
        <v>42</v>
      </c>
      <c r="L63" s="2">
        <f>Decomposition!C52</f>
        <v>197587</v>
      </c>
      <c r="M63" s="9">
        <f t="shared" si="1"/>
        <v>174858.7</v>
      </c>
      <c r="N63">
        <f t="shared" si="2"/>
        <v>7784359.3783923658</v>
      </c>
      <c r="O63" s="1">
        <f t="shared" si="3"/>
        <v>5064466.8714705827</v>
      </c>
      <c r="P63" s="1">
        <f t="shared" si="4"/>
        <v>22728.299999999988</v>
      </c>
      <c r="Q63" s="39">
        <f t="shared" si="5"/>
        <v>0.11502932885260664</v>
      </c>
      <c r="R63" s="39">
        <f t="shared" si="6"/>
        <v>0.11502932885260664</v>
      </c>
      <c r="S63" s="34"/>
      <c r="AD63" s="30"/>
      <c r="AE63" s="10"/>
    </row>
    <row r="64" spans="1:31" x14ac:dyDescent="0.3">
      <c r="A64" s="30">
        <v>43647</v>
      </c>
      <c r="B64">
        <v>43</v>
      </c>
      <c r="C64" s="10">
        <f>Decomposition!I53</f>
        <v>285074.77091910731</v>
      </c>
      <c r="D64" s="34">
        <f>Decomposition!H53</f>
        <v>0.85601050985057181</v>
      </c>
      <c r="E64">
        <f>Data!C44</f>
        <v>244027</v>
      </c>
      <c r="F64" s="1">
        <f t="shared" si="7"/>
        <v>244027</v>
      </c>
      <c r="G64" s="1">
        <v>244027</v>
      </c>
      <c r="H64" s="1"/>
      <c r="J64">
        <v>43</v>
      </c>
      <c r="L64" s="2">
        <f>Decomposition!C53</f>
        <v>244027</v>
      </c>
      <c r="M64" s="9">
        <f t="shared" si="1"/>
        <v>174285.05</v>
      </c>
      <c r="N64">
        <f t="shared" si="2"/>
        <v>54586853.842060193</v>
      </c>
      <c r="O64" s="1">
        <f t="shared" si="3"/>
        <v>47685682.252965704</v>
      </c>
      <c r="P64" s="1">
        <f t="shared" si="4"/>
        <v>69741.950000000012</v>
      </c>
      <c r="Q64" s="39">
        <f t="shared" si="5"/>
        <v>0.28579603896290168</v>
      </c>
      <c r="R64" s="39">
        <f t="shared" si="6"/>
        <v>0.28579603896290168</v>
      </c>
      <c r="S64" s="34"/>
      <c r="AD64" s="30"/>
      <c r="AE64" s="10"/>
    </row>
    <row r="65" spans="1:31" x14ac:dyDescent="0.3">
      <c r="A65" s="30">
        <v>43678</v>
      </c>
      <c r="B65">
        <v>44</v>
      </c>
      <c r="C65" s="10">
        <f>Decomposition!I54</f>
        <v>286470.72305539506</v>
      </c>
      <c r="D65" s="34">
        <f>Decomposition!H54</f>
        <v>0.756269253937361</v>
      </c>
      <c r="E65">
        <f>Data!C45</f>
        <v>216649</v>
      </c>
      <c r="F65" s="1">
        <f t="shared" si="7"/>
        <v>216649</v>
      </c>
      <c r="G65" s="1">
        <v>216649</v>
      </c>
      <c r="H65" s="1"/>
      <c r="J65">
        <v>44</v>
      </c>
      <c r="L65" s="2">
        <f>Decomposition!C54</f>
        <v>216649</v>
      </c>
      <c r="M65" s="9">
        <f t="shared" si="1"/>
        <v>173711.4</v>
      </c>
      <c r="N65">
        <f t="shared" si="2"/>
        <v>21878685.651748769</v>
      </c>
      <c r="O65" s="1">
        <f t="shared" si="3"/>
        <v>18074877.389803927</v>
      </c>
      <c r="P65" s="1">
        <f t="shared" si="4"/>
        <v>42937.600000000006</v>
      </c>
      <c r="Q65" s="39">
        <f t="shared" si="5"/>
        <v>0.1981896985446506</v>
      </c>
      <c r="R65" s="39">
        <f t="shared" si="6"/>
        <v>0.1981896985446506</v>
      </c>
      <c r="S65" s="34"/>
      <c r="AD65" s="30"/>
      <c r="AE65" s="10"/>
    </row>
    <row r="66" spans="1:31" x14ac:dyDescent="0.3">
      <c r="A66" s="30">
        <v>43709</v>
      </c>
      <c r="B66">
        <v>45</v>
      </c>
      <c r="C66" s="10">
        <f>Decomposition!I55</f>
        <v>275889.20651103667</v>
      </c>
      <c r="D66" s="34">
        <f>Decomposition!H55</f>
        <v>0.81803490195971706</v>
      </c>
      <c r="E66">
        <f>Data!C46</f>
        <v>225687</v>
      </c>
      <c r="F66" s="1">
        <f t="shared" si="7"/>
        <v>225687.00000000003</v>
      </c>
      <c r="G66" s="1">
        <v>225687.00000000003</v>
      </c>
      <c r="H66" s="1"/>
      <c r="J66">
        <v>45</v>
      </c>
      <c r="L66" s="2">
        <f>Decomposition!C55</f>
        <v>225687</v>
      </c>
      <c r="M66" s="9">
        <f t="shared" si="1"/>
        <v>173137.75</v>
      </c>
      <c r="N66">
        <f t="shared" si="2"/>
        <v>31051207.994309328</v>
      </c>
      <c r="O66" s="1">
        <f t="shared" si="3"/>
        <v>27072781.132965688</v>
      </c>
      <c r="P66" s="1">
        <f t="shared" si="4"/>
        <v>52549.25</v>
      </c>
      <c r="Q66" s="39">
        <f t="shared" si="5"/>
        <v>0.23284128018007241</v>
      </c>
      <c r="R66" s="39">
        <f t="shared" si="6"/>
        <v>0.23284128018007241</v>
      </c>
      <c r="S66" s="34"/>
      <c r="AD66" s="30"/>
      <c r="AE66" s="10"/>
    </row>
    <row r="67" spans="1:31" x14ac:dyDescent="0.3">
      <c r="A67" s="30">
        <v>43739</v>
      </c>
      <c r="B67">
        <v>46</v>
      </c>
      <c r="C67" s="10">
        <f>Decomposition!I56</f>
        <v>246297.68554399165</v>
      </c>
      <c r="D67" s="34">
        <f>Decomposition!H56</f>
        <v>0.91618806527394414</v>
      </c>
      <c r="E67">
        <f>Data!C47</f>
        <v>225655</v>
      </c>
      <c r="F67" s="1">
        <f t="shared" si="7"/>
        <v>225655</v>
      </c>
      <c r="G67" s="1">
        <v>225655</v>
      </c>
      <c r="H67" s="1"/>
      <c r="J67">
        <v>46</v>
      </c>
      <c r="L67" s="2">
        <f>Decomposition!C56</f>
        <v>225655</v>
      </c>
      <c r="M67" s="9">
        <f t="shared" si="1"/>
        <v>172564.1</v>
      </c>
      <c r="N67">
        <f t="shared" si="2"/>
        <v>31015906.291887179</v>
      </c>
      <c r="O67" s="1">
        <f t="shared" si="3"/>
        <v>27633761.400098033</v>
      </c>
      <c r="P67" s="1">
        <f t="shared" si="4"/>
        <v>53090.899999999994</v>
      </c>
      <c r="Q67" s="39">
        <f t="shared" si="5"/>
        <v>0.23527464492255876</v>
      </c>
      <c r="R67" s="39">
        <f t="shared" si="6"/>
        <v>0.23527464492255876</v>
      </c>
      <c r="S67" s="34"/>
      <c r="AD67" s="30"/>
      <c r="AE67" s="10"/>
    </row>
    <row r="68" spans="1:31" x14ac:dyDescent="0.3">
      <c r="A68" s="30">
        <v>43770</v>
      </c>
      <c r="B68">
        <v>47</v>
      </c>
      <c r="C68" s="10">
        <f>Decomposition!I57</f>
        <v>211239.26593227492</v>
      </c>
      <c r="D68" s="34">
        <f>Decomposition!H57</f>
        <v>1.1708334570680377</v>
      </c>
      <c r="E68">
        <f>Data!C48</f>
        <v>247326</v>
      </c>
      <c r="F68" s="1">
        <f t="shared" si="7"/>
        <v>247326</v>
      </c>
      <c r="G68" s="1">
        <v>247326</v>
      </c>
      <c r="H68" s="1"/>
      <c r="J68">
        <v>47</v>
      </c>
      <c r="L68" s="2">
        <f>Decomposition!C57</f>
        <v>247326</v>
      </c>
      <c r="M68" s="9">
        <f t="shared" si="1"/>
        <v>171990.45</v>
      </c>
      <c r="N68">
        <f t="shared" si="2"/>
        <v>59520319.990849122</v>
      </c>
      <c r="O68" s="1">
        <f t="shared" si="3"/>
        <v>55641618.566691153</v>
      </c>
      <c r="P68" s="1">
        <f t="shared" si="4"/>
        <v>75335.549999999988</v>
      </c>
      <c r="Q68" s="39">
        <f t="shared" si="5"/>
        <v>0.30460020377962682</v>
      </c>
      <c r="R68" s="39">
        <f t="shared" si="6"/>
        <v>0.30460020377962682</v>
      </c>
      <c r="S68" s="34"/>
      <c r="AD68" s="30"/>
      <c r="AE68" s="10"/>
    </row>
    <row r="69" spans="1:31" x14ac:dyDescent="0.3">
      <c r="A69" s="30">
        <v>43800</v>
      </c>
      <c r="B69">
        <v>48</v>
      </c>
      <c r="C69" s="10">
        <f>Decomposition!I58</f>
        <v>220124.55486717151</v>
      </c>
      <c r="D69" s="34">
        <f>Decomposition!H58</f>
        <v>1.3918574426414096</v>
      </c>
      <c r="E69">
        <f>Data!C49</f>
        <v>306382</v>
      </c>
      <c r="F69" s="1">
        <f t="shared" si="7"/>
        <v>306382</v>
      </c>
      <c r="G69" s="1">
        <v>306382</v>
      </c>
      <c r="H69" s="1"/>
      <c r="J69">
        <v>48</v>
      </c>
      <c r="L69" s="2">
        <f>Decomposition!C58</f>
        <v>306382</v>
      </c>
      <c r="M69" s="9">
        <f t="shared" si="1"/>
        <v>171416.8</v>
      </c>
      <c r="N69">
        <f t="shared" si="2"/>
        <v>183937518.63444772</v>
      </c>
      <c r="O69" s="1">
        <f t="shared" si="3"/>
        <v>178584364.8141177</v>
      </c>
      <c r="P69" s="1">
        <f t="shared" si="4"/>
        <v>134965.20000000001</v>
      </c>
      <c r="Q69" s="39">
        <f t="shared" si="5"/>
        <v>0.44051282386040957</v>
      </c>
      <c r="R69" s="39">
        <f t="shared" si="6"/>
        <v>0.44051282386040957</v>
      </c>
      <c r="S69" s="34"/>
      <c r="AD69" s="30"/>
      <c r="AE69" s="10"/>
    </row>
    <row r="70" spans="1:31" x14ac:dyDescent="0.3">
      <c r="A70" s="30">
        <v>43831</v>
      </c>
      <c r="B70">
        <v>49</v>
      </c>
      <c r="C70" s="10">
        <f>Decomposition!I59</f>
        <v>202874.66995175893</v>
      </c>
      <c r="D70" s="34">
        <f>Decomposition!H59</f>
        <v>1.5205003171334823</v>
      </c>
      <c r="E70">
        <f>Data!C50</f>
        <v>308471</v>
      </c>
      <c r="F70" s="1">
        <f t="shared" si="7"/>
        <v>308471</v>
      </c>
      <c r="G70" s="1">
        <v>308471</v>
      </c>
      <c r="H70" s="1"/>
      <c r="J70">
        <v>49</v>
      </c>
      <c r="L70" s="2">
        <f>Decomposition!C59</f>
        <v>308471</v>
      </c>
      <c r="M70" s="9">
        <f t="shared" si="1"/>
        <v>170843.15</v>
      </c>
      <c r="N70">
        <f t="shared" si="2"/>
        <v>189590827.29765421</v>
      </c>
      <c r="O70" s="1">
        <f t="shared" si="3"/>
        <v>185700246.03551471</v>
      </c>
      <c r="P70" s="1">
        <f t="shared" si="4"/>
        <v>137627.85</v>
      </c>
      <c r="Q70" s="39">
        <f t="shared" si="5"/>
        <v>0.44616138956336254</v>
      </c>
      <c r="R70" s="39">
        <f t="shared" si="6"/>
        <v>0.44616138956336254</v>
      </c>
      <c r="S70" s="34"/>
      <c r="AD70" s="30"/>
      <c r="AE70" s="10"/>
    </row>
    <row r="71" spans="1:31" x14ac:dyDescent="0.3">
      <c r="A71" s="30">
        <v>43862</v>
      </c>
      <c r="B71">
        <v>50</v>
      </c>
      <c r="C71" s="10">
        <f>Decomposition!I60</f>
        <v>224478.91969750417</v>
      </c>
      <c r="D71" s="34">
        <f>Decomposition!H60</f>
        <v>1.1359864006100491</v>
      </c>
      <c r="E71">
        <f>Data!C51</f>
        <v>255005</v>
      </c>
      <c r="F71" s="1">
        <f t="shared" si="7"/>
        <v>255005</v>
      </c>
      <c r="G71" s="1">
        <v>255005</v>
      </c>
      <c r="H71" s="1"/>
      <c r="J71">
        <v>50</v>
      </c>
      <c r="L71" s="2">
        <f>Decomposition!C60</f>
        <v>255005</v>
      </c>
      <c r="M71" s="9">
        <f t="shared" si="1"/>
        <v>170269.5</v>
      </c>
      <c r="N71">
        <f t="shared" si="2"/>
        <v>71830297.266512334</v>
      </c>
      <c r="O71" s="1">
        <f t="shared" si="3"/>
        <v>70393185.884803921</v>
      </c>
      <c r="P71" s="1">
        <f t="shared" si="4"/>
        <v>84735.5</v>
      </c>
      <c r="Q71" s="39">
        <f t="shared" si="5"/>
        <v>0.3322895629497461</v>
      </c>
      <c r="R71" s="39">
        <f t="shared" si="6"/>
        <v>0.3322895629497461</v>
      </c>
      <c r="S71" s="34"/>
      <c r="AD71" s="30"/>
      <c r="AE71" s="10"/>
    </row>
    <row r="72" spans="1:31" x14ac:dyDescent="0.3">
      <c r="A72" s="30">
        <v>43891</v>
      </c>
      <c r="B72">
        <v>51</v>
      </c>
      <c r="C72" s="10">
        <f>Decomposition!I61</f>
        <v>103849.6483521443</v>
      </c>
      <c r="D72" s="34">
        <f>Decomposition!H61</f>
        <v>1.1421704539411746</v>
      </c>
      <c r="E72">
        <f>Data!C52</f>
        <v>118614</v>
      </c>
      <c r="F72" s="1">
        <f t="shared" si="7"/>
        <v>118614</v>
      </c>
      <c r="G72" s="1">
        <v>118614</v>
      </c>
      <c r="H72" s="1"/>
      <c r="J72">
        <v>51</v>
      </c>
      <c r="L72" s="2">
        <f>Decomposition!C61</f>
        <v>118614</v>
      </c>
      <c r="M72" s="9">
        <f t="shared" si="1"/>
        <v>169695.85</v>
      </c>
      <c r="N72">
        <f t="shared" si="2"/>
        <v>25295324.129257403</v>
      </c>
      <c r="O72" s="1">
        <f t="shared" si="3"/>
        <v>25581915.68061275</v>
      </c>
      <c r="P72" s="1">
        <f t="shared" si="4"/>
        <v>51081.850000000006</v>
      </c>
      <c r="Q72" s="39">
        <f t="shared" si="5"/>
        <v>0.4306561620044852</v>
      </c>
      <c r="R72" s="39">
        <f t="shared" si="6"/>
        <v>0.4306561620044852</v>
      </c>
      <c r="S72" s="34"/>
      <c r="AD72" s="30"/>
      <c r="AE72" s="10"/>
    </row>
    <row r="73" spans="1:31" x14ac:dyDescent="0.3">
      <c r="A73" s="30">
        <v>43922</v>
      </c>
      <c r="B73">
        <v>52</v>
      </c>
      <c r="C73" s="10">
        <f>Decomposition!I62</f>
        <v>0</v>
      </c>
      <c r="D73" s="34">
        <f>Decomposition!H62</f>
        <v>0.89114925656645383</v>
      </c>
      <c r="E73">
        <f>Data!C53</f>
        <v>0</v>
      </c>
      <c r="F73" s="1">
        <f t="shared" si="7"/>
        <v>0</v>
      </c>
      <c r="G73" s="1">
        <v>0</v>
      </c>
      <c r="H73" s="1"/>
      <c r="J73">
        <v>52</v>
      </c>
      <c r="L73" s="2">
        <f>Decomposition!C62</f>
        <v>0</v>
      </c>
      <c r="M73" s="9">
        <f t="shared" si="1"/>
        <v>169122.2</v>
      </c>
      <c r="N73">
        <f t="shared" si="2"/>
        <v>281366464.56178331</v>
      </c>
      <c r="O73" s="1">
        <f t="shared" si="3"/>
        <v>280414887.57686281</v>
      </c>
      <c r="P73" s="1">
        <f t="shared" si="4"/>
        <v>169122.2</v>
      </c>
      <c r="Q73" s="39">
        <v>0</v>
      </c>
      <c r="R73" s="39">
        <f t="shared" si="6"/>
        <v>0</v>
      </c>
      <c r="S73" s="34"/>
      <c r="AD73" s="30"/>
      <c r="AE73" s="10"/>
    </row>
    <row r="74" spans="1:31" x14ac:dyDescent="0.3">
      <c r="A74" s="30">
        <v>43952</v>
      </c>
      <c r="B74">
        <v>53</v>
      </c>
      <c r="C74" s="10">
        <f>Decomposition!I63</f>
        <v>0</v>
      </c>
      <c r="D74" s="34">
        <f>Decomposition!H63</f>
        <v>0.72718404710878848</v>
      </c>
      <c r="E74">
        <f>Data!C54</f>
        <v>0</v>
      </c>
      <c r="F74" s="1">
        <f t="shared" si="7"/>
        <v>0</v>
      </c>
      <c r="G74" s="1">
        <v>0</v>
      </c>
      <c r="H74" s="1"/>
      <c r="J74">
        <v>53</v>
      </c>
      <c r="L74" s="2">
        <f>Decomposition!C63</f>
        <v>0</v>
      </c>
      <c r="M74" s="9">
        <f t="shared" si="1"/>
        <v>168548.55</v>
      </c>
      <c r="N74">
        <f t="shared" si="2"/>
        <v>281366464.56178331</v>
      </c>
      <c r="O74" s="1">
        <f t="shared" si="3"/>
        <v>278515820.65786761</v>
      </c>
      <c r="P74" s="1">
        <f t="shared" si="4"/>
        <v>168548.55</v>
      </c>
      <c r="Q74" s="39">
        <v>0</v>
      </c>
      <c r="R74" s="39">
        <f t="shared" si="6"/>
        <v>0</v>
      </c>
      <c r="S74" s="34"/>
      <c r="AD74" s="30"/>
      <c r="AE74" s="10"/>
    </row>
    <row r="75" spans="1:31" x14ac:dyDescent="0.3">
      <c r="A75" s="30">
        <v>43983</v>
      </c>
      <c r="B75">
        <v>54</v>
      </c>
      <c r="C75" s="10">
        <f>Decomposition!I64</f>
        <v>0</v>
      </c>
      <c r="D75" s="34">
        <f>Decomposition!H64</f>
        <v>0.67381589390901009</v>
      </c>
      <c r="E75">
        <f>Data!C55</f>
        <v>0</v>
      </c>
      <c r="F75" s="1">
        <f t="shared" si="7"/>
        <v>0</v>
      </c>
      <c r="G75" s="1">
        <v>0</v>
      </c>
      <c r="H75" s="1"/>
      <c r="J75">
        <v>54</v>
      </c>
      <c r="L75" s="2">
        <f>Decomposition!C64</f>
        <v>0</v>
      </c>
      <c r="M75" s="9">
        <f t="shared" si="1"/>
        <v>167974.9</v>
      </c>
      <c r="N75">
        <f t="shared" si="2"/>
        <v>281366464.56178331</v>
      </c>
      <c r="O75" s="1">
        <f t="shared" si="3"/>
        <v>276623206.17656863</v>
      </c>
      <c r="P75" s="1">
        <f t="shared" si="4"/>
        <v>167974.9</v>
      </c>
      <c r="Q75" s="39">
        <v>0</v>
      </c>
      <c r="R75" s="39">
        <f t="shared" si="6"/>
        <v>0</v>
      </c>
      <c r="S75" s="34"/>
      <c r="AD75" s="30"/>
      <c r="AE75" s="10"/>
    </row>
    <row r="76" spans="1:31" x14ac:dyDescent="0.3">
      <c r="A76" s="30">
        <v>44013</v>
      </c>
      <c r="B76">
        <v>55</v>
      </c>
      <c r="C76" s="10">
        <f>Decomposition!I65</f>
        <v>578.26392819220052</v>
      </c>
      <c r="D76" s="34">
        <f>Decomposition!H65</f>
        <v>0.85601050985057181</v>
      </c>
      <c r="E76">
        <f>Data!C56</f>
        <v>495</v>
      </c>
      <c r="F76" s="1">
        <f t="shared" si="7"/>
        <v>495</v>
      </c>
      <c r="G76" s="1">
        <v>495</v>
      </c>
      <c r="H76" s="1"/>
      <c r="J76">
        <v>55</v>
      </c>
      <c r="L76" s="2">
        <f>Decomposition!C65</f>
        <v>495</v>
      </c>
      <c r="M76" s="9">
        <f t="shared" si="1"/>
        <v>167401.25</v>
      </c>
      <c r="N76">
        <f t="shared" si="2"/>
        <v>279724603.80053765</v>
      </c>
      <c r="O76" s="1">
        <f t="shared" si="3"/>
        <v>273114669.50061274</v>
      </c>
      <c r="P76" s="1">
        <f t="shared" si="4"/>
        <v>166906.25</v>
      </c>
      <c r="Q76" s="39">
        <f t="shared" si="5"/>
        <v>337.18434343434342</v>
      </c>
      <c r="R76" s="39">
        <f t="shared" si="6"/>
        <v>0.18622137759533786</v>
      </c>
      <c r="S76" s="34"/>
      <c r="AD76" s="30"/>
      <c r="AE76" s="10"/>
    </row>
    <row r="77" spans="1:31" x14ac:dyDescent="0.3">
      <c r="A77" s="30">
        <v>44044</v>
      </c>
      <c r="B77">
        <v>56</v>
      </c>
      <c r="C77" s="10">
        <f>Decomposition!I66</f>
        <v>1176.8295423440757</v>
      </c>
      <c r="D77" s="34">
        <f>Decomposition!H66</f>
        <v>0.756269253937361</v>
      </c>
      <c r="E77">
        <f>Data!C57</f>
        <v>890</v>
      </c>
      <c r="F77" s="1">
        <f t="shared" si="7"/>
        <v>890.00000000000011</v>
      </c>
      <c r="G77" s="1">
        <v>890.00000000000011</v>
      </c>
      <c r="H77" s="1"/>
      <c r="J77">
        <v>56</v>
      </c>
      <c r="L77" s="2">
        <f>Decomposition!C66</f>
        <v>890</v>
      </c>
      <c r="M77" s="9">
        <f t="shared" si="1"/>
        <v>166827.6</v>
      </c>
      <c r="N77">
        <f t="shared" si="2"/>
        <v>278417878.65059537</v>
      </c>
      <c r="O77" s="1">
        <f t="shared" si="3"/>
        <v>269953795.03686279</v>
      </c>
      <c r="P77" s="1">
        <f t="shared" si="4"/>
        <v>165937.60000000001</v>
      </c>
      <c r="Q77" s="39">
        <f t="shared" si="5"/>
        <v>186.44674157303371</v>
      </c>
      <c r="R77" s="39">
        <f t="shared" si="6"/>
        <v>0.18622137759533786</v>
      </c>
      <c r="S77" s="34"/>
      <c r="AD77" s="30"/>
      <c r="AE77" s="10"/>
    </row>
    <row r="78" spans="1:31" x14ac:dyDescent="0.3">
      <c r="A78" s="30">
        <v>44075</v>
      </c>
      <c r="B78">
        <v>57</v>
      </c>
      <c r="C78" s="10">
        <f>Decomposition!I67</f>
        <v>1701.6388868803388</v>
      </c>
      <c r="D78" s="34">
        <f>Decomposition!H67</f>
        <v>0.81803490195971706</v>
      </c>
      <c r="E78">
        <f>Data!C58</f>
        <v>1392</v>
      </c>
      <c r="F78" s="1">
        <f t="shared" si="7"/>
        <v>1392</v>
      </c>
      <c r="G78" s="1">
        <v>1392</v>
      </c>
      <c r="H78" s="1"/>
      <c r="J78">
        <v>57</v>
      </c>
      <c r="L78" s="2">
        <f>Decomposition!C67</f>
        <v>1392</v>
      </c>
      <c r="M78" s="9">
        <f t="shared" si="1"/>
        <v>166253.95000000001</v>
      </c>
      <c r="N78">
        <f t="shared" si="2"/>
        <v>276761594.49949962</v>
      </c>
      <c r="O78" s="1">
        <f t="shared" si="3"/>
        <v>266465319.19414222</v>
      </c>
      <c r="P78" s="1">
        <f t="shared" si="4"/>
        <v>164861.95000000001</v>
      </c>
      <c r="Q78" s="39">
        <f t="shared" si="5"/>
        <v>118.43530890804598</v>
      </c>
      <c r="R78" s="39">
        <f t="shared" si="6"/>
        <v>0.18622137759533786</v>
      </c>
      <c r="S78" s="34"/>
      <c r="AD78" s="30"/>
      <c r="AE78" s="10"/>
    </row>
    <row r="79" spans="1:31" x14ac:dyDescent="0.3">
      <c r="A79" s="30">
        <v>44105</v>
      </c>
      <c r="B79">
        <v>58</v>
      </c>
      <c r="C79" s="10">
        <f>Decomposition!I68</f>
        <v>1996.3150245284205</v>
      </c>
      <c r="D79" s="34">
        <f>Decomposition!H68</f>
        <v>0.91618806527394414</v>
      </c>
      <c r="E79">
        <f>Data!C59</f>
        <v>1829</v>
      </c>
      <c r="F79" s="1">
        <f t="shared" si="7"/>
        <v>1829</v>
      </c>
      <c r="G79" s="1">
        <v>1829</v>
      </c>
      <c r="H79" s="1"/>
      <c r="J79">
        <v>58</v>
      </c>
      <c r="L79" s="2">
        <f>Decomposition!C68</f>
        <v>1829</v>
      </c>
      <c r="M79" s="9">
        <f t="shared" si="1"/>
        <v>165680.29999999999</v>
      </c>
      <c r="N79">
        <f t="shared" si="2"/>
        <v>275323792.4222216</v>
      </c>
      <c r="O79" s="1">
        <f t="shared" si="3"/>
        <v>263208318.74205878</v>
      </c>
      <c r="P79" s="1">
        <f t="shared" si="4"/>
        <v>163851.29999999999</v>
      </c>
      <c r="Q79" s="39">
        <f t="shared" si="5"/>
        <v>89.58518316019682</v>
      </c>
      <c r="R79" s="39">
        <f t="shared" si="6"/>
        <v>0.18622137759533786</v>
      </c>
      <c r="S79" s="34"/>
      <c r="AD79" s="30"/>
      <c r="AE79" s="10"/>
    </row>
    <row r="80" spans="1:31" x14ac:dyDescent="0.3">
      <c r="A80" s="30">
        <v>44136</v>
      </c>
      <c r="B80">
        <v>59</v>
      </c>
      <c r="C80" s="10">
        <f>Decomposition!I69</f>
        <v>3328.3982247643812</v>
      </c>
      <c r="D80" s="34">
        <f>Decomposition!H69</f>
        <v>1.1708334570680377</v>
      </c>
      <c r="E80">
        <f>Data!C60</f>
        <v>3897</v>
      </c>
      <c r="F80" s="1">
        <f t="shared" si="7"/>
        <v>3897</v>
      </c>
      <c r="G80" s="1">
        <v>3897</v>
      </c>
      <c r="H80" s="1"/>
      <c r="J80">
        <v>59</v>
      </c>
      <c r="L80" s="2">
        <f>Decomposition!C69</f>
        <v>3897</v>
      </c>
      <c r="M80" s="9">
        <f t="shared" si="1"/>
        <v>165106.65</v>
      </c>
      <c r="N80">
        <f t="shared" si="2"/>
        <v>268570518.98046845</v>
      </c>
      <c r="O80" s="1">
        <f t="shared" si="3"/>
        <v>254789718.16786763</v>
      </c>
      <c r="P80" s="1">
        <f t="shared" si="4"/>
        <v>161209.65</v>
      </c>
      <c r="Q80" s="39">
        <f t="shared" si="5"/>
        <v>41.367628945342567</v>
      </c>
      <c r="R80" s="39">
        <f t="shared" si="6"/>
        <v>0.18622137759533786</v>
      </c>
      <c r="S80" s="34"/>
      <c r="AD80" s="30"/>
      <c r="AE80" s="10"/>
    </row>
    <row r="81" spans="1:31" x14ac:dyDescent="0.3">
      <c r="A81" s="30">
        <v>44166</v>
      </c>
      <c r="B81">
        <v>60</v>
      </c>
      <c r="C81" s="10">
        <f>Decomposition!I70</f>
        <v>5650.7223793509538</v>
      </c>
      <c r="D81" s="34">
        <f>Decomposition!H70</f>
        <v>1.3918574426414096</v>
      </c>
      <c r="E81">
        <f>Data!C61</f>
        <v>7865</v>
      </c>
      <c r="F81" s="1">
        <f t="shared" si="7"/>
        <v>7865</v>
      </c>
      <c r="G81" s="1">
        <v>7865</v>
      </c>
      <c r="H81" s="1"/>
      <c r="J81">
        <v>60</v>
      </c>
      <c r="L81" s="2">
        <f>Decomposition!C70</f>
        <v>7865</v>
      </c>
      <c r="M81" s="9">
        <f t="shared" si="1"/>
        <v>164533</v>
      </c>
      <c r="N81">
        <f t="shared" si="2"/>
        <v>255847406.15924585</v>
      </c>
      <c r="O81" s="1">
        <f t="shared" si="3"/>
        <v>240635904.15686274</v>
      </c>
      <c r="P81" s="1">
        <f t="shared" si="4"/>
        <v>156668</v>
      </c>
      <c r="Q81" s="39">
        <f t="shared" si="5"/>
        <v>19.919643992371267</v>
      </c>
      <c r="R81" s="39">
        <f t="shared" si="6"/>
        <v>0.18622137759533786</v>
      </c>
      <c r="S81" s="34"/>
      <c r="AD81" s="30"/>
      <c r="AE81" s="10"/>
    </row>
    <row r="82" spans="1:31" x14ac:dyDescent="0.3">
      <c r="A82" s="30">
        <v>44197</v>
      </c>
      <c r="B82">
        <v>61</v>
      </c>
      <c r="C82" s="10">
        <f>Decomposition!I71</f>
        <v>5412.0343858353754</v>
      </c>
      <c r="D82" s="34">
        <f>Decomposition!H71</f>
        <v>1.5205003171334823</v>
      </c>
      <c r="E82">
        <f>Data!C62</f>
        <v>8229</v>
      </c>
      <c r="F82" s="1">
        <f t="shared" si="7"/>
        <v>8229</v>
      </c>
      <c r="G82" s="1">
        <v>8229</v>
      </c>
      <c r="H82" s="1"/>
      <c r="J82">
        <v>61</v>
      </c>
      <c r="L82" s="2">
        <f>Decomposition!C71</f>
        <v>8229</v>
      </c>
      <c r="M82" s="9">
        <f t="shared" si="1"/>
        <v>163959.35</v>
      </c>
      <c r="N82">
        <f t="shared" si="2"/>
        <v>254695725.06351343</v>
      </c>
      <c r="O82" s="1">
        <f t="shared" si="3"/>
        <v>237764136.38355392</v>
      </c>
      <c r="P82" s="1">
        <f t="shared" si="4"/>
        <v>155730.35</v>
      </c>
      <c r="Q82" s="39">
        <f t="shared" si="5"/>
        <v>18.92457771296634</v>
      </c>
      <c r="R82" s="39">
        <f t="shared" si="6"/>
        <v>0.18622137759533786</v>
      </c>
      <c r="S82" s="34"/>
      <c r="AD82" s="30"/>
      <c r="AE82" s="10"/>
    </row>
    <row r="83" spans="1:31" x14ac:dyDescent="0.3">
      <c r="A83" s="30">
        <v>44228</v>
      </c>
      <c r="B83">
        <v>62</v>
      </c>
      <c r="C83" s="10">
        <f>Decomposition!I72</f>
        <v>3211.3060491225474</v>
      </c>
      <c r="D83" s="34">
        <f>Decomposition!H72</f>
        <v>1.1359864006100491</v>
      </c>
      <c r="E83">
        <f>Data!C63</f>
        <v>3648</v>
      </c>
      <c r="F83" s="1">
        <f t="shared" si="7"/>
        <v>3648</v>
      </c>
      <c r="G83" s="1">
        <v>3648</v>
      </c>
      <c r="H83" s="1"/>
      <c r="J83">
        <v>62</v>
      </c>
      <c r="L83" s="2">
        <f>Decomposition!C72</f>
        <v>3648</v>
      </c>
      <c r="M83" s="9">
        <f t="shared" si="1"/>
        <v>163385.70000000001</v>
      </c>
      <c r="N83">
        <f t="shared" si="2"/>
        <v>269379214.40261376</v>
      </c>
      <c r="O83" s="1">
        <f t="shared" si="3"/>
        <v>250158164.71852946</v>
      </c>
      <c r="P83" s="1">
        <f t="shared" si="4"/>
        <v>159737.70000000001</v>
      </c>
      <c r="Q83" s="39">
        <f t="shared" si="5"/>
        <v>43.787746710526321</v>
      </c>
      <c r="R83" s="39">
        <f t="shared" si="6"/>
        <v>0.18622137759533786</v>
      </c>
      <c r="S83" s="34"/>
      <c r="AD83" s="30"/>
      <c r="AE83" s="10"/>
    </row>
    <row r="84" spans="1:31" x14ac:dyDescent="0.3">
      <c r="A84" s="30">
        <v>44256</v>
      </c>
      <c r="B84">
        <v>63</v>
      </c>
      <c r="C84" s="10">
        <f>Decomposition!I73</f>
        <v>5064.04274426967</v>
      </c>
      <c r="D84" s="34">
        <f>Decomposition!H73</f>
        <v>1.1421704539411746</v>
      </c>
      <c r="E84">
        <f>Data!C64</f>
        <v>5784</v>
      </c>
      <c r="F84" s="1">
        <f t="shared" si="7"/>
        <v>5784</v>
      </c>
      <c r="G84" s="1">
        <v>5784</v>
      </c>
      <c r="H84" s="1"/>
      <c r="J84">
        <v>63</v>
      </c>
      <c r="L84" s="2">
        <f>Decomposition!C73</f>
        <v>5784</v>
      </c>
      <c r="M84" s="9">
        <f t="shared" si="1"/>
        <v>162812.04999999999</v>
      </c>
      <c r="N84">
        <f t="shared" si="2"/>
        <v>262481487.74517432</v>
      </c>
      <c r="O84" s="1">
        <f t="shared" si="3"/>
        <v>241743220.45884803</v>
      </c>
      <c r="P84" s="1">
        <f t="shared" si="4"/>
        <v>157028.04999999999</v>
      </c>
      <c r="Q84" s="39">
        <f t="shared" si="5"/>
        <v>27.148694674965419</v>
      </c>
      <c r="R84" s="39">
        <f t="shared" si="6"/>
        <v>0.18622137759533786</v>
      </c>
      <c r="S84" s="34"/>
      <c r="AD84" s="30"/>
      <c r="AE84" s="10"/>
    </row>
    <row r="85" spans="1:31" x14ac:dyDescent="0.3">
      <c r="A85" s="30">
        <v>44287</v>
      </c>
      <c r="B85">
        <v>64</v>
      </c>
      <c r="C85" s="10">
        <f>Decomposition!I74</f>
        <v>5564.7243864700486</v>
      </c>
      <c r="D85" s="34">
        <f>Decomposition!H74</f>
        <v>0.89114925656645383</v>
      </c>
      <c r="E85">
        <f>Data!C65</f>
        <v>4959</v>
      </c>
      <c r="F85" s="1">
        <f t="shared" si="7"/>
        <v>4959</v>
      </c>
      <c r="G85" s="1">
        <v>4959</v>
      </c>
      <c r="H85" s="1"/>
      <c r="J85">
        <v>64</v>
      </c>
      <c r="L85" s="2">
        <f>Decomposition!C74</f>
        <v>4959</v>
      </c>
      <c r="M85" s="9">
        <f t="shared" si="1"/>
        <v>162238.39999999999</v>
      </c>
      <c r="N85">
        <f t="shared" si="2"/>
        <v>265135034.11195636</v>
      </c>
      <c r="O85" s="1">
        <f t="shared" si="3"/>
        <v>242517741.80745095</v>
      </c>
      <c r="P85" s="1">
        <f t="shared" si="4"/>
        <v>157279.4</v>
      </c>
      <c r="Q85" s="39">
        <f t="shared" si="5"/>
        <v>31.715950796531558</v>
      </c>
      <c r="R85" s="39">
        <f t="shared" si="6"/>
        <v>0.18622137759533786</v>
      </c>
      <c r="S85" s="34"/>
      <c r="AD85" s="30"/>
      <c r="AE85" s="10"/>
    </row>
    <row r="86" spans="1:31" x14ac:dyDescent="0.3">
      <c r="A86" s="30">
        <v>44317</v>
      </c>
      <c r="B86">
        <v>65</v>
      </c>
      <c r="C86" s="10">
        <f>Decomposition!I75</f>
        <v>4621.9385771222596</v>
      </c>
      <c r="D86" s="34">
        <f>Decomposition!H75</f>
        <v>0.72718404710878848</v>
      </c>
      <c r="E86">
        <f>Data!C66</f>
        <v>3361</v>
      </c>
      <c r="F86" s="1">
        <f t="shared" ref="F86:F117" si="8">C86*D86</f>
        <v>3361</v>
      </c>
      <c r="G86" s="1">
        <v>3361</v>
      </c>
      <c r="H86" s="1"/>
      <c r="J86">
        <v>65</v>
      </c>
      <c r="L86" s="2">
        <f>Decomposition!C75</f>
        <v>3361</v>
      </c>
      <c r="M86" s="9">
        <f t="shared" ref="M86:M123" si="9">-573.65*J86+198952</f>
        <v>161664.75</v>
      </c>
      <c r="N86">
        <f t="shared" si="2"/>
        <v>270312833.34725046</v>
      </c>
      <c r="O86" s="1">
        <f t="shared" si="3"/>
        <v>245687032.00061274</v>
      </c>
      <c r="P86" s="1">
        <f t="shared" si="4"/>
        <v>158303.75</v>
      </c>
      <c r="Q86" s="39">
        <f t="shared" si="5"/>
        <v>47.100193394822966</v>
      </c>
      <c r="R86" s="39">
        <f t="shared" si="6"/>
        <v>0.18622137759533786</v>
      </c>
      <c r="S86" s="34"/>
      <c r="AD86" s="30"/>
      <c r="AE86" s="10"/>
    </row>
    <row r="87" spans="1:31" x14ac:dyDescent="0.3">
      <c r="A87" s="30">
        <v>44348</v>
      </c>
      <c r="B87">
        <v>66</v>
      </c>
      <c r="C87" s="10">
        <f>Decomposition!I76</f>
        <v>3922.4364160767364</v>
      </c>
      <c r="D87" s="34">
        <f>Decomposition!H76</f>
        <v>0.67381589390901009</v>
      </c>
      <c r="E87">
        <f>Data!C67</f>
        <v>2643</v>
      </c>
      <c r="F87" s="1">
        <f t="shared" si="8"/>
        <v>2643</v>
      </c>
      <c r="G87" s="1">
        <v>2643</v>
      </c>
      <c r="H87" s="1"/>
      <c r="J87">
        <v>66</v>
      </c>
      <c r="L87" s="2">
        <f>Decomposition!C76</f>
        <v>2643</v>
      </c>
      <c r="M87" s="9">
        <f t="shared" si="9"/>
        <v>161091.1</v>
      </c>
      <c r="N87">
        <f t="shared" ref="N87:N123" si="10">((L87-AVERAGE(L$22:L$123))^2)/COUNT(L$22:L$123)</f>
        <v>272655581.63444769</v>
      </c>
      <c r="O87" s="1">
        <f t="shared" ref="O87:O123" si="11">((L87-M87)^2)/COUNT(L$22:L$123)</f>
        <v>246135297.97656864</v>
      </c>
      <c r="P87" s="1">
        <f t="shared" ref="P87:P123" si="12">ABS(L87-M87)</f>
        <v>158448.1</v>
      </c>
      <c r="Q87" s="39">
        <f t="shared" ref="Q87:Q123" si="13">P87/L87</f>
        <v>59.950094589481651</v>
      </c>
      <c r="R87" s="39">
        <f t="shared" ref="R87:R124" si="14">IF(Q87&gt;1,AVERAGE(Q$22:Q$72,Q161:Q188),Q87)</f>
        <v>0.18622137759533786</v>
      </c>
      <c r="S87" s="34"/>
      <c r="AD87" s="30"/>
      <c r="AE87" s="10"/>
    </row>
    <row r="88" spans="1:31" x14ac:dyDescent="0.3">
      <c r="A88" s="30">
        <v>44378</v>
      </c>
      <c r="B88">
        <v>67</v>
      </c>
      <c r="C88" s="10">
        <f>Decomposition!I77</f>
        <v>2341.0927517114542</v>
      </c>
      <c r="D88" s="34">
        <f>Decomposition!H77</f>
        <v>0.85601050985057181</v>
      </c>
      <c r="E88">
        <f>Data!C68</f>
        <v>2004</v>
      </c>
      <c r="F88" s="1">
        <f t="shared" si="8"/>
        <v>2004</v>
      </c>
      <c r="G88" s="1">
        <v>2004</v>
      </c>
      <c r="H88" s="1"/>
      <c r="J88">
        <v>67</v>
      </c>
      <c r="L88" s="2">
        <f>Decomposition!C77</f>
        <v>2004</v>
      </c>
      <c r="M88" s="9">
        <f t="shared" si="9"/>
        <v>160517.45000000001</v>
      </c>
      <c r="N88">
        <f t="shared" si="10"/>
        <v>274749063.55832314</v>
      </c>
      <c r="O88" s="1">
        <f t="shared" si="11"/>
        <v>246338370.89120102</v>
      </c>
      <c r="P88" s="1">
        <f t="shared" si="12"/>
        <v>158513.45000000001</v>
      </c>
      <c r="Q88" s="39">
        <f t="shared" si="13"/>
        <v>79.09852794411178</v>
      </c>
      <c r="R88" s="39">
        <f t="shared" si="14"/>
        <v>0.18622137759533786</v>
      </c>
      <c r="S88" s="34"/>
      <c r="AD88" s="30"/>
      <c r="AE88" s="10"/>
    </row>
    <row r="89" spans="1:31" x14ac:dyDescent="0.3">
      <c r="A89" s="30">
        <v>44409</v>
      </c>
      <c r="B89">
        <v>68</v>
      </c>
      <c r="C89" s="10">
        <f>Decomposition!I78</f>
        <v>2489.8539643077465</v>
      </c>
      <c r="D89" s="34">
        <f>Decomposition!H78</f>
        <v>0.756269253937361</v>
      </c>
      <c r="E89">
        <f>Data!C69</f>
        <v>1883</v>
      </c>
      <c r="F89" s="1">
        <f t="shared" si="8"/>
        <v>1883.0000000000002</v>
      </c>
      <c r="G89" s="1">
        <v>1883.0000000000002</v>
      </c>
      <c r="H89" s="1"/>
      <c r="J89">
        <v>68</v>
      </c>
      <c r="L89" s="2">
        <f>Decomposition!C78</f>
        <v>1883</v>
      </c>
      <c r="M89" s="9">
        <f t="shared" si="9"/>
        <v>159943.79999999999</v>
      </c>
      <c r="N89">
        <f t="shared" si="10"/>
        <v>275146383.45682371</v>
      </c>
      <c r="O89" s="1">
        <f t="shared" si="11"/>
        <v>244933495.06509799</v>
      </c>
      <c r="P89" s="1">
        <f t="shared" si="12"/>
        <v>158060.79999999999</v>
      </c>
      <c r="Q89" s="39">
        <f t="shared" si="13"/>
        <v>83.940945300053102</v>
      </c>
      <c r="R89" s="39">
        <f t="shared" si="14"/>
        <v>0.18622137759533786</v>
      </c>
      <c r="S89" s="34"/>
      <c r="AD89" s="30"/>
      <c r="AE89" s="10"/>
    </row>
    <row r="90" spans="1:31" x14ac:dyDescent="0.3">
      <c r="A90" s="30">
        <v>44440</v>
      </c>
      <c r="B90">
        <v>69</v>
      </c>
      <c r="C90" s="10">
        <f>Decomposition!I79</f>
        <v>2394.7633472690973</v>
      </c>
      <c r="D90" s="34">
        <f>Decomposition!H79</f>
        <v>0.81803490195971706</v>
      </c>
      <c r="E90">
        <f>Data!C70</f>
        <v>1959</v>
      </c>
      <c r="F90" s="1">
        <f t="shared" si="8"/>
        <v>1958.9999999999998</v>
      </c>
      <c r="G90" s="1">
        <v>1958.9999999999998</v>
      </c>
      <c r="H90" s="1"/>
      <c r="J90">
        <v>69</v>
      </c>
      <c r="L90" s="2">
        <f>Decomposition!C79</f>
        <v>1959</v>
      </c>
      <c r="M90" s="9">
        <f t="shared" si="9"/>
        <v>159370.15</v>
      </c>
      <c r="N90">
        <f t="shared" si="10"/>
        <v>274896793.6275273</v>
      </c>
      <c r="O90" s="1">
        <f t="shared" si="11"/>
        <v>242924217.10120097</v>
      </c>
      <c r="P90" s="1">
        <f t="shared" si="12"/>
        <v>157411.15</v>
      </c>
      <c r="Q90" s="39">
        <f t="shared" si="13"/>
        <v>80.352807554874929</v>
      </c>
      <c r="R90" s="39">
        <f t="shared" si="14"/>
        <v>0.18622137759533786</v>
      </c>
      <c r="S90" s="34"/>
      <c r="AD90" s="30"/>
      <c r="AE90" s="10"/>
    </row>
    <row r="91" spans="1:31" x14ac:dyDescent="0.3">
      <c r="A91" s="30">
        <v>44470</v>
      </c>
      <c r="B91">
        <v>70</v>
      </c>
      <c r="C91" s="10">
        <f>Decomposition!I80</f>
        <v>10663.749474927648</v>
      </c>
      <c r="D91" s="34">
        <f>Decomposition!H80</f>
        <v>0.91618806527394414</v>
      </c>
      <c r="E91">
        <f>Data!C71</f>
        <v>9770</v>
      </c>
      <c r="F91" s="1">
        <f t="shared" si="8"/>
        <v>9770</v>
      </c>
      <c r="G91" s="1">
        <v>9770</v>
      </c>
      <c r="H91" s="1"/>
      <c r="J91">
        <v>70</v>
      </c>
      <c r="L91" s="2">
        <f>Decomposition!C80</f>
        <v>9770</v>
      </c>
      <c r="M91" s="9">
        <f t="shared" si="9"/>
        <v>158796.5</v>
      </c>
      <c r="N91">
        <f t="shared" si="10"/>
        <v>249848844.60215244</v>
      </c>
      <c r="O91" s="1">
        <f t="shared" si="11"/>
        <v>217734291.19852942</v>
      </c>
      <c r="P91" s="1">
        <f t="shared" si="12"/>
        <v>149026.5</v>
      </c>
      <c r="Q91" s="39">
        <f t="shared" si="13"/>
        <v>15.253480040941659</v>
      </c>
      <c r="R91" s="39">
        <f t="shared" si="14"/>
        <v>0.18622137759533786</v>
      </c>
      <c r="S91" s="34"/>
      <c r="AD91" s="30"/>
      <c r="AE91" s="10"/>
    </row>
    <row r="92" spans="1:31" x14ac:dyDescent="0.3">
      <c r="A92" s="30">
        <v>44501</v>
      </c>
      <c r="B92">
        <v>71</v>
      </c>
      <c r="C92" s="10">
        <f>Decomposition!I81</f>
        <v>30136.651619402412</v>
      </c>
      <c r="D92" s="34">
        <f>Decomposition!H81</f>
        <v>1.1708334570680377</v>
      </c>
      <c r="E92">
        <f>Data!C72</f>
        <v>35285</v>
      </c>
      <c r="F92" s="1">
        <f t="shared" si="8"/>
        <v>35285</v>
      </c>
      <c r="G92" s="1">
        <v>35285</v>
      </c>
      <c r="H92" s="1"/>
      <c r="J92">
        <v>71</v>
      </c>
      <c r="L92" s="2">
        <f>Decomposition!C81</f>
        <v>35285</v>
      </c>
      <c r="M92" s="9">
        <f t="shared" si="9"/>
        <v>158222.85</v>
      </c>
      <c r="N92">
        <f t="shared" si="10"/>
        <v>176364938.30457458</v>
      </c>
      <c r="O92" s="1">
        <f t="shared" si="11"/>
        <v>148173676.10414216</v>
      </c>
      <c r="P92" s="1">
        <f t="shared" si="12"/>
        <v>122937.85</v>
      </c>
      <c r="Q92" s="39">
        <f t="shared" si="13"/>
        <v>3.4841391526144254</v>
      </c>
      <c r="R92" s="39">
        <f t="shared" si="14"/>
        <v>0.18622137759533786</v>
      </c>
      <c r="S92" s="34"/>
      <c r="AD92" s="30"/>
      <c r="AE92" s="10"/>
    </row>
    <row r="93" spans="1:31" x14ac:dyDescent="0.3">
      <c r="A93" s="30">
        <v>44531</v>
      </c>
      <c r="B93">
        <v>72</v>
      </c>
      <c r="C93" s="10">
        <f>Decomposition!I82</f>
        <v>38354.502669964568</v>
      </c>
      <c r="D93" s="34">
        <f>Decomposition!H82</f>
        <v>1.3918574426414096</v>
      </c>
      <c r="E93">
        <f>Data!C73</f>
        <v>53384</v>
      </c>
      <c r="F93" s="1">
        <f t="shared" si="8"/>
        <v>53384</v>
      </c>
      <c r="G93" s="1">
        <v>53384</v>
      </c>
      <c r="H93" s="1"/>
      <c r="J93">
        <v>72</v>
      </c>
      <c r="L93" s="2">
        <f>Decomposition!C82</f>
        <v>53384</v>
      </c>
      <c r="M93" s="9">
        <f t="shared" si="9"/>
        <v>157649.20000000001</v>
      </c>
      <c r="N93">
        <f t="shared" si="10"/>
        <v>131978236.76478219</v>
      </c>
      <c r="O93" s="1">
        <f t="shared" si="11"/>
        <v>106580705.20627454</v>
      </c>
      <c r="P93" s="1">
        <f t="shared" si="12"/>
        <v>104265.20000000001</v>
      </c>
      <c r="Q93" s="39">
        <f t="shared" si="13"/>
        <v>1.9531170388131278</v>
      </c>
      <c r="R93" s="39">
        <f t="shared" si="14"/>
        <v>0.18622137759533786</v>
      </c>
      <c r="S93" s="34"/>
      <c r="AD93" s="30"/>
      <c r="AE93" s="10"/>
    </row>
    <row r="94" spans="1:31" x14ac:dyDescent="0.3">
      <c r="A94" s="30">
        <v>44562</v>
      </c>
      <c r="B94">
        <v>73</v>
      </c>
      <c r="C94" s="10">
        <f>Decomposition!I83</f>
        <v>42799.728001823882</v>
      </c>
      <c r="D94" s="34">
        <f>Decomposition!H83</f>
        <v>1.5205003171334823</v>
      </c>
      <c r="E94">
        <f>Data!C74</f>
        <v>65077</v>
      </c>
      <c r="F94" s="1">
        <f t="shared" si="8"/>
        <v>65076.999999999993</v>
      </c>
      <c r="G94" s="1">
        <v>65076.999999999993</v>
      </c>
      <c r="H94" s="1"/>
      <c r="J94">
        <v>73</v>
      </c>
      <c r="L94" s="2">
        <f>Decomposition!C83</f>
        <v>65077</v>
      </c>
      <c r="M94" s="9">
        <f t="shared" si="9"/>
        <v>157075.54999999999</v>
      </c>
      <c r="N94">
        <f t="shared" si="10"/>
        <v>106717135.41645463</v>
      </c>
      <c r="O94" s="1">
        <f t="shared" si="11"/>
        <v>82977776.491200969</v>
      </c>
      <c r="P94" s="1">
        <f t="shared" si="12"/>
        <v>91998.549999999988</v>
      </c>
      <c r="Q94" s="39">
        <f t="shared" si="13"/>
        <v>1.4136876315749034</v>
      </c>
      <c r="R94" s="39">
        <f t="shared" si="14"/>
        <v>0.18622137759533786</v>
      </c>
      <c r="S94" s="34"/>
      <c r="AD94" s="30"/>
      <c r="AE94" s="10"/>
    </row>
    <row r="95" spans="1:31" x14ac:dyDescent="0.3">
      <c r="A95" s="30">
        <v>44593</v>
      </c>
      <c r="B95">
        <v>74</v>
      </c>
      <c r="C95" s="10">
        <f>Decomposition!I84</f>
        <v>48242.654991793577</v>
      </c>
      <c r="D95" s="34">
        <f>Decomposition!H84</f>
        <v>1.1359864006100491</v>
      </c>
      <c r="E95">
        <f>Data!C75</f>
        <v>54803</v>
      </c>
      <c r="F95" s="1">
        <f t="shared" si="8"/>
        <v>54803</v>
      </c>
      <c r="G95" s="1">
        <v>54803</v>
      </c>
      <c r="H95" s="1"/>
      <c r="J95">
        <v>74</v>
      </c>
      <c r="L95" s="2">
        <f>Decomposition!C84</f>
        <v>54803</v>
      </c>
      <c r="M95" s="9">
        <f t="shared" si="9"/>
        <v>156501.9</v>
      </c>
      <c r="N95">
        <f t="shared" si="10"/>
        <v>128769755.01391713</v>
      </c>
      <c r="O95" s="1">
        <f t="shared" si="11"/>
        <v>101398688.83539215</v>
      </c>
      <c r="P95" s="1">
        <f t="shared" si="12"/>
        <v>101698.9</v>
      </c>
      <c r="Q95" s="39">
        <f t="shared" si="13"/>
        <v>1.8557177526777731</v>
      </c>
      <c r="R95" s="39">
        <f t="shared" si="14"/>
        <v>0.18622137759533786</v>
      </c>
      <c r="S95" s="34"/>
      <c r="AD95" s="30"/>
      <c r="AE95" s="10"/>
    </row>
    <row r="96" spans="1:31" x14ac:dyDescent="0.3">
      <c r="A96" s="30">
        <v>44621</v>
      </c>
      <c r="B96">
        <v>75</v>
      </c>
      <c r="C96" s="10">
        <f>Decomposition!I85</f>
        <v>75692.730188985137</v>
      </c>
      <c r="D96" s="34">
        <f>Decomposition!H85</f>
        <v>1.1421704539411746</v>
      </c>
      <c r="E96">
        <f>Data!C76</f>
        <v>86454</v>
      </c>
      <c r="F96" s="1">
        <f t="shared" si="8"/>
        <v>86454</v>
      </c>
      <c r="G96" s="1">
        <v>86454</v>
      </c>
      <c r="H96" s="1"/>
      <c r="J96">
        <v>75</v>
      </c>
      <c r="L96" s="2">
        <f>Decomposition!C85</f>
        <v>86454</v>
      </c>
      <c r="M96" s="9">
        <f t="shared" si="9"/>
        <v>155928.25</v>
      </c>
      <c r="N96">
        <f t="shared" si="10"/>
        <v>67465856.724413112</v>
      </c>
      <c r="O96" s="1">
        <f t="shared" si="11"/>
        <v>47320307.97120098</v>
      </c>
      <c r="P96" s="1">
        <f t="shared" si="12"/>
        <v>69474.25</v>
      </c>
      <c r="Q96" s="39">
        <f t="shared" si="13"/>
        <v>0.80359786707381964</v>
      </c>
      <c r="R96" s="39">
        <f t="shared" si="14"/>
        <v>0.80359786707381964</v>
      </c>
      <c r="S96" s="34"/>
    </row>
    <row r="97" spans="1:19" x14ac:dyDescent="0.3">
      <c r="A97" s="30">
        <v>44652</v>
      </c>
      <c r="B97">
        <v>76</v>
      </c>
      <c r="C97" s="10">
        <f>Decomposition!I86</f>
        <v>131321.4359297097</v>
      </c>
      <c r="D97" s="34">
        <f>Decomposition!H86</f>
        <v>0.89114925656645383</v>
      </c>
      <c r="E97">
        <f>Data!C77</f>
        <v>117027</v>
      </c>
      <c r="F97" s="1">
        <f t="shared" si="8"/>
        <v>117027</v>
      </c>
      <c r="G97" s="1">
        <v>117027</v>
      </c>
      <c r="H97" s="1"/>
      <c r="J97">
        <v>76</v>
      </c>
      <c r="L97" s="2">
        <f>Decomposition!C86</f>
        <v>117027</v>
      </c>
      <c r="M97" s="9">
        <f t="shared" si="9"/>
        <v>155354.6</v>
      </c>
      <c r="N97">
        <f t="shared" si="10"/>
        <v>26900634.118876781</v>
      </c>
      <c r="O97" s="1">
        <f t="shared" si="11"/>
        <v>14402009.03686275</v>
      </c>
      <c r="P97" s="1">
        <f t="shared" si="12"/>
        <v>38327.600000000006</v>
      </c>
      <c r="Q97" s="39">
        <f t="shared" si="13"/>
        <v>0.32751074538354402</v>
      </c>
      <c r="R97" s="39">
        <f t="shared" si="14"/>
        <v>0.32751074538354402</v>
      </c>
      <c r="S97" s="34"/>
    </row>
    <row r="98" spans="1:19" x14ac:dyDescent="0.3">
      <c r="A98" s="30">
        <v>44682</v>
      </c>
      <c r="B98">
        <v>77</v>
      </c>
      <c r="C98" s="10">
        <f>Decomposition!I87</f>
        <v>154837.00508511777</v>
      </c>
      <c r="D98" s="34">
        <f>Decomposition!H87</f>
        <v>0.72718404710878848</v>
      </c>
      <c r="E98">
        <f>Data!C78</f>
        <v>112595</v>
      </c>
      <c r="F98" s="1">
        <f t="shared" si="8"/>
        <v>112595</v>
      </c>
      <c r="G98" s="1">
        <v>112595</v>
      </c>
      <c r="H98" s="1"/>
      <c r="J98">
        <v>77</v>
      </c>
      <c r="L98" s="2">
        <f>Decomposition!C87</f>
        <v>112595</v>
      </c>
      <c r="M98" s="9">
        <f t="shared" si="9"/>
        <v>154780.95000000001</v>
      </c>
      <c r="N98">
        <f t="shared" si="10"/>
        <v>31645299.705958672</v>
      </c>
      <c r="O98" s="1">
        <f t="shared" si="11"/>
        <v>17447591.935318638</v>
      </c>
      <c r="P98" s="1">
        <f t="shared" si="12"/>
        <v>42185.950000000012</v>
      </c>
      <c r="Q98" s="39">
        <f t="shared" si="13"/>
        <v>0.37466983436209433</v>
      </c>
      <c r="R98" s="39">
        <f t="shared" si="14"/>
        <v>0.37466983436209433</v>
      </c>
      <c r="S98" s="34"/>
    </row>
    <row r="99" spans="1:19" x14ac:dyDescent="0.3">
      <c r="A99" s="30">
        <v>44713</v>
      </c>
      <c r="B99">
        <v>78</v>
      </c>
      <c r="C99" s="10">
        <f>Decomposition!I88</f>
        <v>154803.41283562177</v>
      </c>
      <c r="D99" s="34">
        <f>Decomposition!H88</f>
        <v>0.67381589390901009</v>
      </c>
      <c r="E99">
        <f>Data!C79</f>
        <v>104309</v>
      </c>
      <c r="F99" s="1">
        <f t="shared" si="8"/>
        <v>104309.00000000001</v>
      </c>
      <c r="G99" s="1">
        <v>104309.00000000001</v>
      </c>
      <c r="H99" s="1"/>
      <c r="J99">
        <v>78</v>
      </c>
      <c r="L99" s="2">
        <f>Decomposition!C88</f>
        <v>104309</v>
      </c>
      <c r="M99" s="9">
        <f t="shared" si="9"/>
        <v>154207.29999999999</v>
      </c>
      <c r="N99">
        <f t="shared" si="10"/>
        <v>41549005.017377354</v>
      </c>
      <c r="O99" s="1">
        <f t="shared" si="11"/>
        <v>24410199.440098029</v>
      </c>
      <c r="P99" s="1">
        <f t="shared" si="12"/>
        <v>49898.299999999988</v>
      </c>
      <c r="Q99" s="39">
        <f t="shared" si="13"/>
        <v>0.47837003518392457</v>
      </c>
      <c r="R99" s="39">
        <f t="shared" si="14"/>
        <v>0.47837003518392457</v>
      </c>
      <c r="S99" s="34"/>
    </row>
    <row r="100" spans="1:19" x14ac:dyDescent="0.3">
      <c r="A100" s="30">
        <v>44743</v>
      </c>
      <c r="B100">
        <v>79</v>
      </c>
      <c r="C100" s="10">
        <f>Decomposition!I89</f>
        <v>172528.25555352186</v>
      </c>
      <c r="D100" s="34">
        <f>Decomposition!H89</f>
        <v>0.85601050985057181</v>
      </c>
      <c r="E100">
        <f>Data!C80</f>
        <v>147686</v>
      </c>
      <c r="F100" s="1">
        <f t="shared" si="8"/>
        <v>147686</v>
      </c>
      <c r="G100" s="1">
        <v>147686</v>
      </c>
      <c r="H100" s="1"/>
      <c r="J100">
        <v>79</v>
      </c>
      <c r="L100" s="2">
        <f>Decomposition!C89</f>
        <v>147686</v>
      </c>
      <c r="M100" s="9">
        <f t="shared" si="9"/>
        <v>153633.65</v>
      </c>
      <c r="N100">
        <f t="shared" si="10"/>
        <v>4626322.5052666357</v>
      </c>
      <c r="O100" s="1">
        <f t="shared" si="11"/>
        <v>346809.22080882289</v>
      </c>
      <c r="P100" s="1">
        <f t="shared" si="12"/>
        <v>5947.6499999999942</v>
      </c>
      <c r="Q100" s="39">
        <f t="shared" si="13"/>
        <v>4.0272266836396099E-2</v>
      </c>
      <c r="R100" s="39">
        <f t="shared" si="14"/>
        <v>4.0272266836396099E-2</v>
      </c>
      <c r="S100" s="34"/>
    </row>
    <row r="101" spans="1:19" x14ac:dyDescent="0.3">
      <c r="A101" s="30">
        <v>44774</v>
      </c>
      <c r="B101">
        <v>80</v>
      </c>
      <c r="C101" s="10">
        <f>Decomposition!I90</f>
        <v>189271.21425969774</v>
      </c>
      <c r="D101" s="34">
        <f>Decomposition!H90</f>
        <v>0.756269253937361</v>
      </c>
      <c r="E101">
        <f>Data!C81</f>
        <v>143140</v>
      </c>
      <c r="F101" s="1">
        <f t="shared" si="8"/>
        <v>143140</v>
      </c>
      <c r="G101" s="1">
        <v>143140</v>
      </c>
      <c r="H101" s="1"/>
      <c r="J101">
        <v>80</v>
      </c>
      <c r="L101" s="2">
        <f>Decomposition!C90</f>
        <v>143140</v>
      </c>
      <c r="M101" s="9">
        <f t="shared" si="9"/>
        <v>153060</v>
      </c>
      <c r="N101">
        <f t="shared" si="10"/>
        <v>6765252.2088421825</v>
      </c>
      <c r="O101" s="1">
        <f t="shared" si="11"/>
        <v>964768.62745098036</v>
      </c>
      <c r="P101" s="1">
        <f t="shared" si="12"/>
        <v>9920</v>
      </c>
      <c r="Q101" s="39">
        <f t="shared" si="13"/>
        <v>6.9302780494620644E-2</v>
      </c>
      <c r="R101" s="39">
        <f t="shared" si="14"/>
        <v>6.9302780494620644E-2</v>
      </c>
      <c r="S101" s="34"/>
    </row>
    <row r="102" spans="1:19" x14ac:dyDescent="0.3">
      <c r="A102" s="30">
        <v>44805</v>
      </c>
      <c r="B102">
        <v>81</v>
      </c>
      <c r="C102" s="10">
        <f>Decomposition!I91</f>
        <v>180285.70620482211</v>
      </c>
      <c r="D102" s="34">
        <f>Decomposition!H91</f>
        <v>0.81803490195971706</v>
      </c>
      <c r="E102">
        <f>Data!C82</f>
        <v>147480</v>
      </c>
      <c r="F102" s="1">
        <f t="shared" si="8"/>
        <v>147480</v>
      </c>
      <c r="G102" s="1">
        <v>147480</v>
      </c>
      <c r="H102" s="1"/>
      <c r="J102">
        <v>81</v>
      </c>
      <c r="L102" s="2">
        <f>Decomposition!C91</f>
        <v>147480</v>
      </c>
      <c r="M102" s="9">
        <f t="shared" si="9"/>
        <v>152486.35</v>
      </c>
      <c r="N102">
        <f t="shared" si="10"/>
        <v>4714482.0704338793</v>
      </c>
      <c r="O102" s="1">
        <f t="shared" si="11"/>
        <v>245720.98355392212</v>
      </c>
      <c r="P102" s="1">
        <f t="shared" si="12"/>
        <v>5006.3500000000058</v>
      </c>
      <c r="Q102" s="39">
        <f t="shared" si="13"/>
        <v>3.3945958774071097E-2</v>
      </c>
      <c r="R102" s="39">
        <f t="shared" si="14"/>
        <v>3.3945958774071097E-2</v>
      </c>
      <c r="S102" s="34"/>
    </row>
    <row r="103" spans="1:19" x14ac:dyDescent="0.3">
      <c r="A103" s="30">
        <v>44835</v>
      </c>
      <c r="B103">
        <v>82</v>
      </c>
      <c r="C103" s="10">
        <f>Decomposition!I92</f>
        <v>180194.44506804046</v>
      </c>
      <c r="D103" s="34">
        <f>Decomposition!H92</f>
        <v>0.91618806527394414</v>
      </c>
      <c r="E103">
        <f>Data!C83</f>
        <v>165092</v>
      </c>
      <c r="F103" s="1">
        <f t="shared" si="8"/>
        <v>165092</v>
      </c>
      <c r="G103" s="1">
        <v>165092</v>
      </c>
      <c r="H103" s="1"/>
      <c r="J103">
        <v>82</v>
      </c>
      <c r="L103" s="2">
        <f>Decomposition!C92</f>
        <v>165092</v>
      </c>
      <c r="M103" s="9">
        <f t="shared" si="9"/>
        <v>151912.70000000001</v>
      </c>
      <c r="N103">
        <f t="shared" si="10"/>
        <v>182703.20768878411</v>
      </c>
      <c r="O103" s="1">
        <f t="shared" si="11"/>
        <v>1702881.8479411732</v>
      </c>
      <c r="P103" s="1">
        <f t="shared" si="12"/>
        <v>13179.299999999988</v>
      </c>
      <c r="Q103" s="39">
        <f t="shared" si="13"/>
        <v>7.9830034162769778E-2</v>
      </c>
      <c r="R103" s="39">
        <f t="shared" si="14"/>
        <v>7.9830034162769778E-2</v>
      </c>
      <c r="S103" s="34"/>
    </row>
    <row r="104" spans="1:19" x14ac:dyDescent="0.3">
      <c r="A104" s="30">
        <v>44866</v>
      </c>
      <c r="B104">
        <v>83</v>
      </c>
      <c r="C104" s="10">
        <f>Decomposition!I93</f>
        <v>167467.88265771762</v>
      </c>
      <c r="D104" s="34">
        <f>Decomposition!H93</f>
        <v>1.1708334570680377</v>
      </c>
      <c r="E104">
        <f>Data!C84</f>
        <v>196077</v>
      </c>
      <c r="F104" s="1">
        <f t="shared" si="8"/>
        <v>196077</v>
      </c>
      <c r="G104" s="1">
        <v>196077</v>
      </c>
      <c r="H104" s="1"/>
      <c r="J104">
        <v>83</v>
      </c>
      <c r="L104" s="2">
        <f>Decomposition!C93</f>
        <v>196077</v>
      </c>
      <c r="M104" s="9">
        <f t="shared" si="9"/>
        <v>151339.04999999999</v>
      </c>
      <c r="N104">
        <f t="shared" si="10"/>
        <v>6972420.8835826758</v>
      </c>
      <c r="O104" s="1">
        <f t="shared" si="11"/>
        <v>19622393.825514715</v>
      </c>
      <c r="P104" s="1">
        <f t="shared" si="12"/>
        <v>44737.950000000012</v>
      </c>
      <c r="Q104" s="39">
        <f t="shared" si="13"/>
        <v>0.22816521060603748</v>
      </c>
      <c r="R104" s="39">
        <f t="shared" si="14"/>
        <v>0.22816521060603748</v>
      </c>
      <c r="S104" s="34"/>
    </row>
    <row r="105" spans="1:19" x14ac:dyDescent="0.3">
      <c r="A105" s="30">
        <v>44896</v>
      </c>
      <c r="B105">
        <v>84</v>
      </c>
      <c r="C105" s="10">
        <f>Decomposition!I94</f>
        <v>131916.52706296876</v>
      </c>
      <c r="D105" s="34">
        <f>Decomposition!H94</f>
        <v>1.3918574426414096</v>
      </c>
      <c r="E105">
        <f>Data!C85</f>
        <v>183609</v>
      </c>
      <c r="F105" s="1">
        <f t="shared" si="8"/>
        <v>183609</v>
      </c>
      <c r="G105" s="1">
        <v>183609</v>
      </c>
      <c r="H105" s="1"/>
      <c r="J105">
        <v>84</v>
      </c>
      <c r="L105" s="2">
        <f>Decomposition!C94</f>
        <v>183609</v>
      </c>
      <c r="M105" s="9">
        <f t="shared" si="9"/>
        <v>150765.4</v>
      </c>
      <c r="N105">
        <f t="shared" si="10"/>
        <v>1976887.3126484181</v>
      </c>
      <c r="O105" s="1">
        <f t="shared" si="11"/>
        <v>10575510.401568631</v>
      </c>
      <c r="P105" s="1">
        <f t="shared" si="12"/>
        <v>32843.600000000006</v>
      </c>
      <c r="Q105" s="39">
        <f t="shared" si="13"/>
        <v>0.17887794171309687</v>
      </c>
      <c r="R105" s="39">
        <f t="shared" si="14"/>
        <v>0.17887794171309687</v>
      </c>
      <c r="S105" s="34"/>
    </row>
    <row r="106" spans="1:19" x14ac:dyDescent="0.3">
      <c r="A106" s="30">
        <v>44927</v>
      </c>
      <c r="B106">
        <v>85</v>
      </c>
      <c r="C106" s="10">
        <f>Decomposition!I95</f>
        <v>157339.65807453229</v>
      </c>
      <c r="D106" s="34">
        <f>Decomposition!H95</f>
        <v>1.5205003171334823</v>
      </c>
      <c r="E106">
        <f>Data!C86</f>
        <v>239235</v>
      </c>
      <c r="F106" s="1">
        <f t="shared" si="8"/>
        <v>239235</v>
      </c>
      <c r="G106" s="1">
        <v>239235</v>
      </c>
      <c r="H106" s="1"/>
      <c r="J106">
        <v>85</v>
      </c>
      <c r="L106" s="2">
        <f>Decomposition!C95</f>
        <v>239235</v>
      </c>
      <c r="M106" s="9">
        <f t="shared" si="9"/>
        <v>150191.75</v>
      </c>
      <c r="N106">
        <f t="shared" si="10"/>
        <v>47800809.786696874</v>
      </c>
      <c r="O106" s="1">
        <f t="shared" si="11"/>
        <v>77732356.574142158</v>
      </c>
      <c r="P106" s="1">
        <f t="shared" si="12"/>
        <v>89043.25</v>
      </c>
      <c r="Q106" s="39">
        <f t="shared" si="13"/>
        <v>0.37219992894016346</v>
      </c>
      <c r="R106" s="39">
        <f t="shared" si="14"/>
        <v>0.37219992894016346</v>
      </c>
      <c r="S106" s="34"/>
    </row>
    <row r="107" spans="1:19" x14ac:dyDescent="0.3">
      <c r="A107" s="30">
        <v>44958</v>
      </c>
      <c r="B107">
        <v>86</v>
      </c>
      <c r="C107" s="10">
        <f>Decomposition!I96</f>
        <v>181282.98005100104</v>
      </c>
      <c r="D107" s="34">
        <f>Decomposition!H96</f>
        <v>1.1359864006100491</v>
      </c>
      <c r="E107">
        <f>Data!C87</f>
        <v>205935</v>
      </c>
      <c r="F107" s="1">
        <f t="shared" si="8"/>
        <v>205935</v>
      </c>
      <c r="G107" s="1">
        <v>205935</v>
      </c>
      <c r="H107" s="1"/>
      <c r="J107">
        <v>86</v>
      </c>
      <c r="L107" s="2">
        <f>Decomposition!C96</f>
        <v>205935</v>
      </c>
      <c r="M107" s="9">
        <f t="shared" si="9"/>
        <v>149618.1</v>
      </c>
      <c r="N107">
        <f t="shared" si="10"/>
        <v>13079952.174240118</v>
      </c>
      <c r="O107" s="1">
        <f t="shared" si="11"/>
        <v>31094051.231470581</v>
      </c>
      <c r="P107" s="1">
        <f t="shared" si="12"/>
        <v>56316.899999999994</v>
      </c>
      <c r="Q107" s="39">
        <f t="shared" si="13"/>
        <v>0.27346929856508118</v>
      </c>
      <c r="R107" s="39">
        <f t="shared" si="14"/>
        <v>0.27346929856508118</v>
      </c>
      <c r="S107" s="34"/>
    </row>
    <row r="108" spans="1:19" x14ac:dyDescent="0.3">
      <c r="A108" s="30">
        <v>44986</v>
      </c>
      <c r="B108">
        <v>87</v>
      </c>
      <c r="C108" s="10">
        <f>Decomposition!I97</f>
        <v>193671.61813432167</v>
      </c>
      <c r="D108" s="34">
        <f>Decomposition!H97</f>
        <v>1.1421704539411746</v>
      </c>
      <c r="E108">
        <f>Data!C88</f>
        <v>221206</v>
      </c>
      <c r="F108" s="1">
        <f t="shared" si="8"/>
        <v>221206</v>
      </c>
      <c r="G108" s="1">
        <v>221206</v>
      </c>
      <c r="H108" s="1"/>
      <c r="J108">
        <v>87</v>
      </c>
      <c r="L108" s="2">
        <f>Decomposition!C97</f>
        <v>221206</v>
      </c>
      <c r="M108" s="9">
        <f t="shared" si="9"/>
        <v>149044.45000000001</v>
      </c>
      <c r="N108">
        <f t="shared" si="10"/>
        <v>26303317.153478876</v>
      </c>
      <c r="O108" s="1">
        <f t="shared" si="11"/>
        <v>51051855.866691157</v>
      </c>
      <c r="P108" s="1">
        <f t="shared" si="12"/>
        <v>72161.549999999988</v>
      </c>
      <c r="Q108" s="39">
        <f t="shared" si="13"/>
        <v>0.32621877345099132</v>
      </c>
      <c r="R108" s="39">
        <f t="shared" si="14"/>
        <v>0.32621877345099132</v>
      </c>
      <c r="S108" s="34"/>
    </row>
    <row r="109" spans="1:19" x14ac:dyDescent="0.3">
      <c r="A109" s="30">
        <v>45017</v>
      </c>
      <c r="B109">
        <v>88</v>
      </c>
      <c r="C109" s="10">
        <f>Decomposition!I98</f>
        <v>249818.9819040696</v>
      </c>
      <c r="D109" s="34">
        <f>Decomposition!H98</f>
        <v>0.89114925656645383</v>
      </c>
      <c r="E109">
        <f>Data!C89</f>
        <v>222626</v>
      </c>
      <c r="F109" s="1">
        <f t="shared" si="8"/>
        <v>222626</v>
      </c>
      <c r="G109" s="1">
        <v>222626</v>
      </c>
      <c r="H109" s="1"/>
      <c r="J109">
        <v>88</v>
      </c>
      <c r="L109" s="2">
        <f>Decomposition!C98</f>
        <v>222626</v>
      </c>
      <c r="M109" s="9">
        <f t="shared" si="9"/>
        <v>148470.79999999999</v>
      </c>
      <c r="N109">
        <f t="shared" si="10"/>
        <v>27765279.218069419</v>
      </c>
      <c r="O109" s="1">
        <f t="shared" si="11"/>
        <v>53911702.814117663</v>
      </c>
      <c r="P109" s="1">
        <f t="shared" si="12"/>
        <v>74155.200000000012</v>
      </c>
      <c r="Q109" s="39">
        <f t="shared" si="13"/>
        <v>0.33309316971063585</v>
      </c>
      <c r="R109" s="39">
        <f t="shared" si="14"/>
        <v>0.33309316971063585</v>
      </c>
      <c r="S109" s="34"/>
    </row>
    <row r="110" spans="1:19" x14ac:dyDescent="0.3">
      <c r="A110" s="30">
        <v>45047</v>
      </c>
      <c r="B110">
        <v>89</v>
      </c>
      <c r="C110" s="10">
        <f>Decomposition!I99</f>
        <v>269928.91384295572</v>
      </c>
      <c r="D110" s="34">
        <f>Decomposition!H99</f>
        <v>0.72718404710878848</v>
      </c>
      <c r="E110">
        <f>Data!C90</f>
        <v>196288</v>
      </c>
      <c r="F110" s="1">
        <f t="shared" si="8"/>
        <v>196288.00000000003</v>
      </c>
      <c r="G110" s="1">
        <v>196288.00000000003</v>
      </c>
      <c r="H110" s="1"/>
      <c r="J110">
        <v>89</v>
      </c>
      <c r="L110" s="2">
        <f>Decomposition!C99</f>
        <v>196288</v>
      </c>
      <c r="M110" s="9">
        <f t="shared" si="9"/>
        <v>147897.15</v>
      </c>
      <c r="N110">
        <f t="shared" si="10"/>
        <v>7083190.0427522259</v>
      </c>
      <c r="O110" s="1">
        <f t="shared" si="11"/>
        <v>22957591.80120099</v>
      </c>
      <c r="P110" s="1">
        <f t="shared" si="12"/>
        <v>48390.850000000006</v>
      </c>
      <c r="Q110" s="39">
        <f t="shared" si="13"/>
        <v>0.24652984390283667</v>
      </c>
      <c r="R110" s="39">
        <f t="shared" si="14"/>
        <v>0.24652984390283667</v>
      </c>
      <c r="S110" s="34"/>
    </row>
    <row r="111" spans="1:19" x14ac:dyDescent="0.3">
      <c r="A111" s="30">
        <v>45078</v>
      </c>
      <c r="B111">
        <v>90</v>
      </c>
      <c r="C111" s="10">
        <f>Decomposition!I100</f>
        <v>295966.60126709624</v>
      </c>
      <c r="D111" s="34">
        <f>Decomposition!H100</f>
        <v>0.67381589390901009</v>
      </c>
      <c r="E111">
        <f>Data!C91</f>
        <v>199427</v>
      </c>
      <c r="F111" s="1">
        <f t="shared" si="8"/>
        <v>199427</v>
      </c>
      <c r="G111" s="1">
        <v>199427</v>
      </c>
      <c r="H111" s="1"/>
      <c r="J111">
        <v>90</v>
      </c>
      <c r="L111" s="2">
        <f>Decomposition!C100</f>
        <v>199427</v>
      </c>
      <c r="M111" s="9">
        <f t="shared" si="9"/>
        <v>147323.5</v>
      </c>
      <c r="N111">
        <f t="shared" si="10"/>
        <v>8834172.7578618005</v>
      </c>
      <c r="O111" s="1">
        <f t="shared" si="11"/>
        <v>26615438.355392158</v>
      </c>
      <c r="P111" s="1">
        <f t="shared" si="12"/>
        <v>52103.5</v>
      </c>
      <c r="Q111" s="39">
        <f t="shared" si="13"/>
        <v>0.26126602716783587</v>
      </c>
      <c r="R111" s="39">
        <f t="shared" si="14"/>
        <v>0.26126602716783587</v>
      </c>
      <c r="S111" s="34"/>
    </row>
    <row r="112" spans="1:19" x14ac:dyDescent="0.3">
      <c r="A112" s="30">
        <v>45108</v>
      </c>
      <c r="B112">
        <v>91</v>
      </c>
      <c r="C112" s="10">
        <f>Decomposition!I101</f>
        <v>307896.92061842617</v>
      </c>
      <c r="D112" s="34">
        <f>Decomposition!H101</f>
        <v>0.85601050985057181</v>
      </c>
      <c r="E112">
        <f>Data!C92</f>
        <v>263563</v>
      </c>
      <c r="F112" s="1">
        <f t="shared" si="8"/>
        <v>263563</v>
      </c>
      <c r="G112" s="1">
        <v>263563</v>
      </c>
      <c r="H112" s="1"/>
      <c r="J112">
        <v>91</v>
      </c>
      <c r="L112" s="2">
        <f>Decomposition!C101</f>
        <v>263563</v>
      </c>
      <c r="M112" s="9">
        <f t="shared" si="9"/>
        <v>146749.85</v>
      </c>
      <c r="N112">
        <f t="shared" si="10"/>
        <v>86911689.523721099</v>
      </c>
      <c r="O112" s="1">
        <f t="shared" si="11"/>
        <v>133777568.75414215</v>
      </c>
      <c r="P112" s="1">
        <f t="shared" si="12"/>
        <v>116813.15</v>
      </c>
      <c r="Q112" s="39">
        <f t="shared" si="13"/>
        <v>0.44320769607266569</v>
      </c>
      <c r="R112" s="39">
        <f t="shared" si="14"/>
        <v>0.44320769607266569</v>
      </c>
      <c r="S112" s="34"/>
    </row>
    <row r="113" spans="1:20" x14ac:dyDescent="0.3">
      <c r="A113" s="30">
        <v>45139</v>
      </c>
      <c r="B113">
        <v>92</v>
      </c>
      <c r="C113" s="10">
        <f>Decomposition!I102</f>
        <v>313285.24697583949</v>
      </c>
      <c r="D113" s="34">
        <f>Decomposition!H102</f>
        <v>0.756269253937361</v>
      </c>
      <c r="E113">
        <f>Data!C93</f>
        <v>236928</v>
      </c>
      <c r="F113" s="1">
        <f t="shared" si="8"/>
        <v>236928</v>
      </c>
      <c r="G113" s="1">
        <v>236928</v>
      </c>
      <c r="H113" s="1"/>
      <c r="J113">
        <v>92</v>
      </c>
      <c r="L113" s="2">
        <f>Decomposition!C102</f>
        <v>236928</v>
      </c>
      <c r="M113" s="9">
        <f t="shared" si="9"/>
        <v>146176.20000000001</v>
      </c>
      <c r="N113">
        <f t="shared" si="10"/>
        <v>44694385.060053274</v>
      </c>
      <c r="O113" s="1">
        <f t="shared" si="11"/>
        <v>80744011.796470568</v>
      </c>
      <c r="P113" s="1">
        <f t="shared" si="12"/>
        <v>90751.799999999988</v>
      </c>
      <c r="Q113" s="39">
        <f t="shared" si="13"/>
        <v>0.38303535251215554</v>
      </c>
      <c r="R113" s="39">
        <f t="shared" si="14"/>
        <v>0.38303535251215554</v>
      </c>
      <c r="S113" s="34"/>
    </row>
    <row r="114" spans="1:20" x14ac:dyDescent="0.3">
      <c r="A114" s="30">
        <v>45170</v>
      </c>
      <c r="B114">
        <v>93</v>
      </c>
      <c r="C114" s="10">
        <f>Decomposition!I103</f>
        <v>292574.31367125915</v>
      </c>
      <c r="D114" s="34">
        <f>Decomposition!H103</f>
        <v>0.81803490195971706</v>
      </c>
      <c r="E114">
        <f>Data!C94</f>
        <v>239336</v>
      </c>
      <c r="F114" s="1">
        <f t="shared" si="8"/>
        <v>239336</v>
      </c>
      <c r="G114" s="1">
        <v>239336</v>
      </c>
      <c r="H114" s="1"/>
      <c r="J114">
        <v>93</v>
      </c>
      <c r="L114" s="2">
        <f>Decomposition!C103</f>
        <v>239336</v>
      </c>
      <c r="M114" s="9">
        <f t="shared" si="9"/>
        <v>145602.54999999999</v>
      </c>
      <c r="N114">
        <f t="shared" si="10"/>
        <v>47939192.833986379</v>
      </c>
      <c r="O114" s="1">
        <f t="shared" si="11"/>
        <v>86136859.302965701</v>
      </c>
      <c r="P114" s="1">
        <f t="shared" si="12"/>
        <v>93733.450000000012</v>
      </c>
      <c r="Q114" s="39">
        <f t="shared" si="13"/>
        <v>0.39163957783200193</v>
      </c>
      <c r="R114" s="39">
        <f t="shared" si="14"/>
        <v>0.39163957783200193</v>
      </c>
      <c r="S114" s="34"/>
    </row>
    <row r="115" spans="1:20" x14ac:dyDescent="0.3">
      <c r="A115" s="30">
        <v>45200</v>
      </c>
      <c r="B115">
        <v>94</v>
      </c>
      <c r="C115" s="10">
        <f>Decomposition!I104</f>
        <v>286014.42207353795</v>
      </c>
      <c r="D115" s="34">
        <f>Decomposition!H104</f>
        <v>0.91618806527394414</v>
      </c>
      <c r="E115">
        <f>Data!C95</f>
        <v>262043</v>
      </c>
      <c r="F115" s="1">
        <f t="shared" si="8"/>
        <v>262043</v>
      </c>
      <c r="G115" s="1">
        <v>262043</v>
      </c>
      <c r="H115" s="1"/>
      <c r="J115">
        <v>94</v>
      </c>
      <c r="L115" s="2">
        <f>Decomposition!C104</f>
        <v>262043</v>
      </c>
      <c r="M115" s="9">
        <f t="shared" si="9"/>
        <v>145028.9</v>
      </c>
      <c r="N115">
        <f t="shared" si="10"/>
        <v>84128179.442982912</v>
      </c>
      <c r="O115" s="1">
        <f t="shared" si="11"/>
        <v>134238231.36088237</v>
      </c>
      <c r="P115" s="1">
        <f t="shared" si="12"/>
        <v>117014.1</v>
      </c>
      <c r="Q115" s="39">
        <f t="shared" si="13"/>
        <v>0.44654541430223288</v>
      </c>
      <c r="R115" s="39">
        <f t="shared" si="14"/>
        <v>0.44654541430223288</v>
      </c>
      <c r="S115" s="34"/>
    </row>
    <row r="116" spans="1:20" x14ac:dyDescent="0.3">
      <c r="A116" s="30">
        <v>45231</v>
      </c>
      <c r="B116">
        <v>95</v>
      </c>
      <c r="C116" s="10">
        <f>Decomposition!I105</f>
        <v>265914.84734272311</v>
      </c>
      <c r="D116" s="34">
        <f>Decomposition!H105</f>
        <v>1.1708334570680377</v>
      </c>
      <c r="E116">
        <f>Data!C96</f>
        <v>311342</v>
      </c>
      <c r="F116" s="1">
        <f t="shared" si="8"/>
        <v>311342</v>
      </c>
      <c r="G116" s="1">
        <v>311342</v>
      </c>
      <c r="H116" s="1"/>
      <c r="J116">
        <v>95</v>
      </c>
      <c r="L116" s="2">
        <f>Decomposition!C105</f>
        <v>311342</v>
      </c>
      <c r="M116" s="9">
        <f t="shared" si="9"/>
        <v>144455.25</v>
      </c>
      <c r="N116">
        <f t="shared" si="10"/>
        <v>197500015.05889991</v>
      </c>
      <c r="O116" s="1">
        <f t="shared" si="11"/>
        <v>273050856.13296568</v>
      </c>
      <c r="P116" s="1">
        <f t="shared" si="12"/>
        <v>166886.75</v>
      </c>
      <c r="Q116" s="39">
        <f t="shared" si="13"/>
        <v>0.5360238901272556</v>
      </c>
      <c r="R116" s="39">
        <f t="shared" si="14"/>
        <v>0.5360238901272556</v>
      </c>
      <c r="S116" s="34"/>
    </row>
    <row r="117" spans="1:20" x14ac:dyDescent="0.3">
      <c r="A117" s="30">
        <v>45261</v>
      </c>
      <c r="B117">
        <v>96</v>
      </c>
      <c r="C117" s="10">
        <f>Decomposition!I106</f>
        <v>197370.0693647654</v>
      </c>
      <c r="D117" s="34">
        <f>Decomposition!H106</f>
        <v>1.3918574426414096</v>
      </c>
      <c r="E117">
        <f>Data!C97</f>
        <v>274711</v>
      </c>
      <c r="F117" s="1">
        <f t="shared" si="8"/>
        <v>274711</v>
      </c>
      <c r="G117" s="1">
        <v>274711</v>
      </c>
      <c r="H117" s="1"/>
      <c r="J117">
        <v>96</v>
      </c>
      <c r="L117" s="2">
        <f>Decomposition!C106</f>
        <v>274711</v>
      </c>
      <c r="M117" s="9">
        <f t="shared" si="9"/>
        <v>143881.60000000001</v>
      </c>
      <c r="N117">
        <f t="shared" si="10"/>
        <v>108711076.34033008</v>
      </c>
      <c r="O117" s="1">
        <f t="shared" si="11"/>
        <v>167807175.53294116</v>
      </c>
      <c r="P117" s="1">
        <f t="shared" si="12"/>
        <v>130829.4</v>
      </c>
      <c r="Q117" s="39">
        <f t="shared" si="13"/>
        <v>0.47624376162585408</v>
      </c>
      <c r="R117" s="39">
        <f t="shared" si="14"/>
        <v>0.47624376162585408</v>
      </c>
      <c r="S117" s="34"/>
    </row>
    <row r="118" spans="1:20" x14ac:dyDescent="0.3">
      <c r="A118" s="30">
        <v>45292</v>
      </c>
      <c r="B118">
        <v>97</v>
      </c>
      <c r="C118" s="10">
        <f>Decomposition!I107</f>
        <v>215341.61901214236</v>
      </c>
      <c r="D118" s="34">
        <f>Decomposition!H107</f>
        <v>1.5205003171334823</v>
      </c>
      <c r="E118">
        <f>Data!C98</f>
        <v>327427</v>
      </c>
      <c r="F118" s="1">
        <f t="shared" ref="F118:F124" si="15">C118*D118</f>
        <v>327427</v>
      </c>
      <c r="G118" s="1">
        <v>327427</v>
      </c>
      <c r="H118" s="1"/>
      <c r="J118">
        <v>97</v>
      </c>
      <c r="L118" s="2">
        <f>Decomposition!C107</f>
        <v>327427</v>
      </c>
      <c r="M118" s="9">
        <f t="shared" si="9"/>
        <v>143307.95000000001</v>
      </c>
      <c r="N118">
        <f t="shared" si="10"/>
        <v>244801139.30918825</v>
      </c>
      <c r="O118" s="1">
        <f t="shared" si="11"/>
        <v>332351221.30296564</v>
      </c>
      <c r="P118" s="1">
        <f t="shared" si="12"/>
        <v>184119.05</v>
      </c>
      <c r="Q118" s="39">
        <f t="shared" si="13"/>
        <v>0.56232091428012954</v>
      </c>
      <c r="R118" s="39">
        <f t="shared" si="14"/>
        <v>0.56232091428012954</v>
      </c>
      <c r="S118" s="34"/>
    </row>
    <row r="119" spans="1:20" x14ac:dyDescent="0.3">
      <c r="A119" s="30">
        <v>45323</v>
      </c>
      <c r="B119">
        <v>98</v>
      </c>
      <c r="C119" s="10">
        <f>Decomposition!I108</f>
        <v>225959.57122563577</v>
      </c>
      <c r="D119" s="34">
        <f>Decomposition!H108</f>
        <v>1.1359864006100491</v>
      </c>
      <c r="E119">
        <f>Data!C99</f>
        <v>256687</v>
      </c>
      <c r="F119" s="1">
        <f t="shared" si="15"/>
        <v>256687</v>
      </c>
      <c r="G119" s="1">
        <v>256687</v>
      </c>
      <c r="H119" s="1"/>
      <c r="J119">
        <v>98</v>
      </c>
      <c r="L119" s="2">
        <f>Decomposition!C108</f>
        <v>256687</v>
      </c>
      <c r="M119" s="9">
        <f t="shared" si="9"/>
        <v>142734.29999999999</v>
      </c>
      <c r="N119">
        <f t="shared" si="10"/>
        <v>74681026.333409667</v>
      </c>
      <c r="O119" s="1">
        <f t="shared" si="11"/>
        <v>127306057.22833335</v>
      </c>
      <c r="P119" s="1">
        <f t="shared" si="12"/>
        <v>113952.70000000001</v>
      </c>
      <c r="Q119" s="39">
        <f t="shared" si="13"/>
        <v>0.44393638945486141</v>
      </c>
      <c r="R119" s="39">
        <f t="shared" si="14"/>
        <v>0.44393638945486141</v>
      </c>
      <c r="S119" s="34"/>
    </row>
    <row r="120" spans="1:20" x14ac:dyDescent="0.3">
      <c r="A120" s="30">
        <v>45352</v>
      </c>
      <c r="B120">
        <v>99</v>
      </c>
      <c r="C120" s="10">
        <f>Decomposition!I109</f>
        <v>243716.687854663</v>
      </c>
      <c r="D120" s="34">
        <f>Decomposition!H109</f>
        <v>1.1421704539411746</v>
      </c>
      <c r="E120">
        <f>Data!C100</f>
        <v>278366</v>
      </c>
      <c r="F120" s="1">
        <f t="shared" si="15"/>
        <v>278366</v>
      </c>
      <c r="G120" s="1">
        <v>278366</v>
      </c>
      <c r="H120" s="1"/>
      <c r="J120">
        <v>99</v>
      </c>
      <c r="L120" s="2">
        <f>Decomposition!C109</f>
        <v>278366</v>
      </c>
      <c r="M120" s="9">
        <f t="shared" si="9"/>
        <v>142160.65</v>
      </c>
      <c r="N120">
        <f t="shared" si="10"/>
        <v>116388696.83052616</v>
      </c>
      <c r="O120" s="1">
        <f t="shared" si="11"/>
        <v>181881346.751201</v>
      </c>
      <c r="P120" s="1">
        <f t="shared" si="12"/>
        <v>136205.35</v>
      </c>
      <c r="Q120" s="39">
        <f t="shared" si="13"/>
        <v>0.48930311173059932</v>
      </c>
      <c r="R120" s="39">
        <f t="shared" si="14"/>
        <v>0.48930311173059932</v>
      </c>
      <c r="S120" s="34"/>
    </row>
    <row r="121" spans="1:20" x14ac:dyDescent="0.3">
      <c r="A121" s="30">
        <v>45383</v>
      </c>
      <c r="B121">
        <v>100</v>
      </c>
      <c r="C121" s="10">
        <f>Decomposition!I110</f>
        <v>251820.89122156557</v>
      </c>
      <c r="D121" s="34">
        <f>Decomposition!H110</f>
        <v>0.89114925656645383</v>
      </c>
      <c r="E121">
        <f>Data!C101</f>
        <v>224410</v>
      </c>
      <c r="F121" s="1">
        <f t="shared" si="15"/>
        <v>224410</v>
      </c>
      <c r="G121" s="1">
        <v>224410</v>
      </c>
      <c r="H121" s="1"/>
      <c r="J121">
        <v>100</v>
      </c>
      <c r="L121" s="2">
        <f>Decomposition!C110</f>
        <v>224410</v>
      </c>
      <c r="M121" s="9">
        <f t="shared" si="9"/>
        <v>141587</v>
      </c>
      <c r="N121">
        <f t="shared" si="10"/>
        <v>29658036.343790293</v>
      </c>
      <c r="O121" s="1">
        <f t="shared" si="11"/>
        <v>67251464.009803921</v>
      </c>
      <c r="P121" s="1">
        <f t="shared" si="12"/>
        <v>82823</v>
      </c>
      <c r="Q121" s="39">
        <f t="shared" si="13"/>
        <v>0.36907000579296823</v>
      </c>
      <c r="R121" s="39">
        <f t="shared" si="14"/>
        <v>0.36907000579296823</v>
      </c>
      <c r="S121" s="34"/>
    </row>
    <row r="122" spans="1:20" x14ac:dyDescent="0.3">
      <c r="A122" s="30">
        <v>45413</v>
      </c>
      <c r="B122">
        <v>101</v>
      </c>
      <c r="C122" s="10">
        <f>Decomposition!I111</f>
        <v>251384.77765953002</v>
      </c>
      <c r="D122" s="34">
        <f>Decomposition!H111</f>
        <v>0.72718404710878848</v>
      </c>
      <c r="E122">
        <f>Data!C102</f>
        <v>182803</v>
      </c>
      <c r="F122" s="1">
        <f t="shared" si="15"/>
        <v>182803</v>
      </c>
      <c r="G122" s="1">
        <v>182803</v>
      </c>
      <c r="H122" s="1"/>
      <c r="J122">
        <v>101</v>
      </c>
      <c r="L122" s="2">
        <f>Decomposition!C111</f>
        <v>182803</v>
      </c>
      <c r="M122" s="9">
        <f t="shared" si="9"/>
        <v>141013.35</v>
      </c>
      <c r="N122">
        <f t="shared" si="10"/>
        <v>1758839.2123023972</v>
      </c>
      <c r="O122" s="1">
        <f t="shared" si="11"/>
        <v>17121322.030612741</v>
      </c>
      <c r="P122" s="1">
        <f t="shared" si="12"/>
        <v>41789.649999999994</v>
      </c>
      <c r="Q122" s="39">
        <f t="shared" si="13"/>
        <v>0.22860483690092609</v>
      </c>
      <c r="R122" s="39">
        <f t="shared" si="14"/>
        <v>0.22860483690092609</v>
      </c>
      <c r="S122" s="34"/>
    </row>
    <row r="123" spans="1:20" x14ac:dyDescent="0.3">
      <c r="A123" s="30">
        <v>45444</v>
      </c>
      <c r="B123">
        <v>102</v>
      </c>
      <c r="C123" s="10">
        <f>Decomposition!I112</f>
        <v>252067.36964108417</v>
      </c>
      <c r="D123" s="34">
        <f>Decomposition!H112</f>
        <v>0.67381589390901009</v>
      </c>
      <c r="E123">
        <f>Data!C103</f>
        <v>169847</v>
      </c>
      <c r="F123" s="1">
        <f t="shared" si="15"/>
        <v>169847</v>
      </c>
      <c r="G123">
        <v>169847</v>
      </c>
      <c r="J123">
        <v>102</v>
      </c>
      <c r="L123" s="2">
        <f>Decomposition!C112</f>
        <v>169847</v>
      </c>
      <c r="M123" s="9">
        <f t="shared" si="9"/>
        <v>140439.70000000001</v>
      </c>
      <c r="N123">
        <f t="shared" si="10"/>
        <v>1881.5813912070755</v>
      </c>
      <c r="O123" s="1">
        <f t="shared" si="11"/>
        <v>8478326.4048039149</v>
      </c>
      <c r="P123" s="1">
        <f t="shared" si="12"/>
        <v>29407.299999999988</v>
      </c>
      <c r="Q123" s="39">
        <f t="shared" si="13"/>
        <v>0.17313994359629542</v>
      </c>
      <c r="R123" s="39">
        <f t="shared" si="14"/>
        <v>0.17313994359629542</v>
      </c>
      <c r="S123" s="34"/>
      <c r="T123" s="34"/>
    </row>
    <row r="124" spans="1:20" x14ac:dyDescent="0.3">
      <c r="A124" s="52">
        <v>45474</v>
      </c>
      <c r="B124" s="5">
        <v>103</v>
      </c>
      <c r="C124" s="10">
        <f>Decomposition!I113</f>
        <v>272315.58178028866</v>
      </c>
      <c r="D124" s="34">
        <f>Decomposition!H113</f>
        <v>0.85601050985057181</v>
      </c>
      <c r="E124">
        <f>Data!C104</f>
        <v>233105</v>
      </c>
      <c r="F124" s="1">
        <f t="shared" si="15"/>
        <v>233104.99999999997</v>
      </c>
      <c r="G124" s="1">
        <v>233104.99999999997</v>
      </c>
      <c r="H124" s="1">
        <v>233104.99999999997</v>
      </c>
      <c r="I124" s="1">
        <v>233104.99999999997</v>
      </c>
      <c r="J124" s="5">
        <v>103</v>
      </c>
      <c r="K124" s="5"/>
      <c r="L124" s="2">
        <f>Decomposition!C113</f>
        <v>233105</v>
      </c>
      <c r="M124" s="9">
        <f t="shared" ref="M124:M141" si="16">-573.65*J124+198952</f>
        <v>139866.04999999999</v>
      </c>
      <c r="N124">
        <f>((L124-AVERAGE(L$22:L$124))^2)/COUNT(L$22:L$124)</f>
        <v>38629064.710582808</v>
      </c>
      <c r="O124" s="1">
        <f>((L124-M124)^2)/COUNT(L$22:L$124)</f>
        <v>84402930.068956345</v>
      </c>
      <c r="P124" s="1">
        <f>ABS(L124-M124)</f>
        <v>93238.950000000012</v>
      </c>
      <c r="Q124" s="39">
        <f t="shared" ref="Q124" si="17">P124/L124</f>
        <v>0.39998691576757262</v>
      </c>
      <c r="R124" s="39">
        <f t="shared" si="14"/>
        <v>0.39998691576757262</v>
      </c>
      <c r="S124" s="34"/>
    </row>
    <row r="125" spans="1:20" x14ac:dyDescent="0.3">
      <c r="A125" s="52">
        <v>45505</v>
      </c>
      <c r="B125" s="5">
        <v>104</v>
      </c>
      <c r="C125" s="9">
        <f xml:space="preserve"> -494.98*B125 + 200210</f>
        <v>148732.08000000002</v>
      </c>
      <c r="D125" s="34">
        <f>Decomposition!H114</f>
        <v>0.756269253937361</v>
      </c>
      <c r="E125" s="5"/>
      <c r="F125" s="9">
        <f xml:space="preserve"> -521.43*B125 + 197142</f>
        <v>142913.28</v>
      </c>
      <c r="G125" s="1">
        <v>127273.00426635912</v>
      </c>
      <c r="H125" s="9">
        <f>G125-_xlfn.FORECAST.ETS.CONFINT(A125,$E$22:$E$124,$A$22:$A$124,0.95,1,1)</f>
        <v>60759.909824367918</v>
      </c>
      <c r="I125" s="9">
        <f>G125+_xlfn.FORECAST.ETS.CONFINT(A125,$E$22:$E$124,$A$22:$A$124,0.95,1,1)</f>
        <v>193786.09870835033</v>
      </c>
      <c r="J125" s="5">
        <v>104</v>
      </c>
      <c r="K125" s="5"/>
      <c r="M125" s="9">
        <f t="shared" si="16"/>
        <v>139292.4</v>
      </c>
      <c r="O125" s="1"/>
      <c r="P125" s="1"/>
      <c r="Q125" s="34"/>
      <c r="R125" s="34"/>
      <c r="S125" s="34"/>
    </row>
    <row r="126" spans="1:20" x14ac:dyDescent="0.3">
      <c r="A126" s="52">
        <v>45536</v>
      </c>
      <c r="B126" s="5">
        <v>105</v>
      </c>
      <c r="C126" s="9">
        <f t="shared" ref="C126:C141" si="18" xml:space="preserve"> -494.98*B126 + 200210</f>
        <v>148237.1</v>
      </c>
      <c r="D126" s="34">
        <f>Decomposition!H115</f>
        <v>0.81803490195971706</v>
      </c>
      <c r="E126" s="5"/>
      <c r="F126" s="9">
        <f xml:space="preserve"> -521.43*B126 + 197142</f>
        <v>142391.85</v>
      </c>
      <c r="G126" s="1">
        <v>157373.68109237083</v>
      </c>
      <c r="H126" s="9">
        <f t="shared" ref="H126:H141" si="19">G126-_xlfn.FORECAST.ETS.CONFINT(A126,$E$22:$E$124,$A$22:$A$124,0.95,1,1)</f>
        <v>63356.980953375765</v>
      </c>
      <c r="I126" s="9">
        <f t="shared" ref="I126:I141" si="20">G126+_xlfn.FORECAST.ETS.CONFINT(A126,$E$22:$E$124,$A$22:$A$124,0.95,1,1)</f>
        <v>251390.3812313659</v>
      </c>
      <c r="J126" s="5">
        <v>105</v>
      </c>
      <c r="K126" s="5"/>
      <c r="M126" s="9">
        <f t="shared" si="16"/>
        <v>138718.75</v>
      </c>
      <c r="O126" s="1"/>
      <c r="P126" s="1"/>
      <c r="Q126" s="34"/>
      <c r="R126" s="34"/>
      <c r="S126" s="34"/>
    </row>
    <row r="127" spans="1:20" x14ac:dyDescent="0.3">
      <c r="A127" s="52">
        <v>45566</v>
      </c>
      <c r="B127" s="5">
        <v>106</v>
      </c>
      <c r="C127" s="9">
        <f t="shared" si="18"/>
        <v>147742.12</v>
      </c>
      <c r="D127" s="34">
        <f>Decomposition!H116</f>
        <v>0.91618806527394414</v>
      </c>
      <c r="E127" s="5"/>
      <c r="F127" s="9">
        <f t="shared" ref="F127:F141" si="21" xml:space="preserve"> -521.43*B127 + 197142</f>
        <v>141870.42000000001</v>
      </c>
      <c r="G127" s="1">
        <v>171311.20924675299</v>
      </c>
      <c r="H127" s="9">
        <f t="shared" si="19"/>
        <v>56145.538852859318</v>
      </c>
      <c r="I127" s="9">
        <f t="shared" si="20"/>
        <v>286476.87964064663</v>
      </c>
      <c r="J127" s="5">
        <v>106</v>
      </c>
      <c r="K127" s="5"/>
      <c r="M127" s="9">
        <f t="shared" si="16"/>
        <v>138145.1</v>
      </c>
      <c r="O127" s="1"/>
      <c r="P127" s="1"/>
      <c r="Q127" s="34"/>
      <c r="R127" s="34"/>
      <c r="S127" s="34"/>
    </row>
    <row r="128" spans="1:20" x14ac:dyDescent="0.3">
      <c r="A128" s="52">
        <v>45597</v>
      </c>
      <c r="B128" s="5">
        <v>107</v>
      </c>
      <c r="C128" s="9">
        <f t="shared" si="18"/>
        <v>147247.14000000001</v>
      </c>
      <c r="D128" s="34">
        <f>Decomposition!H117</f>
        <v>1.1708334570680377</v>
      </c>
      <c r="E128" s="5"/>
      <c r="F128" s="9">
        <f t="shared" si="21"/>
        <v>141348.99</v>
      </c>
      <c r="G128" s="1">
        <v>146363.33241386691</v>
      </c>
      <c r="H128" s="9">
        <f t="shared" si="19"/>
        <v>13337.110273341445</v>
      </c>
      <c r="I128" s="9">
        <f t="shared" si="20"/>
        <v>279389.55455439235</v>
      </c>
      <c r="J128" s="5">
        <v>107</v>
      </c>
      <c r="K128" s="5"/>
      <c r="M128" s="9">
        <f t="shared" si="16"/>
        <v>137571.45000000001</v>
      </c>
      <c r="O128" s="1"/>
      <c r="P128" s="1"/>
      <c r="Q128" s="34"/>
      <c r="R128" s="34"/>
      <c r="S128" s="34"/>
    </row>
    <row r="129" spans="1:19" x14ac:dyDescent="0.3">
      <c r="A129" s="52">
        <v>45627</v>
      </c>
      <c r="B129" s="5">
        <v>108</v>
      </c>
      <c r="C129" s="9">
        <f t="shared" si="18"/>
        <v>146752.16</v>
      </c>
      <c r="D129" s="34">
        <f>Decomposition!H118</f>
        <v>1.3918574426414096</v>
      </c>
      <c r="E129" s="5"/>
      <c r="F129" s="9">
        <f t="shared" si="21"/>
        <v>140827.56</v>
      </c>
      <c r="G129" s="1">
        <v>170520.89242979808</v>
      </c>
      <c r="H129" s="9">
        <f t="shared" si="19"/>
        <v>21733.523435902636</v>
      </c>
      <c r="I129" s="9">
        <f t="shared" si="20"/>
        <v>319308.2614236935</v>
      </c>
      <c r="J129" s="5">
        <v>108</v>
      </c>
      <c r="K129" s="5"/>
      <c r="M129" s="9">
        <f t="shared" si="16"/>
        <v>136997.79999999999</v>
      </c>
      <c r="O129" s="1"/>
      <c r="P129" s="1"/>
      <c r="Q129" s="34"/>
      <c r="R129" s="34"/>
      <c r="S129" s="34"/>
    </row>
    <row r="130" spans="1:19" x14ac:dyDescent="0.3">
      <c r="A130" s="52">
        <v>45658</v>
      </c>
      <c r="B130" s="5">
        <v>109</v>
      </c>
      <c r="C130" s="9">
        <f t="shared" si="18"/>
        <v>146257.18</v>
      </c>
      <c r="D130" s="34">
        <f>Decomposition!H119</f>
        <v>1.5205003171334823</v>
      </c>
      <c r="E130" s="5"/>
      <c r="F130" s="9">
        <f t="shared" si="21"/>
        <v>140306.13</v>
      </c>
      <c r="G130" s="1">
        <v>137182.58448285674</v>
      </c>
      <c r="H130" s="9">
        <f t="shared" si="19"/>
        <v>-25876.474359925516</v>
      </c>
      <c r="I130" s="9">
        <f t="shared" si="20"/>
        <v>300241.64332563896</v>
      </c>
      <c r="J130" s="5">
        <v>109</v>
      </c>
      <c r="K130" s="5"/>
      <c r="M130" s="9">
        <f t="shared" si="16"/>
        <v>136424.15</v>
      </c>
      <c r="O130" s="1"/>
      <c r="P130" s="1"/>
      <c r="Q130" s="34"/>
      <c r="R130" s="34"/>
      <c r="S130" s="34"/>
    </row>
    <row r="131" spans="1:19" x14ac:dyDescent="0.3">
      <c r="A131" s="52">
        <v>45689</v>
      </c>
      <c r="B131" s="5">
        <v>110</v>
      </c>
      <c r="C131" s="9">
        <f t="shared" si="18"/>
        <v>145762.20000000001</v>
      </c>
      <c r="D131" s="34">
        <f>Decomposition!H120</f>
        <v>1.1359864006100491</v>
      </c>
      <c r="E131" s="5"/>
      <c r="F131" s="9">
        <f t="shared" si="21"/>
        <v>139784.70000000001</v>
      </c>
      <c r="G131" s="1">
        <v>117509.1200896368</v>
      </c>
      <c r="H131" s="9">
        <f t="shared" si="19"/>
        <v>-58694.486912799097</v>
      </c>
      <c r="I131" s="9">
        <f t="shared" si="20"/>
        <v>293712.72709207272</v>
      </c>
      <c r="J131" s="5">
        <v>110</v>
      </c>
      <c r="K131" s="5"/>
      <c r="M131" s="9">
        <f t="shared" si="16"/>
        <v>135850.5</v>
      </c>
      <c r="O131" s="1"/>
      <c r="P131" s="1"/>
      <c r="Q131" s="34"/>
      <c r="R131" s="34"/>
      <c r="S131" s="34"/>
    </row>
    <row r="132" spans="1:19" x14ac:dyDescent="0.3">
      <c r="A132" s="52">
        <v>45717</v>
      </c>
      <c r="B132" s="5">
        <v>111</v>
      </c>
      <c r="C132" s="9">
        <f t="shared" si="18"/>
        <v>145267.22</v>
      </c>
      <c r="D132" s="34">
        <f>Decomposition!H121</f>
        <v>1.1421704539411746</v>
      </c>
      <c r="E132" s="5"/>
      <c r="F132" s="9">
        <f t="shared" si="21"/>
        <v>139263.27000000002</v>
      </c>
      <c r="G132" s="1">
        <v>100764.33192118307</v>
      </c>
      <c r="H132" s="9">
        <f t="shared" si="19"/>
        <v>-87692.701298683591</v>
      </c>
      <c r="I132" s="9">
        <f t="shared" si="20"/>
        <v>289221.36514104973</v>
      </c>
      <c r="J132" s="5">
        <v>111</v>
      </c>
      <c r="K132" s="5"/>
      <c r="M132" s="9">
        <f t="shared" si="16"/>
        <v>135276.85</v>
      </c>
      <c r="O132" s="1"/>
      <c r="P132" s="1"/>
      <c r="Q132" s="34"/>
      <c r="R132" s="34"/>
      <c r="S132" s="34"/>
    </row>
    <row r="133" spans="1:19" x14ac:dyDescent="0.3">
      <c r="A133" s="52">
        <v>45748</v>
      </c>
      <c r="B133" s="5">
        <v>112</v>
      </c>
      <c r="C133" s="9">
        <f t="shared" si="18"/>
        <v>144772.24</v>
      </c>
      <c r="D133" s="34">
        <f>Decomposition!H122</f>
        <v>0.89114925656645383</v>
      </c>
      <c r="E133" s="5"/>
      <c r="F133" s="9">
        <f t="shared" si="21"/>
        <v>138741.84</v>
      </c>
      <c r="G133" s="1">
        <v>89001.629900717424</v>
      </c>
      <c r="H133" s="9">
        <f t="shared" si="19"/>
        <v>-110981.60006312856</v>
      </c>
      <c r="I133" s="9">
        <f t="shared" si="20"/>
        <v>288984.85986456339</v>
      </c>
      <c r="J133" s="5">
        <v>112</v>
      </c>
      <c r="K133" s="5"/>
      <c r="M133" s="9">
        <f t="shared" si="16"/>
        <v>134703.20000000001</v>
      </c>
      <c r="O133" s="1"/>
      <c r="P133" s="1"/>
      <c r="Q133" s="34"/>
      <c r="R133" s="34"/>
      <c r="S133" s="34"/>
    </row>
    <row r="134" spans="1:19" x14ac:dyDescent="0.3">
      <c r="A134" s="52">
        <v>45778</v>
      </c>
      <c r="B134" s="5">
        <v>113</v>
      </c>
      <c r="C134" s="9">
        <f t="shared" si="18"/>
        <v>144277.26</v>
      </c>
      <c r="D134" s="34">
        <f>Decomposition!H123</f>
        <v>0.72718404710878848</v>
      </c>
      <c r="E134" s="5"/>
      <c r="F134" s="9">
        <f t="shared" si="21"/>
        <v>138220.41</v>
      </c>
      <c r="G134" s="1">
        <v>87263.781786629668</v>
      </c>
      <c r="H134" s="9">
        <f t="shared" si="19"/>
        <v>-123637.70388587128</v>
      </c>
      <c r="I134" s="9">
        <f t="shared" si="20"/>
        <v>298165.26745913061</v>
      </c>
      <c r="J134" s="5">
        <v>113</v>
      </c>
      <c r="K134" s="5"/>
      <c r="M134" s="9">
        <f t="shared" si="16"/>
        <v>134129.54999999999</v>
      </c>
      <c r="O134" s="1"/>
      <c r="P134" s="1"/>
      <c r="Q134" s="34"/>
      <c r="R134" s="34"/>
      <c r="S134" s="34"/>
    </row>
    <row r="135" spans="1:19" x14ac:dyDescent="0.3">
      <c r="A135" s="52">
        <v>45809</v>
      </c>
      <c r="B135" s="5">
        <v>114</v>
      </c>
      <c r="C135" s="9">
        <f t="shared" si="18"/>
        <v>143782.28</v>
      </c>
      <c r="D135" s="34">
        <f>Decomposition!H124</f>
        <v>0.67381589390901009</v>
      </c>
      <c r="E135" s="5"/>
      <c r="F135" s="9">
        <f t="shared" si="21"/>
        <v>137698.98000000001</v>
      </c>
      <c r="G135" s="1">
        <v>107419.62520292136</v>
      </c>
      <c r="H135" s="9">
        <f t="shared" si="19"/>
        <v>-113882.19447849071</v>
      </c>
      <c r="I135" s="9">
        <f t="shared" si="20"/>
        <v>328721.44488433341</v>
      </c>
      <c r="J135" s="5">
        <v>114</v>
      </c>
      <c r="K135" s="5"/>
      <c r="M135" s="9">
        <f t="shared" si="16"/>
        <v>133555.9</v>
      </c>
      <c r="O135" s="1"/>
      <c r="P135" s="1"/>
      <c r="Q135" s="34"/>
      <c r="R135" s="34"/>
      <c r="S135" s="34"/>
    </row>
    <row r="136" spans="1:19" x14ac:dyDescent="0.3">
      <c r="A136" s="52">
        <v>45839</v>
      </c>
      <c r="B136" s="5">
        <v>115</v>
      </c>
      <c r="C136" s="9">
        <f t="shared" si="18"/>
        <v>143287.29999999999</v>
      </c>
      <c r="D136" s="34">
        <f>Decomposition!H125</f>
        <v>0.85601050985057181</v>
      </c>
      <c r="E136" s="5"/>
      <c r="F136" s="9">
        <f t="shared" si="21"/>
        <v>137177.54999999999</v>
      </c>
      <c r="G136" s="1">
        <v>121757.86300328879</v>
      </c>
      <c r="H136" s="9">
        <f t="shared" si="19"/>
        <v>-109496.27711330297</v>
      </c>
      <c r="I136" s="9">
        <f t="shared" si="20"/>
        <v>353012.00311988057</v>
      </c>
      <c r="J136" s="5">
        <v>115</v>
      </c>
      <c r="K136" s="5"/>
      <c r="M136" s="9">
        <f t="shared" si="16"/>
        <v>132982.25</v>
      </c>
      <c r="O136" s="1"/>
      <c r="P136" s="1"/>
      <c r="Q136" s="34"/>
      <c r="R136" s="34"/>
      <c r="S136" s="34"/>
    </row>
    <row r="137" spans="1:19" x14ac:dyDescent="0.3">
      <c r="A137" s="52">
        <v>45870</v>
      </c>
      <c r="B137" s="5">
        <v>116</v>
      </c>
      <c r="C137" s="9">
        <f t="shared" si="18"/>
        <v>142792.32000000001</v>
      </c>
      <c r="D137" s="34">
        <f>Decomposition!H126</f>
        <v>0.756269253937361</v>
      </c>
      <c r="E137" s="5"/>
      <c r="F137" s="9">
        <f t="shared" si="21"/>
        <v>136656.12</v>
      </c>
      <c r="G137" s="1">
        <v>150527.21159869235</v>
      </c>
      <c r="H137" s="9">
        <f t="shared" si="19"/>
        <v>-90286.806446627656</v>
      </c>
      <c r="I137" s="9">
        <f t="shared" si="20"/>
        <v>391341.22964401235</v>
      </c>
      <c r="J137" s="5">
        <v>116</v>
      </c>
      <c r="K137" s="5"/>
      <c r="M137" s="9">
        <f t="shared" si="16"/>
        <v>132408.6</v>
      </c>
      <c r="O137" s="1"/>
      <c r="P137" s="1"/>
      <c r="Q137" s="34"/>
      <c r="R137" s="34"/>
      <c r="S137" s="34"/>
    </row>
    <row r="138" spans="1:19" x14ac:dyDescent="0.3">
      <c r="A138" s="52">
        <v>45901</v>
      </c>
      <c r="B138" s="5">
        <v>117</v>
      </c>
      <c r="C138" s="9">
        <f t="shared" si="18"/>
        <v>142297.34</v>
      </c>
      <c r="D138" s="34">
        <f>Decomposition!H127</f>
        <v>0.81803490195971706</v>
      </c>
      <c r="E138" s="5"/>
      <c r="F138" s="9">
        <f t="shared" si="21"/>
        <v>136134.69</v>
      </c>
      <c r="G138" s="1">
        <v>163828.8014021063</v>
      </c>
      <c r="H138" s="9">
        <f t="shared" si="19"/>
        <v>-86197.689475340594</v>
      </c>
      <c r="I138" s="9">
        <f t="shared" si="20"/>
        <v>413855.29227955319</v>
      </c>
      <c r="J138" s="5">
        <v>117</v>
      </c>
      <c r="K138" s="5"/>
      <c r="M138" s="9">
        <f t="shared" si="16"/>
        <v>131834.95000000001</v>
      </c>
      <c r="O138" s="1"/>
      <c r="P138" s="1"/>
      <c r="Q138" s="34"/>
      <c r="R138" s="34"/>
      <c r="S138" s="34"/>
    </row>
    <row r="139" spans="1:19" x14ac:dyDescent="0.3">
      <c r="A139" s="52">
        <v>45931</v>
      </c>
      <c r="B139" s="5">
        <v>118</v>
      </c>
      <c r="C139" s="9">
        <f t="shared" si="18"/>
        <v>141802.35999999999</v>
      </c>
      <c r="D139" s="34">
        <f>Decomposition!H128</f>
        <v>0.91618806527394414</v>
      </c>
      <c r="E139" s="5"/>
      <c r="F139" s="9">
        <f t="shared" si="21"/>
        <v>135613.26</v>
      </c>
      <c r="G139" s="1">
        <v>139945.09534940214</v>
      </c>
      <c r="H139" s="9">
        <f t="shared" si="19"/>
        <v>-118983.56418662277</v>
      </c>
      <c r="I139" s="9">
        <f t="shared" si="20"/>
        <v>398873.75488542707</v>
      </c>
      <c r="J139" s="5">
        <v>118</v>
      </c>
      <c r="K139" s="5"/>
      <c r="M139" s="9">
        <f t="shared" si="16"/>
        <v>131261.29999999999</v>
      </c>
      <c r="O139" s="1"/>
      <c r="P139" s="1"/>
      <c r="Q139" s="34"/>
      <c r="R139" s="34"/>
      <c r="S139" s="34"/>
    </row>
    <row r="140" spans="1:19" x14ac:dyDescent="0.3">
      <c r="A140" s="52">
        <v>45962</v>
      </c>
      <c r="B140" s="5">
        <v>119</v>
      </c>
      <c r="C140" s="9">
        <f t="shared" si="18"/>
        <v>141307.38</v>
      </c>
      <c r="D140" s="34">
        <f>Decomposition!H129</f>
        <v>1.1708334570680377</v>
      </c>
      <c r="E140" s="5"/>
      <c r="F140" s="9">
        <f t="shared" si="21"/>
        <v>135091.83000000002</v>
      </c>
      <c r="G140" s="1">
        <v>163013.38391862271</v>
      </c>
      <c r="H140" s="9">
        <f t="shared" si="19"/>
        <v>-104538.13243105749</v>
      </c>
      <c r="I140" s="9">
        <f t="shared" si="20"/>
        <v>430564.90026830288</v>
      </c>
      <c r="J140" s="5">
        <v>119</v>
      </c>
      <c r="K140" s="5"/>
      <c r="M140" s="9">
        <f t="shared" si="16"/>
        <v>130687.65000000001</v>
      </c>
      <c r="O140" s="1"/>
      <c r="P140" s="1"/>
      <c r="Q140" s="34"/>
      <c r="R140" s="34"/>
      <c r="S140" s="34"/>
    </row>
    <row r="141" spans="1:19" x14ac:dyDescent="0.3">
      <c r="A141" s="52">
        <v>45992</v>
      </c>
      <c r="B141" s="5">
        <v>120</v>
      </c>
      <c r="C141" s="9">
        <f t="shared" si="18"/>
        <v>140812.4</v>
      </c>
      <c r="D141" s="34">
        <f>Decomposition!H130</f>
        <v>1.3918574426414096</v>
      </c>
      <c r="E141" s="5"/>
      <c r="F141" s="9">
        <f t="shared" si="21"/>
        <v>134570.40000000002</v>
      </c>
      <c r="G141" s="1">
        <v>131118.58793562278</v>
      </c>
      <c r="H141" s="9">
        <f t="shared" si="19"/>
        <v>-144802.67710957979</v>
      </c>
      <c r="I141" s="9">
        <f t="shared" si="20"/>
        <v>407039.85298082535</v>
      </c>
      <c r="J141" s="5">
        <v>120</v>
      </c>
      <c r="K141" s="5"/>
      <c r="M141" s="9">
        <f t="shared" si="16"/>
        <v>130114</v>
      </c>
      <c r="O141" s="1"/>
      <c r="P141" s="1"/>
      <c r="Q141" s="34"/>
      <c r="R141" s="34"/>
      <c r="S141" s="34"/>
    </row>
    <row r="142" spans="1:19" x14ac:dyDescent="0.3">
      <c r="A142" s="52"/>
      <c r="B142" s="5"/>
      <c r="C142" s="9"/>
      <c r="D142" s="5"/>
      <c r="F142" s="1"/>
      <c r="G142" s="1"/>
      <c r="H142" s="1"/>
      <c r="J142" s="5"/>
      <c r="K142" s="5"/>
      <c r="L142" s="9"/>
      <c r="M142" s="9"/>
    </row>
    <row r="143" spans="1:19" x14ac:dyDescent="0.3">
      <c r="A143" s="52"/>
      <c r="B143" s="5"/>
      <c r="C143" s="9"/>
      <c r="D143" s="5"/>
      <c r="F143" s="1"/>
      <c r="G143" s="1"/>
      <c r="H143" s="1"/>
      <c r="J143" s="5"/>
      <c r="K143" s="5"/>
      <c r="L143" s="9"/>
      <c r="M143" s="9"/>
    </row>
    <row r="144" spans="1:19" x14ac:dyDescent="0.3">
      <c r="A144" s="52"/>
      <c r="B144" s="5"/>
      <c r="C144" s="9"/>
      <c r="D144" s="5"/>
      <c r="F144" s="1"/>
      <c r="G144" s="1"/>
      <c r="H144" s="1"/>
      <c r="J144" s="5"/>
      <c r="K144" s="5"/>
      <c r="L144" s="9"/>
      <c r="M144" s="9"/>
    </row>
    <row r="145" spans="1:13" x14ac:dyDescent="0.3">
      <c r="A145" s="52"/>
      <c r="B145" s="5"/>
      <c r="C145" s="9"/>
      <c r="D145" s="5"/>
      <c r="F145" s="1"/>
      <c r="G145" s="1"/>
      <c r="H145" s="1"/>
      <c r="J145" s="5"/>
      <c r="K145" s="5"/>
      <c r="L145" s="9"/>
      <c r="M145" s="9"/>
    </row>
    <row r="146" spans="1:13" x14ac:dyDescent="0.3">
      <c r="A146" s="52"/>
      <c r="B146" s="5"/>
      <c r="C146" s="9"/>
      <c r="D146" s="5"/>
      <c r="F146" s="1"/>
      <c r="G146" s="1"/>
      <c r="H146" s="1"/>
      <c r="J146" s="5"/>
      <c r="K146" s="5"/>
      <c r="L146" s="9"/>
      <c r="M146" s="9"/>
    </row>
    <row r="147" spans="1:13" x14ac:dyDescent="0.3">
      <c r="A147" s="52"/>
      <c r="B147" s="5"/>
      <c r="C147" s="9"/>
      <c r="D147" s="5"/>
      <c r="F147" s="1"/>
      <c r="G147" s="1"/>
      <c r="H147" s="1"/>
      <c r="J147" s="5"/>
      <c r="K147" s="5"/>
      <c r="L147" s="9"/>
      <c r="M147" s="9"/>
    </row>
    <row r="148" spans="1:13" x14ac:dyDescent="0.3">
      <c r="A148" s="52"/>
      <c r="B148" s="5"/>
      <c r="C148" s="9"/>
      <c r="D148" s="5"/>
      <c r="F148" s="1"/>
      <c r="G148" s="1"/>
      <c r="H148" s="1"/>
      <c r="J148" s="5"/>
      <c r="K148" s="5"/>
      <c r="L148" s="9"/>
      <c r="M148" s="9"/>
    </row>
    <row r="149" spans="1:13" x14ac:dyDescent="0.3">
      <c r="A149" s="52"/>
      <c r="B149" s="5"/>
      <c r="C149" s="9"/>
      <c r="D149" s="5"/>
      <c r="F149" s="1"/>
      <c r="G149" s="1"/>
      <c r="H149" s="1"/>
      <c r="J149" s="5"/>
      <c r="K149" s="5"/>
      <c r="L149" s="9"/>
      <c r="M149" s="9"/>
    </row>
    <row r="150" spans="1:13" x14ac:dyDescent="0.3">
      <c r="A150" s="52"/>
      <c r="B150" s="5"/>
      <c r="C150" s="9"/>
      <c r="D150" s="5"/>
      <c r="F150" s="1"/>
      <c r="G150" s="1"/>
      <c r="H150" s="1"/>
      <c r="J150" s="5"/>
      <c r="K150" s="5"/>
      <c r="L150" s="9"/>
      <c r="M150" s="9"/>
    </row>
    <row r="151" spans="1:13" x14ac:dyDescent="0.3">
      <c r="C151" s="1"/>
      <c r="F151" s="1"/>
      <c r="G151" s="1"/>
      <c r="H151" s="1"/>
    </row>
    <row r="152" spans="1:13" x14ac:dyDescent="0.3">
      <c r="C152" s="1"/>
      <c r="F152" s="1"/>
      <c r="G152" s="1"/>
      <c r="H152" s="1"/>
    </row>
    <row r="153" spans="1:13" x14ac:dyDescent="0.3">
      <c r="C153" s="1"/>
      <c r="F153" s="1"/>
      <c r="G153" s="1"/>
      <c r="H153" s="1"/>
    </row>
    <row r="154" spans="1:13" x14ac:dyDescent="0.3">
      <c r="C154" s="1"/>
      <c r="F154" s="1"/>
      <c r="G154" s="1"/>
      <c r="H154" s="1"/>
    </row>
    <row r="155" spans="1:13" x14ac:dyDescent="0.3">
      <c r="C155" s="1"/>
      <c r="F155" s="1"/>
      <c r="G155" s="1"/>
      <c r="H155" s="1"/>
    </row>
    <row r="156" spans="1:13" x14ac:dyDescent="0.3">
      <c r="C156" s="1"/>
      <c r="F156" s="1"/>
      <c r="G156" s="1"/>
      <c r="H156" s="1"/>
    </row>
    <row r="157" spans="1:13" x14ac:dyDescent="0.3">
      <c r="C157" s="1"/>
      <c r="F157" s="1"/>
      <c r="G157" s="1"/>
      <c r="H157" s="1"/>
    </row>
    <row r="158" spans="1:13" x14ac:dyDescent="0.3">
      <c r="C158" s="1"/>
      <c r="F158" s="1"/>
      <c r="G158" s="1"/>
      <c r="H158" s="1"/>
    </row>
    <row r="159" spans="1:13" x14ac:dyDescent="0.3">
      <c r="C159" s="1"/>
      <c r="F159" s="1"/>
      <c r="G159" s="1"/>
      <c r="H159" s="1"/>
    </row>
    <row r="160" spans="1:13" x14ac:dyDescent="0.3">
      <c r="C160" s="1"/>
      <c r="F160" s="1"/>
      <c r="G160" s="1"/>
      <c r="H160" s="1"/>
    </row>
    <row r="161" spans="3:8" x14ac:dyDescent="0.3">
      <c r="C161" s="1"/>
      <c r="F161" s="1"/>
      <c r="G161" s="1"/>
      <c r="H161" s="1"/>
    </row>
    <row r="162" spans="3:8" x14ac:dyDescent="0.3">
      <c r="C162" s="1"/>
      <c r="F162" s="1"/>
      <c r="G162" s="1"/>
      <c r="H162" s="1"/>
    </row>
    <row r="163" spans="3:8" x14ac:dyDescent="0.3">
      <c r="C163" s="1"/>
      <c r="F163" s="1"/>
      <c r="G163" s="1"/>
      <c r="H163" s="1"/>
    </row>
    <row r="164" spans="3:8" x14ac:dyDescent="0.3">
      <c r="C164" s="1"/>
      <c r="F164" s="1"/>
      <c r="G164" s="1"/>
      <c r="H164" s="1"/>
    </row>
    <row r="165" spans="3:8" x14ac:dyDescent="0.3">
      <c r="C165" s="1"/>
      <c r="F165" s="1"/>
      <c r="G165" s="1"/>
      <c r="H165" s="1"/>
    </row>
    <row r="166" spans="3:8" x14ac:dyDescent="0.3">
      <c r="C166" s="1"/>
      <c r="F166" s="1"/>
      <c r="G166" s="1"/>
      <c r="H166" s="1"/>
    </row>
    <row r="167" spans="3:8" x14ac:dyDescent="0.3">
      <c r="C167" s="1"/>
      <c r="F167" s="1"/>
      <c r="G167" s="1"/>
      <c r="H167" s="1"/>
    </row>
    <row r="168" spans="3:8" x14ac:dyDescent="0.3">
      <c r="C168" s="1"/>
      <c r="F168" s="1"/>
      <c r="G168" s="1"/>
      <c r="H168" s="1"/>
    </row>
    <row r="169" spans="3:8" x14ac:dyDescent="0.3">
      <c r="C169" s="1"/>
      <c r="F169" s="1"/>
      <c r="G169" s="1"/>
      <c r="H169" s="1"/>
    </row>
    <row r="170" spans="3:8" x14ac:dyDescent="0.3">
      <c r="C170" s="1"/>
      <c r="F170" s="1"/>
      <c r="G170" s="1"/>
      <c r="H170" s="1"/>
    </row>
    <row r="171" spans="3:8" x14ac:dyDescent="0.3">
      <c r="C171" s="1"/>
      <c r="F171" s="1"/>
      <c r="G171" s="1"/>
      <c r="H171" s="1"/>
    </row>
    <row r="172" spans="3:8" x14ac:dyDescent="0.3">
      <c r="C172" s="1"/>
      <c r="F172" s="1"/>
      <c r="G172" s="1"/>
      <c r="H172" s="1"/>
    </row>
    <row r="173" spans="3:8" x14ac:dyDescent="0.3">
      <c r="C173" s="1"/>
      <c r="F173" s="1"/>
      <c r="G173" s="1"/>
      <c r="H173" s="1"/>
    </row>
    <row r="174" spans="3:8" x14ac:dyDescent="0.3">
      <c r="C174" s="1"/>
      <c r="F174" s="1"/>
      <c r="G174" s="1"/>
      <c r="H174" s="1"/>
    </row>
    <row r="175" spans="3:8" x14ac:dyDescent="0.3">
      <c r="C175" s="1"/>
      <c r="F175" s="1"/>
      <c r="G175" s="1"/>
      <c r="H175" s="1"/>
    </row>
    <row r="176" spans="3:8" x14ac:dyDescent="0.3">
      <c r="C176" s="1"/>
      <c r="F176" s="1"/>
      <c r="G176" s="1"/>
      <c r="H176" s="1"/>
    </row>
    <row r="177" spans="3:8" x14ac:dyDescent="0.3">
      <c r="C177" s="1"/>
      <c r="F177" s="1"/>
      <c r="G177" s="1"/>
      <c r="H177" s="1"/>
    </row>
    <row r="178" spans="3:8" x14ac:dyDescent="0.3">
      <c r="C178" s="1"/>
      <c r="F178" s="1"/>
      <c r="G178" s="1"/>
      <c r="H178" s="1"/>
    </row>
    <row r="179" spans="3:8" x14ac:dyDescent="0.3">
      <c r="C179" s="1"/>
      <c r="F179" s="1"/>
      <c r="G179" s="1"/>
      <c r="H179" s="1"/>
    </row>
    <row r="180" spans="3:8" x14ac:dyDescent="0.3">
      <c r="C180" s="1"/>
      <c r="F180" s="1"/>
      <c r="G180" s="1"/>
      <c r="H180" s="1"/>
    </row>
    <row r="181" spans="3:8" x14ac:dyDescent="0.3">
      <c r="C181" s="1"/>
      <c r="F181" s="1"/>
      <c r="G181" s="1"/>
      <c r="H181" s="1"/>
    </row>
    <row r="182" spans="3:8" x14ac:dyDescent="0.3">
      <c r="C182" s="1"/>
      <c r="F182" s="1"/>
      <c r="G182" s="1"/>
      <c r="H182" s="1"/>
    </row>
    <row r="183" spans="3:8" x14ac:dyDescent="0.3">
      <c r="C183" s="1"/>
      <c r="F183" s="1"/>
      <c r="G183" s="1"/>
      <c r="H183" s="1"/>
    </row>
    <row r="184" spans="3:8" x14ac:dyDescent="0.3">
      <c r="C184" s="1"/>
      <c r="F184" s="1"/>
      <c r="G184" s="1"/>
      <c r="H184" s="1"/>
    </row>
    <row r="185" spans="3:8" x14ac:dyDescent="0.3">
      <c r="C185" s="1"/>
      <c r="F185" s="1"/>
      <c r="G185" s="1"/>
      <c r="H185" s="1"/>
    </row>
    <row r="186" spans="3:8" x14ac:dyDescent="0.3">
      <c r="C186" s="1"/>
      <c r="F186" s="1"/>
      <c r="G186" s="1"/>
      <c r="H186" s="1"/>
    </row>
    <row r="187" spans="3:8" x14ac:dyDescent="0.3">
      <c r="C187" s="1"/>
      <c r="F187" s="1"/>
      <c r="G187" s="1"/>
      <c r="H187" s="1"/>
    </row>
    <row r="188" spans="3:8" x14ac:dyDescent="0.3">
      <c r="C188" s="1"/>
      <c r="F188" s="1"/>
      <c r="G188" s="1"/>
      <c r="H188" s="1"/>
    </row>
    <row r="189" spans="3:8" x14ac:dyDescent="0.3">
      <c r="C189" s="1"/>
      <c r="F189" s="1"/>
      <c r="G189" s="1"/>
      <c r="H189" s="1"/>
    </row>
    <row r="190" spans="3:8" x14ac:dyDescent="0.3">
      <c r="C190" s="1"/>
      <c r="F190" s="1"/>
      <c r="G190" s="1"/>
      <c r="H190" s="1"/>
    </row>
    <row r="191" spans="3:8" x14ac:dyDescent="0.3">
      <c r="C191" s="1"/>
      <c r="F191" s="1"/>
      <c r="G191" s="1"/>
      <c r="H191" s="1"/>
    </row>
    <row r="192" spans="3:8" x14ac:dyDescent="0.3">
      <c r="C192" s="1"/>
      <c r="F192" s="1"/>
      <c r="G192" s="1"/>
      <c r="H192" s="1"/>
    </row>
    <row r="193" spans="3:8" x14ac:dyDescent="0.3">
      <c r="C193" s="1"/>
      <c r="F193" s="1"/>
      <c r="G193" s="1"/>
      <c r="H193" s="1"/>
    </row>
    <row r="194" spans="3:8" x14ac:dyDescent="0.3">
      <c r="C194" s="1"/>
      <c r="F194" s="1"/>
      <c r="G194" s="1"/>
      <c r="H194" s="1"/>
    </row>
    <row r="195" spans="3:8" x14ac:dyDescent="0.3">
      <c r="C195" s="1"/>
      <c r="F195" s="1"/>
      <c r="G195" s="1"/>
      <c r="H195" s="1"/>
    </row>
    <row r="196" spans="3:8" x14ac:dyDescent="0.3">
      <c r="C196" s="1"/>
      <c r="F196" s="1"/>
      <c r="G196" s="1"/>
      <c r="H196" s="1"/>
    </row>
    <row r="197" spans="3:8" x14ac:dyDescent="0.3">
      <c r="C197" s="1"/>
      <c r="F197" s="1"/>
      <c r="G197" s="1"/>
      <c r="H197" s="1"/>
    </row>
    <row r="198" spans="3:8" x14ac:dyDescent="0.3">
      <c r="C198" s="1"/>
      <c r="F198" s="1"/>
      <c r="G198" s="1"/>
      <c r="H198" s="1"/>
    </row>
    <row r="199" spans="3:8" x14ac:dyDescent="0.3">
      <c r="C199" s="1"/>
      <c r="F199" s="1"/>
      <c r="G199" s="1"/>
      <c r="H199" s="1"/>
    </row>
    <row r="200" spans="3:8" x14ac:dyDescent="0.3">
      <c r="C200" s="1"/>
      <c r="F200" s="1"/>
      <c r="G200" s="1"/>
      <c r="H200" s="1"/>
    </row>
    <row r="201" spans="3:8" x14ac:dyDescent="0.3">
      <c r="C201" s="1"/>
      <c r="F201" s="1"/>
      <c r="G201" s="1"/>
      <c r="H201" s="1"/>
    </row>
    <row r="202" spans="3:8" x14ac:dyDescent="0.3">
      <c r="C202" s="1"/>
      <c r="F202" s="1"/>
      <c r="G202" s="1"/>
      <c r="H202" s="1"/>
    </row>
    <row r="203" spans="3:8" x14ac:dyDescent="0.3">
      <c r="C203" s="1"/>
      <c r="F203" s="1"/>
      <c r="G203" s="1"/>
      <c r="H203" s="1"/>
    </row>
    <row r="204" spans="3:8" x14ac:dyDescent="0.3">
      <c r="C204" s="1"/>
      <c r="F204" s="1"/>
      <c r="G204" s="1"/>
      <c r="H204" s="1"/>
    </row>
    <row r="205" spans="3:8" x14ac:dyDescent="0.3">
      <c r="C205" s="1"/>
      <c r="F205" s="1"/>
      <c r="G205" s="1"/>
      <c r="H205" s="1"/>
    </row>
    <row r="206" spans="3:8" x14ac:dyDescent="0.3">
      <c r="C206" s="1"/>
      <c r="F206" s="1"/>
      <c r="G206" s="1"/>
      <c r="H206" s="1"/>
    </row>
    <row r="207" spans="3:8" x14ac:dyDescent="0.3">
      <c r="C207" s="1"/>
      <c r="F207" s="1"/>
      <c r="G207" s="1"/>
      <c r="H207" s="1"/>
    </row>
    <row r="208" spans="3:8" x14ac:dyDescent="0.3">
      <c r="C208" s="1"/>
      <c r="F208" s="1"/>
      <c r="G208" s="1"/>
      <c r="H208" s="1"/>
    </row>
    <row r="209" spans="2:8" x14ac:dyDescent="0.3">
      <c r="C209" s="1"/>
      <c r="F209" s="1"/>
      <c r="G209" s="1"/>
      <c r="H209" s="1"/>
    </row>
    <row r="210" spans="2:8" x14ac:dyDescent="0.3">
      <c r="C210" s="1"/>
      <c r="F210" s="1"/>
      <c r="G210" s="1"/>
      <c r="H210" s="1"/>
    </row>
    <row r="211" spans="2:8" x14ac:dyDescent="0.3">
      <c r="C211" s="1"/>
      <c r="F211" s="1"/>
      <c r="G211" s="1"/>
      <c r="H211" s="1"/>
    </row>
    <row r="212" spans="2:8" x14ac:dyDescent="0.3">
      <c r="C212" s="1"/>
      <c r="F212" s="1"/>
      <c r="G212" s="1"/>
      <c r="H212" s="1"/>
    </row>
    <row r="213" spans="2:8" x14ac:dyDescent="0.3">
      <c r="C213" s="1"/>
      <c r="F213" s="1"/>
      <c r="G213" s="1"/>
      <c r="H213" s="1"/>
    </row>
    <row r="214" spans="2:8" x14ac:dyDescent="0.3">
      <c r="C214" s="1"/>
      <c r="F214" s="1"/>
      <c r="G214" s="1"/>
      <c r="H214" s="1"/>
    </row>
    <row r="215" spans="2:8" x14ac:dyDescent="0.3">
      <c r="C215" s="1"/>
      <c r="F215" s="1"/>
      <c r="G215" s="1"/>
      <c r="H215" s="1"/>
    </row>
    <row r="216" spans="2:8" x14ac:dyDescent="0.3">
      <c r="C216" s="1"/>
      <c r="F216" s="1"/>
      <c r="G216" s="1"/>
      <c r="H216" s="1"/>
    </row>
    <row r="217" spans="2:8" x14ac:dyDescent="0.3">
      <c r="C217" s="1"/>
      <c r="F217" s="1"/>
      <c r="G217" s="1"/>
      <c r="H217" s="1"/>
    </row>
    <row r="218" spans="2:8" x14ac:dyDescent="0.3">
      <c r="C218" s="1"/>
    </row>
    <row r="219" spans="2:8" x14ac:dyDescent="0.3">
      <c r="C219" s="1"/>
    </row>
    <row r="220" spans="2:8" x14ac:dyDescent="0.3">
      <c r="C220" s="1"/>
    </row>
    <row r="221" spans="2:8" x14ac:dyDescent="0.3">
      <c r="C221" s="1"/>
    </row>
    <row r="222" spans="2:8" x14ac:dyDescent="0.3">
      <c r="C222" s="1"/>
    </row>
    <row r="223" spans="2:8" x14ac:dyDescent="0.3">
      <c r="C223" s="1"/>
    </row>
    <row r="224" spans="2:8" x14ac:dyDescent="0.3">
      <c r="B224" s="5"/>
      <c r="C224" s="9"/>
    </row>
    <row r="225" spans="2:3" x14ac:dyDescent="0.3">
      <c r="B225" s="5"/>
      <c r="C225" s="9"/>
    </row>
    <row r="226" spans="2:3" x14ac:dyDescent="0.3">
      <c r="B226" s="5"/>
      <c r="C226" s="9"/>
    </row>
  </sheetData>
  <mergeCells count="4">
    <mergeCell ref="N12:R12"/>
    <mergeCell ref="N13:Q13"/>
    <mergeCell ref="N14:Q14"/>
    <mergeCell ref="N15:Q15"/>
  </mergeCells>
  <phoneticPr fontId="2" type="noConversion"/>
  <pageMargins left="0.75" right="0.75" top="1" bottom="1" header="0.5" footer="0.5"/>
  <headerFooter alignWithMargins="0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79"/>
  <sheetViews>
    <sheetView workbookViewId="0">
      <selection activeCell="J23" sqref="J23"/>
    </sheetView>
  </sheetViews>
  <sheetFormatPr baseColWidth="10" defaultRowHeight="13.2" x14ac:dyDescent="0.3"/>
  <cols>
    <col min="1" max="1" width="8.5703125" customWidth="1"/>
    <col min="2" max="2" width="5" bestFit="1" customWidth="1"/>
    <col min="3" max="3" width="8" bestFit="1" customWidth="1"/>
    <col min="4" max="4" width="8.5703125" customWidth="1"/>
    <col min="5" max="5" width="10.140625" customWidth="1"/>
    <col min="6" max="7" width="10.85546875" customWidth="1"/>
    <col min="8" max="8" width="14" bestFit="1" customWidth="1"/>
    <col min="9" max="9" width="11.42578125" customWidth="1"/>
    <col min="10" max="10" width="10.140625" bestFit="1" customWidth="1"/>
    <col min="11" max="11" width="12" bestFit="1" customWidth="1"/>
    <col min="12" max="12" width="19.140625" customWidth="1"/>
    <col min="13" max="13" width="9.5703125" customWidth="1"/>
    <col min="14" max="14" width="10.42578125" customWidth="1"/>
    <col min="15" max="15" width="10" customWidth="1"/>
    <col min="16" max="16" width="8.5703125" bestFit="1" customWidth="1"/>
    <col min="17" max="17" width="9.85546875" customWidth="1"/>
    <col min="18" max="18" width="9.140625" customWidth="1"/>
    <col min="19" max="19" width="9.85546875" customWidth="1"/>
    <col min="20" max="20" width="10" customWidth="1"/>
    <col min="21" max="21" width="9.42578125" customWidth="1"/>
    <col min="22" max="22" width="8.5703125" customWidth="1"/>
    <col min="23" max="23" width="11.42578125" bestFit="1" customWidth="1"/>
  </cols>
  <sheetData>
    <row r="1" spans="1:30" ht="15.6" x14ac:dyDescent="0.3">
      <c r="A1" s="8" t="s">
        <v>55</v>
      </c>
    </row>
    <row r="2" spans="1:30" ht="15.6" x14ac:dyDescent="0.3">
      <c r="A2" s="8" t="s">
        <v>56</v>
      </c>
    </row>
    <row r="3" spans="1:30" ht="15.6" x14ac:dyDescent="0.3">
      <c r="A3" s="8" t="s">
        <v>57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/>
      <c r="W3" s="1"/>
    </row>
    <row r="4" spans="1:30" ht="15.6" x14ac:dyDescent="0.3">
      <c r="A4" s="8" t="s">
        <v>70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/>
      <c r="W4" s="1"/>
    </row>
    <row r="5" spans="1:30" ht="15.6" x14ac:dyDescent="0.3">
      <c r="A5" s="8" t="s">
        <v>49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  <c r="W5" s="1"/>
    </row>
    <row r="6" spans="1:30" ht="15.6" x14ac:dyDescent="0.3">
      <c r="A6" s="8" t="s">
        <v>50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"/>
      <c r="W6" s="1"/>
    </row>
    <row r="7" spans="1:30" x14ac:dyDescent="0.3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"/>
      <c r="W7" s="1"/>
    </row>
    <row r="8" spans="1:30" ht="15.6" x14ac:dyDescent="0.3">
      <c r="A8" s="7" t="s">
        <v>19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/>
      <c r="W8" s="1"/>
    </row>
    <row r="9" spans="1:30" x14ac:dyDescent="0.3">
      <c r="A9" t="s">
        <v>0</v>
      </c>
      <c r="B9" t="s"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  <c r="W9" s="1"/>
    </row>
    <row r="10" spans="1:30" ht="15.6" x14ac:dyDescent="0.3">
      <c r="A10" t="s">
        <v>132</v>
      </c>
      <c r="B10" t="s">
        <v>0</v>
      </c>
      <c r="C10" s="35" t="s">
        <v>115</v>
      </c>
      <c r="D10" s="23" t="s">
        <v>52</v>
      </c>
      <c r="E10" s="23" t="s">
        <v>53</v>
      </c>
      <c r="F10" s="24" t="s">
        <v>54</v>
      </c>
      <c r="G10" s="24" t="s">
        <v>59</v>
      </c>
      <c r="H10" s="24" t="s">
        <v>58</v>
      </c>
      <c r="I10" s="6" t="s">
        <v>17</v>
      </c>
      <c r="J10" s="2"/>
      <c r="K10" s="17"/>
      <c r="L10" s="16"/>
      <c r="M10" s="7" t="s">
        <v>18</v>
      </c>
      <c r="R10" s="3"/>
    </row>
    <row r="11" spans="1:30" x14ac:dyDescent="0.3">
      <c r="A11" s="30">
        <v>42370</v>
      </c>
      <c r="B11" t="s">
        <v>1</v>
      </c>
      <c r="C11" s="2">
        <f>Data!C2</f>
        <v>248684</v>
      </c>
      <c r="D11" s="2"/>
      <c r="E11" s="2"/>
      <c r="F11" s="2"/>
      <c r="G11" s="3">
        <f t="shared" ref="G11:G22" si="0">X12</f>
        <v>1.4174493840710238</v>
      </c>
      <c r="H11" s="22">
        <f t="shared" ref="H11:H22" si="1">Y12</f>
        <v>1.5205003171334823</v>
      </c>
      <c r="I11" s="6">
        <f>C11/H11</f>
        <v>163554.05993523935</v>
      </c>
      <c r="J11" s="2"/>
      <c r="K11" s="21"/>
      <c r="L11" s="18"/>
      <c r="O11" s="1">
        <v>2016</v>
      </c>
      <c r="P11" s="1">
        <v>2017</v>
      </c>
      <c r="Q11" s="1">
        <v>2018</v>
      </c>
      <c r="R11" s="1">
        <v>2019</v>
      </c>
      <c r="S11" s="1">
        <v>2020</v>
      </c>
      <c r="T11" s="1">
        <v>2021</v>
      </c>
      <c r="U11" s="1">
        <v>2022</v>
      </c>
      <c r="V11" s="1">
        <v>2023</v>
      </c>
      <c r="W11" s="1">
        <v>2024</v>
      </c>
      <c r="X11" s="5" t="s">
        <v>59</v>
      </c>
      <c r="Y11" s="5" t="s">
        <v>60</v>
      </c>
      <c r="AB11" s="1"/>
      <c r="AC11" s="1"/>
      <c r="AD11" s="1"/>
    </row>
    <row r="12" spans="1:30" x14ac:dyDescent="0.3">
      <c r="A12" s="30">
        <v>42401</v>
      </c>
      <c r="B12" t="s">
        <v>2</v>
      </c>
      <c r="C12" s="2">
        <f>Data!C3</f>
        <v>211731</v>
      </c>
      <c r="D12" s="2"/>
      <c r="E12" s="2"/>
      <c r="F12" s="2"/>
      <c r="G12" s="3">
        <f t="shared" si="0"/>
        <v>1.0589956514401806</v>
      </c>
      <c r="H12" s="22">
        <f t="shared" si="1"/>
        <v>1.1359864006100491</v>
      </c>
      <c r="I12" s="6">
        <f>C12/H12</f>
        <v>186385.1538066793</v>
      </c>
      <c r="J12" s="2"/>
      <c r="K12" s="21"/>
      <c r="L12" s="18"/>
      <c r="N12" t="s">
        <v>1</v>
      </c>
      <c r="O12" s="22"/>
      <c r="P12" s="22">
        <f t="shared" ref="P12:P23" si="2">F23</f>
        <v>1.1905753059695279</v>
      </c>
      <c r="Q12" s="22">
        <f t="shared" ref="Q12:Q23" si="3">F35</f>
        <v>1.2707680544375561</v>
      </c>
      <c r="R12" s="22">
        <f t="shared" ref="R12:R23" si="4">F47</f>
        <v>1.3202919769016841</v>
      </c>
      <c r="S12" s="22">
        <f t="shared" ref="S12:S23" si="5">F59</f>
        <v>2.0605893605810941</v>
      </c>
      <c r="T12" s="22">
        <f t="shared" ref="T12:T23" si="6">F71</f>
        <v>2.1011330389914358</v>
      </c>
      <c r="U12" s="22">
        <f t="shared" ref="U12:U23" si="7">F83</f>
        <v>0.90714349188980092</v>
      </c>
      <c r="V12" s="22">
        <f t="shared" ref="V12:V23" si="8">F95</f>
        <v>1.1811293802446501</v>
      </c>
      <c r="W12" s="22">
        <f>F107</f>
        <v>1.3079644635524412</v>
      </c>
      <c r="X12" s="22">
        <f t="shared" ref="X12:X23" si="9">AVERAGE(O12:W12)</f>
        <v>1.4174493840710238</v>
      </c>
      <c r="Y12" s="3">
        <f t="shared" ref="Y12:Y23" si="10">X12*$Y$25</f>
        <v>1.5205003171334823</v>
      </c>
      <c r="AB12" s="22"/>
      <c r="AC12" s="22"/>
      <c r="AD12" s="22"/>
    </row>
    <row r="13" spans="1:30" x14ac:dyDescent="0.3">
      <c r="A13" s="30">
        <v>42430</v>
      </c>
      <c r="B13" t="s">
        <v>3</v>
      </c>
      <c r="C13" s="2">
        <f>Data!C4</f>
        <v>210862</v>
      </c>
      <c r="D13" s="2"/>
      <c r="E13" s="2"/>
      <c r="F13" s="2"/>
      <c r="G13" s="3">
        <f t="shared" si="0"/>
        <v>1.0647605845260162</v>
      </c>
      <c r="H13" s="22">
        <f t="shared" si="1"/>
        <v>1.1421704539411746</v>
      </c>
      <c r="I13" s="6">
        <f t="shared" ref="I13:I75" si="11">C13/H13</f>
        <v>184615.17654602198</v>
      </c>
      <c r="J13" s="2"/>
      <c r="K13" s="19"/>
      <c r="L13" s="18"/>
      <c r="N13" t="s">
        <v>2</v>
      </c>
      <c r="O13" s="22"/>
      <c r="P13" s="22">
        <f t="shared" si="2"/>
        <v>1.0022538829568444</v>
      </c>
      <c r="Q13" s="22">
        <f t="shared" si="3"/>
        <v>0.98473151142977067</v>
      </c>
      <c r="R13" s="22">
        <f t="shared" si="4"/>
        <v>0.97271393059221323</v>
      </c>
      <c r="S13" s="22">
        <f t="shared" si="5"/>
        <v>1.9411974606336364</v>
      </c>
      <c r="T13" s="22">
        <f t="shared" si="6"/>
        <v>0.91624718748364808</v>
      </c>
      <c r="U13" s="22">
        <f t="shared" si="7"/>
        <v>0.65485320132098646</v>
      </c>
      <c r="V13" s="22">
        <f t="shared" si="8"/>
        <v>0.97932387887107608</v>
      </c>
      <c r="W13" s="22">
        <f>F108</f>
        <v>1.0206441582332682</v>
      </c>
      <c r="X13" s="3">
        <f t="shared" si="9"/>
        <v>1.0589956514401806</v>
      </c>
      <c r="Y13" s="3">
        <f t="shared" si="10"/>
        <v>1.1359864006100491</v>
      </c>
      <c r="AB13" s="22"/>
      <c r="AC13" s="22"/>
      <c r="AD13" s="22"/>
    </row>
    <row r="14" spans="1:30" x14ac:dyDescent="0.3">
      <c r="A14" s="30">
        <v>42461</v>
      </c>
      <c r="B14" t="s">
        <v>4</v>
      </c>
      <c r="C14" s="2">
        <f>Data!C5</f>
        <v>182419</v>
      </c>
      <c r="D14" s="2"/>
      <c r="E14" s="2"/>
      <c r="F14" s="2"/>
      <c r="G14" s="3">
        <f t="shared" si="0"/>
        <v>0.83075218768571957</v>
      </c>
      <c r="H14" s="22">
        <f t="shared" si="1"/>
        <v>0.89114925656645383</v>
      </c>
      <c r="I14" s="6">
        <f t="shared" si="11"/>
        <v>204700.83844635609</v>
      </c>
      <c r="J14" s="2"/>
      <c r="K14" s="19"/>
      <c r="L14" s="18"/>
      <c r="N14" t="s">
        <v>3</v>
      </c>
      <c r="O14" s="22"/>
      <c r="P14" s="22">
        <f t="shared" si="2"/>
        <v>1.0324867805815587</v>
      </c>
      <c r="Q14" s="22">
        <f t="shared" si="3"/>
        <v>1.0093819410057701</v>
      </c>
      <c r="R14" s="22">
        <f t="shared" si="4"/>
        <v>1.070491762510386</v>
      </c>
      <c r="S14" s="22">
        <f t="shared" si="5"/>
        <v>1.0525401958268659</v>
      </c>
      <c r="T14" s="22">
        <f t="shared" si="6"/>
        <v>1.3339611581445856</v>
      </c>
      <c r="U14" s="22">
        <f t="shared" si="7"/>
        <v>0.89847930709266977</v>
      </c>
      <c r="V14" s="22">
        <f t="shared" si="8"/>
        <v>1.0140096779831138</v>
      </c>
      <c r="W14" s="22">
        <f>F109</f>
        <v>1.1067338530631803</v>
      </c>
      <c r="X14" s="3">
        <f t="shared" si="9"/>
        <v>1.0647605845260162</v>
      </c>
      <c r="Y14" s="3">
        <f t="shared" si="10"/>
        <v>1.1421704539411746</v>
      </c>
      <c r="AB14" s="22"/>
      <c r="AC14" s="22"/>
      <c r="AD14" s="22"/>
    </row>
    <row r="15" spans="1:30" x14ac:dyDescent="0.3">
      <c r="A15" s="30">
        <v>42491</v>
      </c>
      <c r="B15" t="s">
        <v>5</v>
      </c>
      <c r="C15" s="2">
        <f>Data!C6</f>
        <v>176403</v>
      </c>
      <c r="D15" s="2"/>
      <c r="E15" s="2"/>
      <c r="F15" s="2"/>
      <c r="G15" s="3">
        <f t="shared" si="0"/>
        <v>0.67789961505817886</v>
      </c>
      <c r="H15" s="22">
        <f t="shared" si="1"/>
        <v>0.72718404710878848</v>
      </c>
      <c r="I15" s="6">
        <f t="shared" si="11"/>
        <v>242583.70449869026</v>
      </c>
      <c r="J15" s="2"/>
      <c r="K15" s="19"/>
      <c r="L15" s="18"/>
      <c r="N15" t="s">
        <v>4</v>
      </c>
      <c r="O15" s="22"/>
      <c r="P15" s="22">
        <f t="shared" si="2"/>
        <v>0.95197518725924657</v>
      </c>
      <c r="Q15" s="22">
        <f t="shared" si="3"/>
        <v>0.92314693806654879</v>
      </c>
      <c r="R15" s="22">
        <f t="shared" si="4"/>
        <v>0.9825170507559412</v>
      </c>
      <c r="S15" s="22">
        <f t="shared" si="5"/>
        <v>0</v>
      </c>
      <c r="T15" s="22">
        <f t="shared" si="6"/>
        <v>0.83000446328944444</v>
      </c>
      <c r="U15" s="22">
        <f t="shared" si="7"/>
        <v>1.0697753076037078</v>
      </c>
      <c r="V15" s="22">
        <f t="shared" si="8"/>
        <v>0.98076530187996613</v>
      </c>
      <c r="W15" s="22">
        <f t="shared" ref="W15:W18" si="12">F110</f>
        <v>0.9078332526309012</v>
      </c>
      <c r="X15" s="3">
        <f t="shared" si="9"/>
        <v>0.83075218768571957</v>
      </c>
      <c r="Y15" s="3">
        <f t="shared" si="10"/>
        <v>0.89114925656645383</v>
      </c>
      <c r="AB15" s="22"/>
      <c r="AC15" s="22"/>
      <c r="AD15" s="22"/>
    </row>
    <row r="16" spans="1:30" x14ac:dyDescent="0.3">
      <c r="A16" s="30">
        <v>42522</v>
      </c>
      <c r="B16" t="s">
        <v>6</v>
      </c>
      <c r="C16" s="2">
        <f>Data!C7</f>
        <v>160586</v>
      </c>
      <c r="D16" s="2"/>
      <c r="E16" s="2">
        <f>AVERAGE(D22:D23)</f>
        <v>204065.625</v>
      </c>
      <c r="F16" s="3">
        <f>C16/E16</f>
        <v>0.78693312506699742</v>
      </c>
      <c r="G16" s="3">
        <f t="shared" si="0"/>
        <v>0.62814845418723186</v>
      </c>
      <c r="H16" s="22">
        <f t="shared" si="1"/>
        <v>0.67381589390901009</v>
      </c>
      <c r="I16" s="6">
        <f t="shared" si="11"/>
        <v>238323.25929326477</v>
      </c>
      <c r="J16" s="2"/>
      <c r="K16" s="19"/>
      <c r="L16" s="18"/>
      <c r="N16" t="s">
        <v>5</v>
      </c>
      <c r="O16" s="22"/>
      <c r="P16" s="22">
        <f t="shared" si="2"/>
        <v>0.84794831936537263</v>
      </c>
      <c r="Q16" s="22">
        <f t="shared" si="3"/>
        <v>0.83157853849224062</v>
      </c>
      <c r="R16" s="22">
        <f t="shared" si="4"/>
        <v>0.85984324439651583</v>
      </c>
      <c r="S16" s="22">
        <f t="shared" si="5"/>
        <v>0</v>
      </c>
      <c r="T16" s="22">
        <f t="shared" si="6"/>
        <v>0.36615690493374914</v>
      </c>
      <c r="U16" s="22">
        <f t="shared" si="7"/>
        <v>0.926557523419555</v>
      </c>
      <c r="V16" s="22">
        <f t="shared" si="8"/>
        <v>0.83317362842131959</v>
      </c>
      <c r="W16" s="22">
        <f t="shared" si="12"/>
        <v>0.75793876143667793</v>
      </c>
      <c r="X16" s="3">
        <f t="shared" si="9"/>
        <v>0.67789961505817886</v>
      </c>
      <c r="Y16" s="3">
        <f t="shared" si="10"/>
        <v>0.72718404710878848</v>
      </c>
      <c r="AB16" s="22"/>
      <c r="AC16" s="22"/>
      <c r="AD16" s="22"/>
    </row>
    <row r="17" spans="1:30" x14ac:dyDescent="0.3">
      <c r="A17" s="30">
        <v>42552</v>
      </c>
      <c r="B17" t="s">
        <v>7</v>
      </c>
      <c r="C17" s="2">
        <f>Data!C8</f>
        <v>205385</v>
      </c>
      <c r="D17" s="2"/>
      <c r="E17" s="2">
        <f t="shared" ref="E17:E80" si="13">AVERAGE(D23:D24)</f>
        <v>203840.29166666666</v>
      </c>
      <c r="F17" s="3">
        <f t="shared" ref="F17:F80" si="14">C17/E17</f>
        <v>1.0075780323934158</v>
      </c>
      <c r="G17" s="3">
        <f t="shared" si="0"/>
        <v>0.79799494697474493</v>
      </c>
      <c r="H17" s="22">
        <f t="shared" si="1"/>
        <v>0.85601050985057181</v>
      </c>
      <c r="I17" s="6">
        <f t="shared" si="11"/>
        <v>239932.80180152546</v>
      </c>
      <c r="J17" s="2"/>
      <c r="K17" s="19"/>
      <c r="L17" s="18"/>
      <c r="N17" t="s">
        <v>6</v>
      </c>
      <c r="O17" s="22">
        <f t="shared" ref="O17:O23" si="15">F16</f>
        <v>0.78693312506699742</v>
      </c>
      <c r="P17" s="22">
        <f t="shared" si="2"/>
        <v>0.78627857970153558</v>
      </c>
      <c r="Q17" s="22">
        <f t="shared" si="3"/>
        <v>0.74234063001244099</v>
      </c>
      <c r="R17" s="22">
        <f t="shared" si="4"/>
        <v>0.81002554556565365</v>
      </c>
      <c r="S17" s="22">
        <f t="shared" si="5"/>
        <v>0</v>
      </c>
      <c r="T17" s="22">
        <f t="shared" si="6"/>
        <v>0.19658718303136988</v>
      </c>
      <c r="U17" s="22">
        <f t="shared" si="7"/>
        <v>0.77725176164348864</v>
      </c>
      <c r="V17" s="22">
        <f t="shared" si="8"/>
        <v>0.82048015315750211</v>
      </c>
      <c r="W17" s="22">
        <f t="shared" si="12"/>
        <v>0.73343910950609892</v>
      </c>
      <c r="X17" s="3">
        <f t="shared" si="9"/>
        <v>0.62814845418723186</v>
      </c>
      <c r="Y17" s="3">
        <f t="shared" si="10"/>
        <v>0.67381589390901009</v>
      </c>
      <c r="AB17" s="22"/>
      <c r="AC17" s="22"/>
      <c r="AD17" s="22"/>
    </row>
    <row r="18" spans="1:30" x14ac:dyDescent="0.3">
      <c r="A18" s="30">
        <v>42583</v>
      </c>
      <c r="B18" t="s">
        <v>8</v>
      </c>
      <c r="C18" s="2">
        <f>Data!C9</f>
        <v>188354</v>
      </c>
      <c r="D18" s="2"/>
      <c r="E18" s="2">
        <f t="shared" si="13"/>
        <v>203910.95833333331</v>
      </c>
      <c r="F18" s="3">
        <f t="shared" si="14"/>
        <v>0.92370710009659041</v>
      </c>
      <c r="G18" s="3">
        <f t="shared" si="0"/>
        <v>0.70501359066224922</v>
      </c>
      <c r="H18" s="22">
        <f t="shared" si="1"/>
        <v>0.756269253937361</v>
      </c>
      <c r="I18" s="6">
        <f t="shared" si="11"/>
        <v>249056.79957154609</v>
      </c>
      <c r="J18" s="2"/>
      <c r="K18" s="19"/>
      <c r="L18" s="18"/>
      <c r="N18" t="s">
        <v>7</v>
      </c>
      <c r="O18" s="22">
        <f t="shared" si="15"/>
        <v>1.0075780323934158</v>
      </c>
      <c r="P18" s="22">
        <f t="shared" si="2"/>
        <v>0.98425924219929584</v>
      </c>
      <c r="Q18" s="22">
        <f t="shared" si="3"/>
        <v>0.94337195229409609</v>
      </c>
      <c r="R18" s="22">
        <f t="shared" si="4"/>
        <v>0.99963541922692489</v>
      </c>
      <c r="S18" s="22">
        <f t="shared" si="5"/>
        <v>2.1795165802871167E-2</v>
      </c>
      <c r="T18" s="22">
        <f t="shared" si="6"/>
        <v>0.11167741351246548</v>
      </c>
      <c r="U18" s="22">
        <f t="shared" si="7"/>
        <v>0.99952568224771354</v>
      </c>
      <c r="V18" s="22">
        <f t="shared" si="8"/>
        <v>1.0591211328882648</v>
      </c>
      <c r="W18" s="22">
        <f t="shared" si="12"/>
        <v>1.054990482207657</v>
      </c>
      <c r="X18" s="3">
        <f t="shared" si="9"/>
        <v>0.79799494697474493</v>
      </c>
      <c r="Y18" s="3">
        <f t="shared" si="10"/>
        <v>0.85601050985057181</v>
      </c>
      <c r="AB18" s="22"/>
      <c r="AC18" s="22"/>
      <c r="AD18" s="22"/>
    </row>
    <row r="19" spans="1:30" x14ac:dyDescent="0.3">
      <c r="A19" s="30">
        <v>42614</v>
      </c>
      <c r="B19" t="s">
        <v>9</v>
      </c>
      <c r="C19" s="2">
        <f>Data!C10</f>
        <v>187990</v>
      </c>
      <c r="D19" s="2"/>
      <c r="E19" s="2">
        <f t="shared" si="13"/>
        <v>204873.54166666669</v>
      </c>
      <c r="F19" s="3">
        <f t="shared" si="14"/>
        <v>0.91759042417426184</v>
      </c>
      <c r="G19" s="3">
        <f t="shared" si="0"/>
        <v>0.76259311153409548</v>
      </c>
      <c r="H19" s="22">
        <f t="shared" si="1"/>
        <v>0.81803490195971706</v>
      </c>
      <c r="I19" s="6">
        <f t="shared" si="11"/>
        <v>229806.82064988138</v>
      </c>
      <c r="J19" s="2"/>
      <c r="K19" s="19"/>
      <c r="L19" s="18"/>
      <c r="N19" t="s">
        <v>8</v>
      </c>
      <c r="O19" s="22">
        <f t="shared" si="15"/>
        <v>0.92370710009659041</v>
      </c>
      <c r="P19" s="22">
        <f t="shared" si="2"/>
        <v>0.89802870868953111</v>
      </c>
      <c r="Q19" s="22">
        <f t="shared" si="3"/>
        <v>0.88129920379477844</v>
      </c>
      <c r="R19" s="22">
        <f t="shared" si="4"/>
        <v>0.90697007522185946</v>
      </c>
      <c r="S19" s="22">
        <f t="shared" si="5"/>
        <v>0.11808411834947592</v>
      </c>
      <c r="T19" s="22">
        <f t="shared" si="6"/>
        <v>8.0342190316696718E-2</v>
      </c>
      <c r="U19" s="22">
        <f t="shared" si="7"/>
        <v>0.89648567469461349</v>
      </c>
      <c r="V19" s="22">
        <f t="shared" si="8"/>
        <v>0.93519165413444805</v>
      </c>
      <c r="W19" s="22"/>
      <c r="X19" s="3">
        <f t="shared" si="9"/>
        <v>0.70501359066224922</v>
      </c>
      <c r="Y19" s="3">
        <f t="shared" si="10"/>
        <v>0.756269253937361</v>
      </c>
      <c r="AB19" s="22"/>
      <c r="AC19" s="22"/>
      <c r="AD19" s="22"/>
    </row>
    <row r="20" spans="1:30" x14ac:dyDescent="0.3">
      <c r="A20" s="30">
        <v>42644</v>
      </c>
      <c r="B20" t="s">
        <v>10</v>
      </c>
      <c r="C20" s="2">
        <f>Data!C11</f>
        <v>204246</v>
      </c>
      <c r="D20" s="2"/>
      <c r="E20" s="2">
        <f t="shared" si="13"/>
        <v>205750.5</v>
      </c>
      <c r="F20" s="3">
        <f t="shared" si="14"/>
        <v>0.9926877455947859</v>
      </c>
      <c r="G20" s="3">
        <f t="shared" si="0"/>
        <v>0.85409400720418838</v>
      </c>
      <c r="H20" s="22">
        <f t="shared" si="1"/>
        <v>0.91618806527394414</v>
      </c>
      <c r="I20" s="6">
        <f t="shared" si="11"/>
        <v>222930.21241106166</v>
      </c>
      <c r="J20" s="2"/>
      <c r="K20" s="19"/>
      <c r="L20" s="18"/>
      <c r="N20" t="s">
        <v>9</v>
      </c>
      <c r="O20" s="22">
        <f t="shared" si="15"/>
        <v>0.91759042417426184</v>
      </c>
      <c r="P20" s="22">
        <f t="shared" si="2"/>
        <v>0.9236752063748862</v>
      </c>
      <c r="Q20" s="22">
        <f t="shared" si="3"/>
        <v>0.92247544768931555</v>
      </c>
      <c r="R20" s="22">
        <f t="shared" si="4"/>
        <v>1.0124340977120228</v>
      </c>
      <c r="S20" s="22">
        <f t="shared" si="5"/>
        <v>0.45753728583754466</v>
      </c>
      <c r="T20" s="22">
        <f t="shared" si="6"/>
        <v>6.225371806279395E-2</v>
      </c>
      <c r="U20" s="22">
        <f t="shared" si="7"/>
        <v>0.86915246878914321</v>
      </c>
      <c r="V20" s="22">
        <f t="shared" si="8"/>
        <v>0.93562624363279556</v>
      </c>
      <c r="W20" s="22"/>
      <c r="X20" s="3">
        <f t="shared" si="9"/>
        <v>0.76259311153409548</v>
      </c>
      <c r="Y20" s="3">
        <f t="shared" si="10"/>
        <v>0.81803490195971706</v>
      </c>
      <c r="AB20" s="22"/>
      <c r="AC20" s="22"/>
      <c r="AD20" s="22"/>
    </row>
    <row r="21" spans="1:30" x14ac:dyDescent="0.3">
      <c r="A21" s="30">
        <v>42675</v>
      </c>
      <c r="B21" t="s">
        <v>11</v>
      </c>
      <c r="C21" s="2">
        <f>Data!C12</f>
        <v>230713</v>
      </c>
      <c r="D21" s="2"/>
      <c r="E21" s="2">
        <f t="shared" si="13"/>
        <v>206176.33333333331</v>
      </c>
      <c r="F21" s="3">
        <f t="shared" si="14"/>
        <v>1.1190081629155626</v>
      </c>
      <c r="G21" s="3">
        <f t="shared" si="0"/>
        <v>1.0914809710132696</v>
      </c>
      <c r="H21" s="22">
        <f t="shared" si="1"/>
        <v>1.1708334570680377</v>
      </c>
      <c r="I21" s="6">
        <f t="shared" si="11"/>
        <v>197050.22828587753</v>
      </c>
      <c r="J21" s="2"/>
      <c r="K21" s="19"/>
      <c r="L21" s="18"/>
      <c r="N21" t="s">
        <v>10</v>
      </c>
      <c r="O21" s="22">
        <f t="shared" si="15"/>
        <v>0.9926877455947859</v>
      </c>
      <c r="P21" s="22">
        <f t="shared" si="2"/>
        <v>1.0384622509277497</v>
      </c>
      <c r="Q21" s="22">
        <f t="shared" si="3"/>
        <v>0.960598962749172</v>
      </c>
      <c r="R21" s="22">
        <f t="shared" si="4"/>
        <v>1.1051274155761233</v>
      </c>
      <c r="S21" s="22">
        <f t="shared" si="5"/>
        <v>0.53968058817020537</v>
      </c>
      <c r="T21" s="22">
        <f t="shared" si="6"/>
        <v>0.24011452750237061</v>
      </c>
      <c r="U21" s="22">
        <f t="shared" si="7"/>
        <v>0.92973064803423455</v>
      </c>
      <c r="V21" s="22">
        <f t="shared" si="8"/>
        <v>1.026349919078865</v>
      </c>
      <c r="W21" s="22"/>
      <c r="X21" s="3">
        <f t="shared" si="9"/>
        <v>0.85409400720418838</v>
      </c>
      <c r="Y21" s="3">
        <f t="shared" si="10"/>
        <v>0.91618806527394414</v>
      </c>
      <c r="AB21" s="22"/>
      <c r="AC21" s="22"/>
      <c r="AD21" s="22"/>
    </row>
    <row r="22" spans="1:30" x14ac:dyDescent="0.3">
      <c r="A22" s="30">
        <v>42705</v>
      </c>
      <c r="B22" t="s">
        <v>12</v>
      </c>
      <c r="C22" s="2">
        <f>Data!C13</f>
        <v>242419</v>
      </c>
      <c r="D22" s="2">
        <f>AVERAGE(C11:C22)</f>
        <v>204149.33333333334</v>
      </c>
      <c r="E22" s="2">
        <f t="shared" si="13"/>
        <v>206728.45833333331</v>
      </c>
      <c r="F22" s="3">
        <f t="shared" si="14"/>
        <v>1.1726445500266756</v>
      </c>
      <c r="G22" s="3">
        <f t="shared" si="0"/>
        <v>1.2975251978283802</v>
      </c>
      <c r="H22" s="22">
        <f t="shared" si="1"/>
        <v>1.3918574426414096</v>
      </c>
      <c r="I22" s="6">
        <f t="shared" si="11"/>
        <v>174169.41747995917</v>
      </c>
      <c r="J22" s="2"/>
      <c r="K22" s="19"/>
      <c r="L22" s="18"/>
      <c r="N22" t="s">
        <v>11</v>
      </c>
      <c r="O22" s="22">
        <f t="shared" si="15"/>
        <v>1.1190081629155626</v>
      </c>
      <c r="P22" s="22">
        <f t="shared" si="2"/>
        <v>1.1276122001182118</v>
      </c>
      <c r="Q22" s="22">
        <f t="shared" si="3"/>
        <v>1.0923277744262168</v>
      </c>
      <c r="R22" s="22">
        <f t="shared" si="4"/>
        <v>1.3210626946961634</v>
      </c>
      <c r="S22" s="22">
        <f t="shared" si="5"/>
        <v>1.070837292909401</v>
      </c>
      <c r="T22" s="22">
        <f t="shared" si="6"/>
        <v>0.71316805818260209</v>
      </c>
      <c r="U22" s="22">
        <f t="shared" si="7"/>
        <v>1.0597601522716893</v>
      </c>
      <c r="V22" s="22">
        <f t="shared" si="8"/>
        <v>1.2280714325863102</v>
      </c>
      <c r="W22" s="22"/>
      <c r="X22" s="3">
        <f t="shared" si="9"/>
        <v>1.0914809710132696</v>
      </c>
      <c r="Y22" s="3">
        <f t="shared" si="10"/>
        <v>1.1708334570680377</v>
      </c>
      <c r="AB22" s="22"/>
      <c r="AC22" s="22"/>
      <c r="AD22" s="22"/>
    </row>
    <row r="23" spans="1:30" x14ac:dyDescent="0.3">
      <c r="A23" s="30">
        <v>42736</v>
      </c>
      <c r="B23" t="s">
        <v>1</v>
      </c>
      <c r="C23" s="2">
        <f>Data!C14</f>
        <v>246675</v>
      </c>
      <c r="D23" s="2">
        <f t="shared" ref="D23:D86" si="16">AVERAGE(C12:C23)</f>
        <v>203981.91666666666</v>
      </c>
      <c r="E23" s="2">
        <f t="shared" si="13"/>
        <v>207189.75</v>
      </c>
      <c r="F23" s="3">
        <f t="shared" si="14"/>
        <v>1.1905753059695279</v>
      </c>
      <c r="G23" s="3">
        <f t="shared" ref="G23:G34" si="17">X12</f>
        <v>1.4174493840710238</v>
      </c>
      <c r="H23" s="22">
        <f t="shared" ref="H23:H34" si="18">Y12</f>
        <v>1.5205003171334823</v>
      </c>
      <c r="I23" s="6">
        <f t="shared" si="11"/>
        <v>162232.78431473341</v>
      </c>
      <c r="J23" s="2"/>
      <c r="K23" s="19"/>
      <c r="L23" s="18"/>
      <c r="N23" t="s">
        <v>12</v>
      </c>
      <c r="O23" s="22">
        <f t="shared" si="15"/>
        <v>1.1726445500266756</v>
      </c>
      <c r="P23" s="22">
        <f t="shared" si="2"/>
        <v>1.1808698711007402</v>
      </c>
      <c r="Q23" s="22">
        <f t="shared" si="3"/>
        <v>1.2142141503463522</v>
      </c>
      <c r="R23" s="22">
        <f t="shared" si="4"/>
        <v>1.8146561042422447</v>
      </c>
      <c r="S23" s="22">
        <f t="shared" si="5"/>
        <v>2.0631086531210037</v>
      </c>
      <c r="T23" s="22">
        <f t="shared" si="6"/>
        <v>0.89296910610810554</v>
      </c>
      <c r="U23" s="22">
        <f t="shared" si="7"/>
        <v>0.94735803386406781</v>
      </c>
      <c r="V23" s="22">
        <f t="shared" si="8"/>
        <v>1.0943811138178507</v>
      </c>
      <c r="W23" s="22"/>
      <c r="X23" s="3">
        <f t="shared" si="9"/>
        <v>1.2975251978283802</v>
      </c>
      <c r="Y23" s="3">
        <f t="shared" si="10"/>
        <v>1.3918574426414096</v>
      </c>
      <c r="AB23" s="22"/>
      <c r="AC23" s="22"/>
      <c r="AD23" s="22"/>
    </row>
    <row r="24" spans="1:30" x14ac:dyDescent="0.3">
      <c r="A24" s="30">
        <v>42767</v>
      </c>
      <c r="B24" t="s">
        <v>2</v>
      </c>
      <c r="C24" s="2">
        <f>Data!C15</f>
        <v>208332</v>
      </c>
      <c r="D24" s="2">
        <f t="shared" si="16"/>
        <v>203698.66666666666</v>
      </c>
      <c r="E24" s="2">
        <f t="shared" si="13"/>
        <v>207863.5</v>
      </c>
      <c r="F24" s="3">
        <f t="shared" si="14"/>
        <v>1.0022538829568444</v>
      </c>
      <c r="G24" s="3">
        <f t="shared" si="17"/>
        <v>1.0589956514401806</v>
      </c>
      <c r="H24" s="22">
        <f t="shared" si="18"/>
        <v>1.1359864006100491</v>
      </c>
      <c r="I24" s="6">
        <f t="shared" si="11"/>
        <v>183393.04052242285</v>
      </c>
      <c r="J24" s="2"/>
      <c r="K24" s="19"/>
      <c r="L24" s="18"/>
      <c r="R24" s="3"/>
      <c r="S24" s="3"/>
      <c r="X24" t="s">
        <v>15</v>
      </c>
      <c r="Y24" s="4">
        <f>SUM(X12:X23)</f>
        <v>11.186707702185279</v>
      </c>
      <c r="Z24" s="4">
        <f>SUM(Y12:Y23)</f>
        <v>12</v>
      </c>
    </row>
    <row r="25" spans="1:30" x14ac:dyDescent="0.3">
      <c r="A25" s="30">
        <v>42795</v>
      </c>
      <c r="B25" t="s">
        <v>3</v>
      </c>
      <c r="C25" s="2">
        <f>Data!C16</f>
        <v>215957</v>
      </c>
      <c r="D25" s="2">
        <f t="shared" si="16"/>
        <v>204123.25</v>
      </c>
      <c r="E25" s="2">
        <f t="shared" si="13"/>
        <v>209162</v>
      </c>
      <c r="F25" s="3">
        <f t="shared" si="14"/>
        <v>1.0324867805815587</v>
      </c>
      <c r="G25" s="3">
        <f t="shared" si="17"/>
        <v>1.0647605845260162</v>
      </c>
      <c r="H25" s="22">
        <f t="shared" si="18"/>
        <v>1.1421704539411746</v>
      </c>
      <c r="I25" s="6">
        <f t="shared" si="11"/>
        <v>189075.9818333757</v>
      </c>
      <c r="J25" s="2"/>
      <c r="K25" s="19"/>
      <c r="L25" s="18"/>
      <c r="O25" s="25"/>
      <c r="P25" s="25"/>
      <c r="Q25" s="25"/>
      <c r="R25" s="26"/>
      <c r="S25" s="26"/>
      <c r="T25" s="25"/>
      <c r="U25" s="25"/>
      <c r="V25" s="25"/>
      <c r="Y25" s="5">
        <f>12/Y24</f>
        <v>1.0727016669663987</v>
      </c>
    </row>
    <row r="26" spans="1:30" x14ac:dyDescent="0.3">
      <c r="A26" s="30">
        <v>42826</v>
      </c>
      <c r="B26" t="s">
        <v>4</v>
      </c>
      <c r="C26" s="2">
        <f>Data!C17</f>
        <v>200426</v>
      </c>
      <c r="D26" s="2">
        <f t="shared" si="16"/>
        <v>205623.83333333334</v>
      </c>
      <c r="E26" s="2">
        <f t="shared" si="13"/>
        <v>210537</v>
      </c>
      <c r="F26" s="3">
        <f t="shared" si="14"/>
        <v>0.95197518725924657</v>
      </c>
      <c r="G26" s="3">
        <f t="shared" si="17"/>
        <v>0.83075218768571957</v>
      </c>
      <c r="H26" s="22">
        <f t="shared" si="18"/>
        <v>0.89114925656645383</v>
      </c>
      <c r="I26" s="6">
        <f t="shared" si="11"/>
        <v>224907.33008321153</v>
      </c>
      <c r="J26" s="2"/>
      <c r="K26" s="19"/>
      <c r="L26" s="18"/>
      <c r="R26" s="3"/>
      <c r="S26" s="3"/>
    </row>
    <row r="27" spans="1:30" x14ac:dyDescent="0.3">
      <c r="A27" s="30">
        <v>42856</v>
      </c>
      <c r="B27" t="s">
        <v>5</v>
      </c>
      <c r="C27" s="2">
        <f>Data!C18</f>
        <v>179443</v>
      </c>
      <c r="D27" s="2">
        <f t="shared" si="16"/>
        <v>205877.16666666666</v>
      </c>
      <c r="E27" s="2">
        <f t="shared" si="13"/>
        <v>211620.20833333331</v>
      </c>
      <c r="F27" s="3">
        <f t="shared" si="14"/>
        <v>0.84794831936537263</v>
      </c>
      <c r="G27" s="3">
        <f t="shared" si="17"/>
        <v>0.67789961505817886</v>
      </c>
      <c r="H27" s="22">
        <f t="shared" si="18"/>
        <v>0.72718404710878848</v>
      </c>
      <c r="I27" s="6">
        <f t="shared" si="11"/>
        <v>246764.21425008914</v>
      </c>
      <c r="J27" s="2"/>
      <c r="K27" s="19"/>
      <c r="L27" s="18"/>
      <c r="M27" s="2"/>
      <c r="N27" s="2"/>
      <c r="O27" s="2"/>
      <c r="P27" s="2"/>
      <c r="Q27" s="2"/>
      <c r="R27" s="2"/>
      <c r="S27" s="2"/>
      <c r="T27" s="2"/>
      <c r="U27" s="2"/>
      <c r="V27" s="1"/>
      <c r="W27" s="1"/>
    </row>
    <row r="28" spans="1:30" x14ac:dyDescent="0.3">
      <c r="A28" s="30">
        <v>42887</v>
      </c>
      <c r="B28" t="s">
        <v>6</v>
      </c>
      <c r="C28" s="2">
        <f>Data!C19</f>
        <v>167766</v>
      </c>
      <c r="D28" s="2">
        <f t="shared" si="16"/>
        <v>206475.5</v>
      </c>
      <c r="E28" s="2">
        <f t="shared" si="13"/>
        <v>213367.125</v>
      </c>
      <c r="F28" s="3">
        <f t="shared" si="14"/>
        <v>0.78627857970153558</v>
      </c>
      <c r="G28" s="3">
        <f t="shared" si="17"/>
        <v>0.62814845418723186</v>
      </c>
      <c r="H28" s="22">
        <f t="shared" si="18"/>
        <v>0.67381589390901009</v>
      </c>
      <c r="I28" s="6">
        <f t="shared" si="11"/>
        <v>248978.98894420348</v>
      </c>
      <c r="J28" s="2"/>
      <c r="K28" s="19"/>
      <c r="L28" s="18"/>
      <c r="M28" s="2"/>
      <c r="N28" s="2"/>
      <c r="O28" s="2"/>
      <c r="P28" s="2"/>
      <c r="Q28" s="2"/>
      <c r="R28" s="2"/>
      <c r="S28" s="2"/>
      <c r="T28" s="2"/>
      <c r="U28" s="2"/>
      <c r="V28" s="1"/>
      <c r="W28" s="1"/>
    </row>
    <row r="29" spans="1:30" x14ac:dyDescent="0.3">
      <c r="A29" s="30">
        <v>42917</v>
      </c>
      <c r="B29" t="s">
        <v>7</v>
      </c>
      <c r="C29" s="2">
        <f>Data!C20</f>
        <v>211456</v>
      </c>
      <c r="D29" s="2">
        <f t="shared" si="16"/>
        <v>206981.41666666666</v>
      </c>
      <c r="E29" s="2">
        <f t="shared" si="13"/>
        <v>214837.70833333331</v>
      </c>
      <c r="F29" s="3">
        <f t="shared" si="14"/>
        <v>0.98425924219929584</v>
      </c>
      <c r="G29" s="3">
        <f t="shared" si="17"/>
        <v>0.79799494697474493</v>
      </c>
      <c r="H29" s="22">
        <f t="shared" si="18"/>
        <v>0.85601050985057181</v>
      </c>
      <c r="I29" s="6">
        <f t="shared" si="11"/>
        <v>247025.0044440605</v>
      </c>
      <c r="J29" s="2"/>
      <c r="K29" s="19"/>
      <c r="L29" s="18"/>
      <c r="M29" s="2"/>
      <c r="N29" s="2"/>
      <c r="O29" s="2"/>
      <c r="P29" s="2"/>
      <c r="Q29" s="2"/>
      <c r="R29" s="2"/>
      <c r="S29" s="2"/>
      <c r="T29" s="2"/>
      <c r="U29" s="2"/>
      <c r="V29" s="1"/>
      <c r="W29" s="1"/>
    </row>
    <row r="30" spans="1:30" x14ac:dyDescent="0.3">
      <c r="A30" s="30">
        <v>42948</v>
      </c>
      <c r="B30" t="s">
        <v>8</v>
      </c>
      <c r="C30" s="2">
        <f>Data!C21</f>
        <v>193354</v>
      </c>
      <c r="D30" s="2">
        <f t="shared" si="16"/>
        <v>207398.08333333334</v>
      </c>
      <c r="E30" s="2">
        <f t="shared" si="13"/>
        <v>215309.375</v>
      </c>
      <c r="F30" s="3">
        <f t="shared" si="14"/>
        <v>0.89802870868953111</v>
      </c>
      <c r="G30" s="3">
        <f t="shared" si="17"/>
        <v>0.70501359066224922</v>
      </c>
      <c r="H30" s="22">
        <f t="shared" si="18"/>
        <v>0.756269253937361</v>
      </c>
      <c r="I30" s="6">
        <f t="shared" si="11"/>
        <v>255668.2014948274</v>
      </c>
      <c r="J30" s="2"/>
      <c r="K30" s="19"/>
      <c r="L30" s="18"/>
      <c r="M30" s="2"/>
      <c r="N30" s="2"/>
      <c r="O30" s="2"/>
      <c r="P30" s="2"/>
      <c r="Q30" s="2"/>
      <c r="R30" s="2"/>
      <c r="S30" s="2"/>
      <c r="T30" s="2"/>
      <c r="U30" s="2"/>
      <c r="V30" s="1"/>
      <c r="W30" s="1"/>
    </row>
    <row r="31" spans="1:30" x14ac:dyDescent="0.3">
      <c r="A31" s="30">
        <v>42979</v>
      </c>
      <c r="B31" t="s">
        <v>9</v>
      </c>
      <c r="C31" s="2">
        <f>Data!C22</f>
        <v>199160</v>
      </c>
      <c r="D31" s="2">
        <f t="shared" si="16"/>
        <v>208328.91666666666</v>
      </c>
      <c r="E31" s="2">
        <f t="shared" si="13"/>
        <v>215616.91666666669</v>
      </c>
      <c r="F31" s="3">
        <f t="shared" si="14"/>
        <v>0.9236752063748862</v>
      </c>
      <c r="G31" s="3">
        <f t="shared" si="17"/>
        <v>0.76259311153409548</v>
      </c>
      <c r="H31" s="22">
        <f t="shared" si="18"/>
        <v>0.81803490195971706</v>
      </c>
      <c r="I31" s="6">
        <f t="shared" si="11"/>
        <v>243461.49476371284</v>
      </c>
      <c r="J31" s="2"/>
      <c r="K31" s="19"/>
      <c r="L31" s="18"/>
      <c r="M31" s="2"/>
      <c r="N31" s="2"/>
      <c r="O31" s="2"/>
      <c r="P31" s="2"/>
      <c r="Q31" s="2"/>
      <c r="R31" s="2"/>
      <c r="S31" s="2"/>
      <c r="T31" s="2"/>
      <c r="U31" s="2"/>
      <c r="V31" s="1"/>
      <c r="W31" s="1"/>
    </row>
    <row r="32" spans="1:30" x14ac:dyDescent="0.3">
      <c r="A32" s="30">
        <v>43009</v>
      </c>
      <c r="B32" t="s">
        <v>10</v>
      </c>
      <c r="C32" s="2">
        <f>Data!C23</f>
        <v>224240</v>
      </c>
      <c r="D32" s="2">
        <f t="shared" si="16"/>
        <v>209995.08333333334</v>
      </c>
      <c r="E32" s="2">
        <f t="shared" si="13"/>
        <v>215934.66666666669</v>
      </c>
      <c r="F32" s="3">
        <f t="shared" si="14"/>
        <v>1.0384622509277497</v>
      </c>
      <c r="G32" s="3">
        <f t="shared" si="17"/>
        <v>0.85409400720418838</v>
      </c>
      <c r="H32" s="22">
        <f t="shared" si="18"/>
        <v>0.91618806527394414</v>
      </c>
      <c r="I32" s="6">
        <f t="shared" si="11"/>
        <v>244753.2428104172</v>
      </c>
      <c r="J32" s="2"/>
      <c r="K32" s="19"/>
      <c r="L32" s="18"/>
      <c r="M32" s="2"/>
      <c r="N32" s="2"/>
      <c r="O32" s="2"/>
      <c r="P32" s="2"/>
      <c r="Q32" s="2"/>
      <c r="R32" s="2"/>
      <c r="S32" s="2"/>
      <c r="T32" s="2"/>
      <c r="U32" s="2"/>
      <c r="V32" s="1"/>
      <c r="W32" s="1"/>
    </row>
    <row r="33" spans="1:23" x14ac:dyDescent="0.3">
      <c r="A33" s="30">
        <v>43040</v>
      </c>
      <c r="B33" t="s">
        <v>11</v>
      </c>
      <c r="C33" s="2">
        <f>Data!C24</f>
        <v>243719</v>
      </c>
      <c r="D33" s="2">
        <f t="shared" si="16"/>
        <v>211078.91666666666</v>
      </c>
      <c r="E33" s="2">
        <f t="shared" si="13"/>
        <v>216137.25</v>
      </c>
      <c r="F33" s="3">
        <f t="shared" si="14"/>
        <v>1.1276122001182118</v>
      </c>
      <c r="G33" s="3">
        <f t="shared" si="17"/>
        <v>1.0914809710132696</v>
      </c>
      <c r="H33" s="22">
        <f t="shared" si="18"/>
        <v>1.1708334570680377</v>
      </c>
      <c r="I33" s="6">
        <f t="shared" si="11"/>
        <v>208158.55451407499</v>
      </c>
      <c r="J33" s="2"/>
      <c r="K33" s="19"/>
      <c r="L33" s="18"/>
      <c r="M33" s="2"/>
      <c r="N33" s="2"/>
      <c r="O33" s="2"/>
      <c r="P33" s="2"/>
      <c r="Q33" s="2"/>
      <c r="R33" s="2"/>
      <c r="S33" s="2"/>
      <c r="T33" s="2"/>
      <c r="U33" s="2"/>
      <c r="V33" s="1"/>
      <c r="W33" s="1"/>
    </row>
    <row r="34" spans="1:23" x14ac:dyDescent="0.3">
      <c r="A34" s="30">
        <v>43070</v>
      </c>
      <c r="B34" t="s">
        <v>12</v>
      </c>
      <c r="C34" s="2">
        <f>Data!C25</f>
        <v>255410</v>
      </c>
      <c r="D34" s="2">
        <f t="shared" si="16"/>
        <v>212161.5</v>
      </c>
      <c r="E34" s="2">
        <f t="shared" si="13"/>
        <v>216289.70833333331</v>
      </c>
      <c r="F34" s="3">
        <f t="shared" si="14"/>
        <v>1.1808698711007402</v>
      </c>
      <c r="G34" s="3">
        <f t="shared" si="17"/>
        <v>1.2975251978283802</v>
      </c>
      <c r="H34" s="22">
        <f t="shared" si="18"/>
        <v>1.3918574426414096</v>
      </c>
      <c r="I34" s="6">
        <f t="shared" si="11"/>
        <v>183502.98829116684</v>
      </c>
      <c r="J34" s="2"/>
      <c r="K34" s="19"/>
      <c r="L34" s="18"/>
      <c r="M34" s="2"/>
      <c r="N34" s="2"/>
      <c r="O34" s="2"/>
      <c r="P34" s="2"/>
      <c r="Q34" s="2"/>
      <c r="R34" s="2"/>
      <c r="S34" s="2"/>
      <c r="T34" s="2"/>
      <c r="U34" s="2"/>
      <c r="V34" s="1"/>
      <c r="W34" s="1"/>
    </row>
    <row r="35" spans="1:23" x14ac:dyDescent="0.3">
      <c r="A35" s="30">
        <v>43101</v>
      </c>
      <c r="B35" t="s">
        <v>1</v>
      </c>
      <c r="C35" s="2">
        <f>Data!C26</f>
        <v>275610</v>
      </c>
      <c r="D35" s="2">
        <f t="shared" si="16"/>
        <v>214572.75</v>
      </c>
      <c r="E35" s="2">
        <f t="shared" si="13"/>
        <v>216884.58333333331</v>
      </c>
      <c r="F35" s="3">
        <f t="shared" si="14"/>
        <v>1.2707680544375561</v>
      </c>
      <c r="G35" s="3">
        <f t="shared" ref="G35:G46" si="19">X12</f>
        <v>1.4174493840710238</v>
      </c>
      <c r="H35" s="22">
        <f t="shared" ref="H35:H46" si="20">Y12</f>
        <v>1.5205003171334823</v>
      </c>
      <c r="I35" s="6">
        <f t="shared" si="11"/>
        <v>181262.70471261247</v>
      </c>
      <c r="J35" s="2"/>
      <c r="K35" s="20"/>
      <c r="L35" s="17"/>
      <c r="M35" s="2"/>
      <c r="N35" s="2"/>
      <c r="O35" s="2"/>
      <c r="P35" s="2"/>
      <c r="Q35" s="2"/>
      <c r="R35" s="2"/>
      <c r="S35" s="2"/>
      <c r="T35" s="2"/>
      <c r="U35" s="2"/>
      <c r="V35" s="1"/>
      <c r="W35" s="1"/>
    </row>
    <row r="36" spans="1:23" x14ac:dyDescent="0.3">
      <c r="A36" s="30">
        <v>43132</v>
      </c>
      <c r="B36" t="s">
        <v>2</v>
      </c>
      <c r="C36" s="2">
        <f>Data!C27</f>
        <v>214691</v>
      </c>
      <c r="D36" s="2">
        <f t="shared" si="16"/>
        <v>215102.66666666666</v>
      </c>
      <c r="E36" s="2">
        <f t="shared" si="13"/>
        <v>218019.83333333331</v>
      </c>
      <c r="F36" s="3">
        <f t="shared" si="14"/>
        <v>0.98473151142977067</v>
      </c>
      <c r="G36" s="3">
        <f t="shared" si="19"/>
        <v>1.0589956514401806</v>
      </c>
      <c r="H36" s="22">
        <f t="shared" si="20"/>
        <v>1.1359864006100491</v>
      </c>
      <c r="I36" s="6">
        <f t="shared" si="11"/>
        <v>188990.81880267785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"/>
      <c r="W36" s="1"/>
    </row>
    <row r="37" spans="1:23" x14ac:dyDescent="0.3">
      <c r="A37" s="30">
        <v>43160</v>
      </c>
      <c r="B37" t="s">
        <v>3</v>
      </c>
      <c r="C37" s="2">
        <f>Data!C28</f>
        <v>220918</v>
      </c>
      <c r="D37" s="2">
        <f t="shared" si="16"/>
        <v>215516.08333333334</v>
      </c>
      <c r="E37" s="2">
        <f t="shared" si="13"/>
        <v>218864.625</v>
      </c>
      <c r="F37" s="3">
        <f t="shared" si="14"/>
        <v>1.0093819410057701</v>
      </c>
      <c r="G37" s="3">
        <f t="shared" si="19"/>
        <v>1.0647605845260162</v>
      </c>
      <c r="H37" s="22">
        <f t="shared" si="20"/>
        <v>1.1421704539411746</v>
      </c>
      <c r="I37" s="6">
        <f t="shared" si="11"/>
        <v>193419.46662838294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"/>
      <c r="W37" s="1"/>
    </row>
    <row r="38" spans="1:23" x14ac:dyDescent="0.3">
      <c r="A38" s="30">
        <v>43191</v>
      </c>
      <c r="B38" t="s">
        <v>4</v>
      </c>
      <c r="C38" s="2">
        <f>Data!C29</f>
        <v>202846</v>
      </c>
      <c r="D38" s="2">
        <f t="shared" si="16"/>
        <v>215717.75</v>
      </c>
      <c r="E38" s="2">
        <f t="shared" si="13"/>
        <v>219733.16666666669</v>
      </c>
      <c r="F38" s="3">
        <f t="shared" si="14"/>
        <v>0.92314693806654879</v>
      </c>
      <c r="G38" s="3">
        <f t="shared" si="19"/>
        <v>0.83075218768571957</v>
      </c>
      <c r="H38" s="22">
        <f t="shared" si="20"/>
        <v>0.89114925656645383</v>
      </c>
      <c r="I38" s="6">
        <f t="shared" si="11"/>
        <v>227622.92456098075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"/>
      <c r="W38" s="1"/>
    </row>
    <row r="39" spans="1:23" x14ac:dyDescent="0.3">
      <c r="A39" s="30">
        <v>43221</v>
      </c>
      <c r="B39" t="s">
        <v>5</v>
      </c>
      <c r="C39" s="2">
        <f>Data!C30</f>
        <v>184649</v>
      </c>
      <c r="D39" s="2">
        <f t="shared" si="16"/>
        <v>216151.58333333334</v>
      </c>
      <c r="E39" s="2">
        <f t="shared" si="13"/>
        <v>222046.375</v>
      </c>
      <c r="F39" s="3">
        <f t="shared" si="14"/>
        <v>0.83157853849224062</v>
      </c>
      <c r="G39" s="3">
        <f t="shared" si="19"/>
        <v>0.67789961505817886</v>
      </c>
      <c r="H39" s="22">
        <f t="shared" si="20"/>
        <v>0.72718404710878848</v>
      </c>
      <c r="I39" s="6">
        <f t="shared" si="11"/>
        <v>253923.33719935975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"/>
      <c r="W39" s="1"/>
    </row>
    <row r="40" spans="1:23" x14ac:dyDescent="0.3">
      <c r="A40" s="30">
        <v>43252</v>
      </c>
      <c r="B40" t="s">
        <v>6</v>
      </c>
      <c r="C40" s="2">
        <f>Data!C31</f>
        <v>167422</v>
      </c>
      <c r="D40" s="2">
        <f t="shared" si="16"/>
        <v>216122.91666666666</v>
      </c>
      <c r="E40" s="2">
        <f t="shared" si="13"/>
        <v>225532.58333333331</v>
      </c>
      <c r="F40" s="3">
        <f t="shared" si="14"/>
        <v>0.74234063001244099</v>
      </c>
      <c r="G40" s="3">
        <f t="shared" si="19"/>
        <v>0.62814845418723186</v>
      </c>
      <c r="H40" s="22">
        <f t="shared" si="20"/>
        <v>0.67381589390901009</v>
      </c>
      <c r="I40" s="6">
        <f t="shared" si="11"/>
        <v>248468.46373530055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"/>
      <c r="W40" s="1"/>
    </row>
    <row r="41" spans="1:23" x14ac:dyDescent="0.3">
      <c r="A41" s="30">
        <v>43282</v>
      </c>
      <c r="B41" t="s">
        <v>7</v>
      </c>
      <c r="C41" s="2">
        <f>Data!C32</f>
        <v>215459</v>
      </c>
      <c r="D41" s="2">
        <f t="shared" si="16"/>
        <v>216456.5</v>
      </c>
      <c r="E41" s="2">
        <f t="shared" si="13"/>
        <v>228392.41666666669</v>
      </c>
      <c r="F41" s="3">
        <f t="shared" si="14"/>
        <v>0.94337195229409609</v>
      </c>
      <c r="G41" s="3">
        <f t="shared" si="19"/>
        <v>0.79799494697474493</v>
      </c>
      <c r="H41" s="22">
        <f t="shared" si="20"/>
        <v>0.85601050985057181</v>
      </c>
      <c r="I41" s="6">
        <f t="shared" si="11"/>
        <v>251701.34889770369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"/>
      <c r="W41" s="1"/>
    </row>
    <row r="42" spans="1:23" x14ac:dyDescent="0.3">
      <c r="A42" s="30">
        <v>43313</v>
      </c>
      <c r="B42" t="s">
        <v>8</v>
      </c>
      <c r="C42" s="2">
        <f>Data!C33</f>
        <v>203628</v>
      </c>
      <c r="D42" s="2">
        <f t="shared" si="16"/>
        <v>217312.66666666666</v>
      </c>
      <c r="E42" s="2">
        <f t="shared" si="13"/>
        <v>231054.33333333334</v>
      </c>
      <c r="F42" s="3">
        <f t="shared" si="14"/>
        <v>0.88129920379477844</v>
      </c>
      <c r="G42" s="3">
        <f t="shared" si="19"/>
        <v>0.70501359066224922</v>
      </c>
      <c r="H42" s="22">
        <f t="shared" si="20"/>
        <v>0.756269253937361</v>
      </c>
      <c r="I42" s="6">
        <f t="shared" si="11"/>
        <v>269253.31016678584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"/>
      <c r="W42" s="1"/>
    </row>
    <row r="43" spans="1:23" x14ac:dyDescent="0.3">
      <c r="A43" s="30">
        <v>43344</v>
      </c>
      <c r="B43" t="s">
        <v>9</v>
      </c>
      <c r="C43" s="2">
        <f>Data!C34</f>
        <v>216132</v>
      </c>
      <c r="D43" s="2">
        <f t="shared" si="16"/>
        <v>218727</v>
      </c>
      <c r="E43" s="2">
        <f t="shared" si="13"/>
        <v>234295.66666666669</v>
      </c>
      <c r="F43" s="3">
        <f t="shared" si="14"/>
        <v>0.92247544768931555</v>
      </c>
      <c r="G43" s="3">
        <f t="shared" si="19"/>
        <v>0.76259311153409548</v>
      </c>
      <c r="H43" s="22">
        <f t="shared" si="20"/>
        <v>0.81803490195971706</v>
      </c>
      <c r="I43" s="6">
        <f t="shared" si="11"/>
        <v>264208.77578967053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"/>
      <c r="W43" s="1"/>
    </row>
    <row r="44" spans="1:23" x14ac:dyDescent="0.3">
      <c r="A44" s="30">
        <v>43374</v>
      </c>
      <c r="B44" t="s">
        <v>10</v>
      </c>
      <c r="C44" s="2">
        <f>Data!C35</f>
        <v>227543</v>
      </c>
      <c r="D44" s="2">
        <f t="shared" si="16"/>
        <v>219002.25</v>
      </c>
      <c r="E44" s="2">
        <f t="shared" si="13"/>
        <v>236876.16666666669</v>
      </c>
      <c r="F44" s="3">
        <f t="shared" si="14"/>
        <v>0.960598962749172</v>
      </c>
      <c r="G44" s="3">
        <f t="shared" si="19"/>
        <v>0.85409400720418838</v>
      </c>
      <c r="H44" s="22">
        <f t="shared" si="20"/>
        <v>0.91618806527394414</v>
      </c>
      <c r="I44" s="6">
        <f t="shared" si="11"/>
        <v>248358.39782737583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1"/>
      <c r="W44" s="1"/>
    </row>
    <row r="45" spans="1:23" x14ac:dyDescent="0.3">
      <c r="A45" s="30">
        <v>43405</v>
      </c>
      <c r="B45" t="s">
        <v>11</v>
      </c>
      <c r="C45" s="2">
        <f>Data!C36</f>
        <v>261261</v>
      </c>
      <c r="D45" s="2">
        <f t="shared" si="16"/>
        <v>220464.08333333334</v>
      </c>
      <c r="E45" s="2">
        <f t="shared" si="13"/>
        <v>239178.20833333334</v>
      </c>
      <c r="F45" s="3">
        <f t="shared" si="14"/>
        <v>1.0923277744262168</v>
      </c>
      <c r="G45" s="3">
        <f t="shared" si="19"/>
        <v>1.0914809710132696</v>
      </c>
      <c r="H45" s="22">
        <f t="shared" si="20"/>
        <v>1.1708334570680377</v>
      </c>
      <c r="I45" s="6">
        <f t="shared" si="11"/>
        <v>223141.04403391507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1"/>
      <c r="W45" s="1"/>
    </row>
    <row r="46" spans="1:23" x14ac:dyDescent="0.3">
      <c r="A46" s="30">
        <v>43435</v>
      </c>
      <c r="B46" t="s">
        <v>12</v>
      </c>
      <c r="C46" s="2">
        <f>Data!C37</f>
        <v>293385</v>
      </c>
      <c r="D46" s="2">
        <f t="shared" si="16"/>
        <v>223628.66666666666</v>
      </c>
      <c r="E46" s="2">
        <f t="shared" si="13"/>
        <v>241625.41666666669</v>
      </c>
      <c r="F46" s="3">
        <f t="shared" si="14"/>
        <v>1.2142141503463522</v>
      </c>
      <c r="G46" s="3">
        <f t="shared" si="19"/>
        <v>1.2975251978283802</v>
      </c>
      <c r="H46" s="22">
        <f t="shared" si="20"/>
        <v>1.3918574426414096</v>
      </c>
      <c r="I46" s="6">
        <f t="shared" si="11"/>
        <v>210786.67326966047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1"/>
      <c r="W46" s="1"/>
    </row>
    <row r="47" spans="1:23" x14ac:dyDescent="0.3">
      <c r="A47" s="30">
        <v>43466</v>
      </c>
      <c r="B47" t="s">
        <v>1</v>
      </c>
      <c r="C47" s="2">
        <f>Data!C38</f>
        <v>321304</v>
      </c>
      <c r="D47" s="2">
        <f t="shared" si="16"/>
        <v>227436.5</v>
      </c>
      <c r="E47" s="2">
        <f t="shared" si="13"/>
        <v>243358.29166666669</v>
      </c>
      <c r="F47" s="3">
        <f t="shared" si="14"/>
        <v>1.3202919769016841</v>
      </c>
      <c r="G47" s="3">
        <f t="shared" ref="G47:G58" si="21">X12</f>
        <v>1.4174493840710238</v>
      </c>
      <c r="H47" s="22">
        <f t="shared" ref="H47:H58" si="22">Y12</f>
        <v>1.5205003171334823</v>
      </c>
      <c r="I47" s="6">
        <f t="shared" si="11"/>
        <v>211314.65503784781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1"/>
      <c r="W47" s="1"/>
    </row>
    <row r="48" spans="1:23" x14ac:dyDescent="0.3">
      <c r="A48" s="30">
        <v>43497</v>
      </c>
      <c r="B48" t="s">
        <v>2</v>
      </c>
      <c r="C48" s="2">
        <f>Data!C39</f>
        <v>237633</v>
      </c>
      <c r="D48" s="2">
        <f t="shared" si="16"/>
        <v>229348.33333333334</v>
      </c>
      <c r="E48" s="2">
        <f t="shared" si="13"/>
        <v>244298.95833333334</v>
      </c>
      <c r="F48" s="3">
        <f t="shared" si="14"/>
        <v>0.97271393059221323</v>
      </c>
      <c r="G48" s="3">
        <f t="shared" si="21"/>
        <v>1.0589956514401806</v>
      </c>
      <c r="H48" s="22">
        <f t="shared" si="22"/>
        <v>1.1359864006100491</v>
      </c>
      <c r="I48" s="6">
        <f t="shared" si="11"/>
        <v>209186.48310612343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1"/>
      <c r="W48" s="1"/>
    </row>
    <row r="49" spans="1:23" x14ac:dyDescent="0.3">
      <c r="A49" s="30">
        <v>43525</v>
      </c>
      <c r="B49" t="s">
        <v>3</v>
      </c>
      <c r="C49" s="2">
        <f>Data!C40</f>
        <v>261862</v>
      </c>
      <c r="D49" s="2">
        <f t="shared" si="16"/>
        <v>232760.33333333334</v>
      </c>
      <c r="E49" s="2">
        <f t="shared" si="13"/>
        <v>244618.41666666669</v>
      </c>
      <c r="F49" s="3">
        <f t="shared" si="14"/>
        <v>1.070491762510386</v>
      </c>
      <c r="G49" s="3">
        <f t="shared" si="21"/>
        <v>1.0647605845260162</v>
      </c>
      <c r="H49" s="22">
        <f t="shared" si="22"/>
        <v>1.1421704539411746</v>
      </c>
      <c r="I49" s="6">
        <f t="shared" si="11"/>
        <v>229267.00572267364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1"/>
      <c r="W49" s="1"/>
    </row>
    <row r="50" spans="1:23" x14ac:dyDescent="0.3">
      <c r="A50" s="30">
        <v>43556</v>
      </c>
      <c r="B50" t="s">
        <v>4</v>
      </c>
      <c r="C50" s="2">
        <f>Data!C41</f>
        <v>239694</v>
      </c>
      <c r="D50" s="2">
        <f t="shared" si="16"/>
        <v>235831</v>
      </c>
      <c r="E50" s="2">
        <f t="shared" si="13"/>
        <v>243959.125</v>
      </c>
      <c r="F50" s="3">
        <f t="shared" si="14"/>
        <v>0.9825170507559412</v>
      </c>
      <c r="G50" s="3">
        <f t="shared" si="21"/>
        <v>0.83075218768571957</v>
      </c>
      <c r="H50" s="22">
        <f t="shared" si="22"/>
        <v>0.89114925656645383</v>
      </c>
      <c r="I50" s="6">
        <f t="shared" si="11"/>
        <v>268971.77799769148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1"/>
      <c r="W50" s="1"/>
    </row>
    <row r="51" spans="1:23" x14ac:dyDescent="0.3">
      <c r="A51" s="30">
        <v>43586</v>
      </c>
      <c r="B51" t="s">
        <v>5</v>
      </c>
      <c r="C51" s="2">
        <f>Data!C42</f>
        <v>209733</v>
      </c>
      <c r="D51" s="2">
        <f t="shared" si="16"/>
        <v>237921.33333333334</v>
      </c>
      <c r="E51" s="2">
        <f t="shared" si="13"/>
        <v>243920.04166666669</v>
      </c>
      <c r="F51" s="3">
        <f t="shared" si="14"/>
        <v>0.85984324439651583</v>
      </c>
      <c r="G51" s="3">
        <f t="shared" si="21"/>
        <v>0.67789961505817886</v>
      </c>
      <c r="H51" s="22">
        <f t="shared" si="22"/>
        <v>0.72718404710878848</v>
      </c>
      <c r="I51" s="6">
        <f t="shared" si="11"/>
        <v>288418.04331912613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1"/>
      <c r="W51" s="1"/>
    </row>
    <row r="52" spans="1:23" x14ac:dyDescent="0.3">
      <c r="A52" s="30">
        <v>43617</v>
      </c>
      <c r="B52" t="s">
        <v>6</v>
      </c>
      <c r="C52" s="2">
        <f>Data!C43</f>
        <v>197587</v>
      </c>
      <c r="D52" s="2">
        <f t="shared" si="16"/>
        <v>240435.08333333334</v>
      </c>
      <c r="E52" s="2">
        <f t="shared" si="13"/>
        <v>243926.875</v>
      </c>
      <c r="F52" s="3">
        <f t="shared" si="14"/>
        <v>0.81002554556565365</v>
      </c>
      <c r="G52" s="3">
        <f t="shared" si="21"/>
        <v>0.62814845418723186</v>
      </c>
      <c r="H52" s="22">
        <f t="shared" si="22"/>
        <v>0.67381589390901009</v>
      </c>
      <c r="I52" s="6">
        <f t="shared" si="11"/>
        <v>293235.88503342948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"/>
      <c r="W52" s="1"/>
    </row>
    <row r="53" spans="1:23" x14ac:dyDescent="0.3">
      <c r="A53" s="30">
        <v>43647</v>
      </c>
      <c r="B53" t="s">
        <v>7</v>
      </c>
      <c r="C53" s="2">
        <f>Data!C44</f>
        <v>244027</v>
      </c>
      <c r="D53" s="2">
        <f t="shared" si="16"/>
        <v>242815.75</v>
      </c>
      <c r="E53" s="2">
        <f t="shared" si="13"/>
        <v>244116</v>
      </c>
      <c r="F53" s="3">
        <f t="shared" si="14"/>
        <v>0.99963541922692489</v>
      </c>
      <c r="G53" s="3">
        <f t="shared" si="21"/>
        <v>0.79799494697474493</v>
      </c>
      <c r="H53" s="22">
        <f t="shared" si="22"/>
        <v>0.85601050985057181</v>
      </c>
      <c r="I53" s="6">
        <f t="shared" si="11"/>
        <v>285074.77091910731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"/>
      <c r="W53" s="1"/>
    </row>
    <row r="54" spans="1:23" x14ac:dyDescent="0.3">
      <c r="A54" s="30">
        <v>43678</v>
      </c>
      <c r="B54" t="s">
        <v>8</v>
      </c>
      <c r="C54" s="2">
        <f>Data!C45</f>
        <v>216649</v>
      </c>
      <c r="D54" s="2">
        <f t="shared" si="16"/>
        <v>243900.83333333334</v>
      </c>
      <c r="E54" s="2">
        <f t="shared" si="13"/>
        <v>238871.16666666669</v>
      </c>
      <c r="F54" s="3">
        <f t="shared" si="14"/>
        <v>0.90697007522185946</v>
      </c>
      <c r="G54" s="3">
        <f t="shared" si="21"/>
        <v>0.70501359066224922</v>
      </c>
      <c r="H54" s="22">
        <f t="shared" si="22"/>
        <v>0.756269253937361</v>
      </c>
      <c r="I54" s="6">
        <f t="shared" si="11"/>
        <v>286470.72305539506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"/>
      <c r="W54" s="1"/>
    </row>
    <row r="55" spans="1:23" x14ac:dyDescent="0.3">
      <c r="A55" s="30">
        <v>43709</v>
      </c>
      <c r="B55" t="s">
        <v>9</v>
      </c>
      <c r="C55" s="2">
        <f>Data!C46</f>
        <v>225687</v>
      </c>
      <c r="D55" s="2">
        <f t="shared" si="16"/>
        <v>244697.08333333334</v>
      </c>
      <c r="E55" s="2">
        <f t="shared" si="13"/>
        <v>222915.25</v>
      </c>
      <c r="F55" s="3">
        <f t="shared" si="14"/>
        <v>1.0124340977120228</v>
      </c>
      <c r="G55" s="3">
        <f t="shared" si="21"/>
        <v>0.76259311153409548</v>
      </c>
      <c r="H55" s="22">
        <f t="shared" si="22"/>
        <v>0.81803490195971706</v>
      </c>
      <c r="I55" s="6">
        <f t="shared" si="11"/>
        <v>275889.20651103667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"/>
      <c r="W55" s="1"/>
    </row>
    <row r="56" spans="1:23" x14ac:dyDescent="0.3">
      <c r="A56" s="30">
        <v>43739</v>
      </c>
      <c r="B56" t="s">
        <v>10</v>
      </c>
      <c r="C56" s="2">
        <f>Data!C47</f>
        <v>225655</v>
      </c>
      <c r="D56" s="2">
        <f t="shared" si="16"/>
        <v>244539.75</v>
      </c>
      <c r="E56" s="2">
        <f t="shared" si="13"/>
        <v>204189.125</v>
      </c>
      <c r="F56" s="3">
        <f t="shared" si="14"/>
        <v>1.1051274155761233</v>
      </c>
      <c r="G56" s="3">
        <f t="shared" si="21"/>
        <v>0.85409400720418838</v>
      </c>
      <c r="H56" s="22">
        <f t="shared" si="22"/>
        <v>0.91618806527394414</v>
      </c>
      <c r="I56" s="6">
        <f t="shared" si="11"/>
        <v>246297.68554399165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"/>
      <c r="W56" s="1"/>
    </row>
    <row r="57" spans="1:23" x14ac:dyDescent="0.3">
      <c r="A57" s="30">
        <v>43770</v>
      </c>
      <c r="B57" t="s">
        <v>11</v>
      </c>
      <c r="C57" s="2">
        <f>Data!C48</f>
        <v>247326</v>
      </c>
      <c r="D57" s="2">
        <f t="shared" si="16"/>
        <v>243378.5</v>
      </c>
      <c r="E57" s="2">
        <f t="shared" si="13"/>
        <v>187217.45833333331</v>
      </c>
      <c r="F57" s="3">
        <f t="shared" si="14"/>
        <v>1.3210626946961634</v>
      </c>
      <c r="G57" s="3">
        <f t="shared" si="21"/>
        <v>1.0914809710132696</v>
      </c>
      <c r="H57" s="22">
        <f t="shared" si="22"/>
        <v>1.1708334570680377</v>
      </c>
      <c r="I57" s="6">
        <f t="shared" si="11"/>
        <v>211239.26593227492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"/>
      <c r="W57" s="1"/>
    </row>
    <row r="58" spans="1:23" x14ac:dyDescent="0.3">
      <c r="A58" s="30">
        <v>43800</v>
      </c>
      <c r="B58" t="s">
        <v>12</v>
      </c>
      <c r="C58" s="2">
        <f>Data!C49</f>
        <v>306382</v>
      </c>
      <c r="D58" s="2">
        <f t="shared" si="16"/>
        <v>244461.58333333334</v>
      </c>
      <c r="E58" s="2">
        <f t="shared" si="13"/>
        <v>168837.5</v>
      </c>
      <c r="F58" s="3">
        <f t="shared" si="14"/>
        <v>1.8146561042422447</v>
      </c>
      <c r="G58" s="3">
        <f t="shared" si="21"/>
        <v>1.2975251978283802</v>
      </c>
      <c r="H58" s="22">
        <f t="shared" si="22"/>
        <v>1.3918574426414096</v>
      </c>
      <c r="I58" s="6">
        <f t="shared" si="11"/>
        <v>220124.55486717151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"/>
      <c r="W58" s="1"/>
    </row>
    <row r="59" spans="1:23" x14ac:dyDescent="0.3">
      <c r="A59" s="30">
        <v>43831</v>
      </c>
      <c r="B59" t="s">
        <v>1</v>
      </c>
      <c r="C59" s="2">
        <f>Data!C50</f>
        <v>308471</v>
      </c>
      <c r="D59" s="2">
        <f t="shared" si="16"/>
        <v>243392.16666666666</v>
      </c>
      <c r="E59" s="2">
        <f t="shared" si="13"/>
        <v>149700.375</v>
      </c>
      <c r="F59" s="3">
        <f t="shared" si="14"/>
        <v>2.0605893605810941</v>
      </c>
      <c r="G59" s="3">
        <f t="shared" ref="G59:G70" si="23">X12</f>
        <v>1.4174493840710238</v>
      </c>
      <c r="H59" s="22">
        <f t="shared" ref="H59:H70" si="24">Y12</f>
        <v>1.5205003171334823</v>
      </c>
      <c r="I59" s="6">
        <f t="shared" si="11"/>
        <v>202874.66995175893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1"/>
      <c r="W59" s="1"/>
    </row>
    <row r="60" spans="1:23" x14ac:dyDescent="0.3">
      <c r="A60" s="30">
        <v>43862</v>
      </c>
      <c r="B60" t="s">
        <v>2</v>
      </c>
      <c r="C60" s="2">
        <f>Data!C51</f>
        <v>255005</v>
      </c>
      <c r="D60" s="2">
        <f t="shared" si="16"/>
        <v>244839.83333333334</v>
      </c>
      <c r="E60" s="2">
        <f t="shared" si="13"/>
        <v>131364.79166666666</v>
      </c>
      <c r="F60" s="3">
        <f t="shared" si="14"/>
        <v>1.9411974606336364</v>
      </c>
      <c r="G60" s="3">
        <f t="shared" si="23"/>
        <v>1.0589956514401806</v>
      </c>
      <c r="H60" s="22">
        <f t="shared" si="24"/>
        <v>1.1359864006100491</v>
      </c>
      <c r="I60" s="6">
        <f t="shared" si="11"/>
        <v>224478.91969750417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1"/>
      <c r="W60" s="1"/>
    </row>
    <row r="61" spans="1:23" x14ac:dyDescent="0.3">
      <c r="A61" s="30">
        <v>43891</v>
      </c>
      <c r="B61" t="s">
        <v>3</v>
      </c>
      <c r="C61" s="2">
        <f>Data!C52</f>
        <v>118614</v>
      </c>
      <c r="D61" s="2">
        <f t="shared" si="16"/>
        <v>232902.5</v>
      </c>
      <c r="E61" s="2">
        <f t="shared" si="13"/>
        <v>112693.08333333334</v>
      </c>
      <c r="F61" s="3">
        <f t="shared" si="14"/>
        <v>1.0525401958268659</v>
      </c>
      <c r="G61" s="3">
        <f t="shared" si="23"/>
        <v>1.0647605845260162</v>
      </c>
      <c r="H61" s="22">
        <f t="shared" si="24"/>
        <v>1.1421704539411746</v>
      </c>
      <c r="I61" s="6">
        <f t="shared" si="11"/>
        <v>103849.6483521443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1"/>
      <c r="W61" s="1"/>
    </row>
    <row r="62" spans="1:23" x14ac:dyDescent="0.3">
      <c r="A62" s="30">
        <v>43922</v>
      </c>
      <c r="B62" t="s">
        <v>4</v>
      </c>
      <c r="C62" s="2">
        <f>Data!C53</f>
        <v>0</v>
      </c>
      <c r="D62" s="2">
        <f t="shared" si="16"/>
        <v>212928</v>
      </c>
      <c r="E62" s="2">
        <f t="shared" si="13"/>
        <v>93224.125</v>
      </c>
      <c r="F62" s="3">
        <f t="shared" si="14"/>
        <v>0</v>
      </c>
      <c r="G62" s="3">
        <f t="shared" si="23"/>
        <v>0.83075218768571957</v>
      </c>
      <c r="H62" s="22">
        <f t="shared" si="24"/>
        <v>0.89114925656645383</v>
      </c>
      <c r="I62" s="6">
        <f t="shared" si="11"/>
        <v>0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1"/>
      <c r="W62" s="1"/>
    </row>
    <row r="63" spans="1:23" x14ac:dyDescent="0.3">
      <c r="A63" s="30">
        <v>43952</v>
      </c>
      <c r="B63" t="s">
        <v>5</v>
      </c>
      <c r="C63" s="2">
        <f>Data!C54</f>
        <v>0</v>
      </c>
      <c r="D63" s="2">
        <f t="shared" si="16"/>
        <v>195450.25</v>
      </c>
      <c r="E63" s="2">
        <f t="shared" si="13"/>
        <v>70643.041666666672</v>
      </c>
      <c r="F63" s="3">
        <f t="shared" si="14"/>
        <v>0</v>
      </c>
      <c r="G63" s="3">
        <f t="shared" si="23"/>
        <v>0.67789961505817886</v>
      </c>
      <c r="H63" s="22">
        <f t="shared" si="24"/>
        <v>0.72718404710878848</v>
      </c>
      <c r="I63" s="6">
        <f t="shared" si="11"/>
        <v>0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1"/>
      <c r="W63" s="1"/>
    </row>
    <row r="64" spans="1:23" x14ac:dyDescent="0.3">
      <c r="A64" s="30">
        <v>43983</v>
      </c>
      <c r="B64" t="s">
        <v>6</v>
      </c>
      <c r="C64" s="2">
        <f>Data!C55</f>
        <v>0</v>
      </c>
      <c r="D64" s="2">
        <f t="shared" si="16"/>
        <v>178984.66666666666</v>
      </c>
      <c r="E64" s="2">
        <f t="shared" si="13"/>
        <v>45694.75</v>
      </c>
      <c r="F64" s="3">
        <f t="shared" si="14"/>
        <v>0</v>
      </c>
      <c r="G64" s="3">
        <f t="shared" si="23"/>
        <v>0.62814845418723186</v>
      </c>
      <c r="H64" s="22">
        <f t="shared" si="24"/>
        <v>0.67381589390901009</v>
      </c>
      <c r="I64" s="6">
        <f t="shared" si="11"/>
        <v>0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1"/>
      <c r="W64" s="1"/>
    </row>
    <row r="65" spans="1:23" x14ac:dyDescent="0.3">
      <c r="A65" s="30">
        <v>44013</v>
      </c>
      <c r="B65" t="s">
        <v>7</v>
      </c>
      <c r="C65" s="2">
        <f>Data!C56</f>
        <v>495</v>
      </c>
      <c r="D65" s="2">
        <f t="shared" si="16"/>
        <v>158690.33333333334</v>
      </c>
      <c r="E65" s="2">
        <f t="shared" si="13"/>
        <v>22711.458333333332</v>
      </c>
      <c r="F65" s="3">
        <f t="shared" si="14"/>
        <v>2.1795165802871167E-2</v>
      </c>
      <c r="G65" s="3">
        <f t="shared" si="23"/>
        <v>0.79799494697474493</v>
      </c>
      <c r="H65" s="22">
        <f t="shared" si="24"/>
        <v>0.85601050985057181</v>
      </c>
      <c r="I65" s="6">
        <f t="shared" si="11"/>
        <v>578.26392819220052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1"/>
      <c r="W65" s="1"/>
    </row>
    <row r="66" spans="1:23" x14ac:dyDescent="0.3">
      <c r="A66" s="30">
        <v>44044</v>
      </c>
      <c r="B66" t="s">
        <v>8</v>
      </c>
      <c r="C66" s="2">
        <f>Data!C57</f>
        <v>890</v>
      </c>
      <c r="D66" s="2">
        <f t="shared" si="16"/>
        <v>140710.41666666666</v>
      </c>
      <c r="E66" s="2">
        <f t="shared" si="13"/>
        <v>7537</v>
      </c>
      <c r="F66" s="3">
        <f t="shared" si="14"/>
        <v>0.11808411834947592</v>
      </c>
      <c r="G66" s="3">
        <f t="shared" si="23"/>
        <v>0.70501359066224922</v>
      </c>
      <c r="H66" s="22">
        <f t="shared" si="24"/>
        <v>0.756269253937361</v>
      </c>
      <c r="I66" s="6">
        <f t="shared" si="11"/>
        <v>1176.8295423440757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1"/>
      <c r="W66" s="1"/>
    </row>
    <row r="67" spans="1:23" x14ac:dyDescent="0.3">
      <c r="A67" s="30">
        <v>44075</v>
      </c>
      <c r="B67" t="s">
        <v>9</v>
      </c>
      <c r="C67" s="2">
        <f>Data!C58</f>
        <v>1392</v>
      </c>
      <c r="D67" s="2">
        <f t="shared" si="16"/>
        <v>122019.16666666667</v>
      </c>
      <c r="E67" s="2">
        <f t="shared" si="13"/>
        <v>3042.375</v>
      </c>
      <c r="F67" s="3">
        <f t="shared" si="14"/>
        <v>0.45753728583754466</v>
      </c>
      <c r="G67" s="3">
        <f t="shared" si="23"/>
        <v>0.76259311153409548</v>
      </c>
      <c r="H67" s="22">
        <f t="shared" si="24"/>
        <v>0.81803490195971706</v>
      </c>
      <c r="I67" s="6">
        <f t="shared" si="11"/>
        <v>1701.6388868803388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1"/>
      <c r="W67" s="1"/>
    </row>
    <row r="68" spans="1:23" x14ac:dyDescent="0.3">
      <c r="A68" s="30">
        <v>44105</v>
      </c>
      <c r="B68" t="s">
        <v>10</v>
      </c>
      <c r="C68" s="2">
        <f>Data!C59</f>
        <v>1829</v>
      </c>
      <c r="D68" s="2">
        <f t="shared" si="16"/>
        <v>103367</v>
      </c>
      <c r="E68" s="2">
        <f t="shared" si="13"/>
        <v>3389.041666666667</v>
      </c>
      <c r="F68" s="3">
        <f t="shared" si="14"/>
        <v>0.53968058817020537</v>
      </c>
      <c r="G68" s="3">
        <f t="shared" si="23"/>
        <v>0.85409400720418838</v>
      </c>
      <c r="H68" s="22">
        <f t="shared" si="24"/>
        <v>0.91618806527394414</v>
      </c>
      <c r="I68" s="6">
        <f t="shared" si="11"/>
        <v>1996.3150245284205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1"/>
      <c r="W68" s="1"/>
    </row>
    <row r="69" spans="1:23" x14ac:dyDescent="0.3">
      <c r="A69" s="30">
        <v>44136</v>
      </c>
      <c r="B69" t="s">
        <v>11</v>
      </c>
      <c r="C69" s="2">
        <f>Data!C60</f>
        <v>3897</v>
      </c>
      <c r="D69" s="2">
        <f t="shared" si="16"/>
        <v>83081.25</v>
      </c>
      <c r="E69" s="2">
        <f t="shared" si="13"/>
        <v>3639.2083333333335</v>
      </c>
      <c r="F69" s="3">
        <f t="shared" si="14"/>
        <v>1.070837292909401</v>
      </c>
      <c r="G69" s="3">
        <f t="shared" si="23"/>
        <v>1.0914809710132696</v>
      </c>
      <c r="H69" s="22">
        <f t="shared" si="24"/>
        <v>1.1708334570680377</v>
      </c>
      <c r="I69" s="6">
        <f t="shared" si="11"/>
        <v>3328.3982247643812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1"/>
      <c r="W69" s="1"/>
    </row>
    <row r="70" spans="1:23" x14ac:dyDescent="0.3">
      <c r="A70" s="30">
        <v>44166</v>
      </c>
      <c r="B70" t="s">
        <v>12</v>
      </c>
      <c r="C70" s="2">
        <f>Data!C61</f>
        <v>7865</v>
      </c>
      <c r="D70" s="2">
        <f t="shared" si="16"/>
        <v>58204.833333333336</v>
      </c>
      <c r="E70" s="2">
        <f t="shared" si="13"/>
        <v>3812.2083333333335</v>
      </c>
      <c r="F70" s="3">
        <f t="shared" si="14"/>
        <v>2.0631086531210037</v>
      </c>
      <c r="G70" s="3">
        <f t="shared" si="23"/>
        <v>1.2975251978283802</v>
      </c>
      <c r="H70" s="22">
        <f t="shared" si="24"/>
        <v>1.3918574426414096</v>
      </c>
      <c r="I70" s="6">
        <f t="shared" si="11"/>
        <v>5650.7223793509538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1"/>
      <c r="W70" s="1"/>
    </row>
    <row r="71" spans="1:23" x14ac:dyDescent="0.3">
      <c r="A71" s="30">
        <v>44197</v>
      </c>
      <c r="B71" t="s">
        <v>1</v>
      </c>
      <c r="C71" s="2">
        <f>Data!C62</f>
        <v>8229</v>
      </c>
      <c r="D71" s="2">
        <f t="shared" si="16"/>
        <v>33184.666666666664</v>
      </c>
      <c r="E71" s="2">
        <f t="shared" si="13"/>
        <v>3916.4583333333335</v>
      </c>
      <c r="F71" s="3">
        <f t="shared" si="14"/>
        <v>2.1011330389914358</v>
      </c>
      <c r="G71" s="3">
        <f t="shared" ref="G71:G82" si="25">X12</f>
        <v>1.4174493840710238</v>
      </c>
      <c r="H71" s="22">
        <f t="shared" ref="H71:H82" si="26">Y12</f>
        <v>1.5205003171334823</v>
      </c>
      <c r="I71" s="6">
        <f t="shared" si="11"/>
        <v>5412.0343858353754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1"/>
      <c r="W71" s="1"/>
    </row>
    <row r="72" spans="1:23" x14ac:dyDescent="0.3">
      <c r="A72" s="30">
        <v>44228</v>
      </c>
      <c r="B72" t="s">
        <v>2</v>
      </c>
      <c r="C72" s="2">
        <f>Data!C63</f>
        <v>3648</v>
      </c>
      <c r="D72" s="2">
        <f t="shared" si="16"/>
        <v>12238.25</v>
      </c>
      <c r="E72" s="2">
        <f t="shared" si="13"/>
        <v>3981.4583333333335</v>
      </c>
      <c r="F72" s="3">
        <f t="shared" si="14"/>
        <v>0.91624718748364808</v>
      </c>
      <c r="G72" s="3">
        <f t="shared" si="25"/>
        <v>1.0589956514401806</v>
      </c>
      <c r="H72" s="22">
        <f t="shared" si="26"/>
        <v>1.1359864006100491</v>
      </c>
      <c r="I72" s="6">
        <f t="shared" si="11"/>
        <v>3211.3060491225474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1"/>
      <c r="W72" s="1"/>
    </row>
    <row r="73" spans="1:23" x14ac:dyDescent="0.3">
      <c r="A73" s="30">
        <v>44256</v>
      </c>
      <c r="B73" t="s">
        <v>3</v>
      </c>
      <c r="C73" s="2">
        <f>Data!C64</f>
        <v>5784</v>
      </c>
      <c r="D73" s="2">
        <f t="shared" si="16"/>
        <v>2835.75</v>
      </c>
      <c r="E73" s="2">
        <f t="shared" si="13"/>
        <v>4335.958333333333</v>
      </c>
      <c r="F73" s="3">
        <f t="shared" si="14"/>
        <v>1.3339611581445856</v>
      </c>
      <c r="G73" s="3">
        <f t="shared" si="25"/>
        <v>1.0647605845260162</v>
      </c>
      <c r="H73" s="22">
        <f t="shared" si="26"/>
        <v>1.1421704539411746</v>
      </c>
      <c r="I73" s="6">
        <f t="shared" si="11"/>
        <v>5064.04274426967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"/>
      <c r="W73" s="1"/>
    </row>
    <row r="74" spans="1:23" x14ac:dyDescent="0.3">
      <c r="A74" s="30">
        <v>44287</v>
      </c>
      <c r="B74" t="s">
        <v>4</v>
      </c>
      <c r="C74" s="2">
        <f>Data!C65</f>
        <v>4959</v>
      </c>
      <c r="D74" s="2">
        <f t="shared" si="16"/>
        <v>3249</v>
      </c>
      <c r="E74" s="2">
        <f t="shared" si="13"/>
        <v>5974.6666666666661</v>
      </c>
      <c r="F74" s="3">
        <f t="shared" si="14"/>
        <v>0.83000446328944444</v>
      </c>
      <c r="G74" s="3">
        <f t="shared" si="25"/>
        <v>0.83075218768571957</v>
      </c>
      <c r="H74" s="22">
        <f t="shared" si="26"/>
        <v>0.89114925656645383</v>
      </c>
      <c r="I74" s="6">
        <f t="shared" si="11"/>
        <v>5564.7243864700486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1"/>
      <c r="W74" s="1"/>
    </row>
    <row r="75" spans="1:23" x14ac:dyDescent="0.3">
      <c r="A75" s="30">
        <v>44317</v>
      </c>
      <c r="B75" t="s">
        <v>5</v>
      </c>
      <c r="C75" s="2">
        <f>Data!C66</f>
        <v>3361</v>
      </c>
      <c r="D75" s="2">
        <f t="shared" si="16"/>
        <v>3529.0833333333335</v>
      </c>
      <c r="E75" s="2">
        <f t="shared" si="13"/>
        <v>9179.125</v>
      </c>
      <c r="F75" s="3">
        <f t="shared" si="14"/>
        <v>0.36615690493374914</v>
      </c>
      <c r="G75" s="3">
        <f t="shared" si="25"/>
        <v>0.67789961505817886</v>
      </c>
      <c r="H75" s="22">
        <f t="shared" si="26"/>
        <v>0.72718404710878848</v>
      </c>
      <c r="I75" s="6">
        <f t="shared" si="11"/>
        <v>4621.9385771222596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1"/>
      <c r="W75" s="1"/>
    </row>
    <row r="76" spans="1:23" x14ac:dyDescent="0.3">
      <c r="A76" s="30">
        <v>44348</v>
      </c>
      <c r="B76" t="s">
        <v>6</v>
      </c>
      <c r="C76" s="2">
        <f>Data!C67</f>
        <v>2643</v>
      </c>
      <c r="D76" s="2">
        <f t="shared" si="16"/>
        <v>3749.3333333333335</v>
      </c>
      <c r="E76" s="2">
        <f t="shared" si="13"/>
        <v>13444.416666666668</v>
      </c>
      <c r="F76" s="3">
        <f t="shared" si="14"/>
        <v>0.19658718303136988</v>
      </c>
      <c r="G76" s="3">
        <f t="shared" si="25"/>
        <v>0.62814845418723186</v>
      </c>
      <c r="H76" s="22">
        <f t="shared" si="26"/>
        <v>0.67381589390901009</v>
      </c>
      <c r="I76" s="6">
        <f t="shared" ref="I76:I113" si="27">C76/H76</f>
        <v>3922.4364160767364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1"/>
      <c r="W76" s="1"/>
    </row>
    <row r="77" spans="1:23" x14ac:dyDescent="0.3">
      <c r="A77" s="30">
        <v>44378</v>
      </c>
      <c r="B77" t="s">
        <v>7</v>
      </c>
      <c r="C77" s="2">
        <f>Data!C68</f>
        <v>2004</v>
      </c>
      <c r="D77" s="2">
        <f t="shared" si="16"/>
        <v>3875.0833333333335</v>
      </c>
      <c r="E77" s="2">
        <f t="shared" si="13"/>
        <v>17944.541666666668</v>
      </c>
      <c r="F77" s="3">
        <f t="shared" si="14"/>
        <v>0.11167741351246548</v>
      </c>
      <c r="G77" s="3">
        <f t="shared" si="25"/>
        <v>0.79799494697474493</v>
      </c>
      <c r="H77" s="22">
        <f t="shared" si="26"/>
        <v>0.85601050985057181</v>
      </c>
      <c r="I77" s="6">
        <f t="shared" si="27"/>
        <v>2341.0927517114542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1"/>
      <c r="W77" s="1"/>
    </row>
    <row r="78" spans="1:23" x14ac:dyDescent="0.3">
      <c r="A78" s="30">
        <v>44409</v>
      </c>
      <c r="B78" t="s">
        <v>8</v>
      </c>
      <c r="C78" s="2">
        <f>Data!C69</f>
        <v>1883</v>
      </c>
      <c r="D78" s="2">
        <f t="shared" si="16"/>
        <v>3957.8333333333335</v>
      </c>
      <c r="E78" s="2">
        <f t="shared" si="13"/>
        <v>23437.25</v>
      </c>
      <c r="F78" s="3">
        <f t="shared" si="14"/>
        <v>8.0342190316696718E-2</v>
      </c>
      <c r="G78" s="3">
        <f t="shared" si="25"/>
        <v>0.70501359066224922</v>
      </c>
      <c r="H78" s="22">
        <f t="shared" si="26"/>
        <v>0.756269253937361</v>
      </c>
      <c r="I78" s="6">
        <f t="shared" si="27"/>
        <v>2489.8539643077465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1"/>
      <c r="W78" s="1"/>
    </row>
    <row r="79" spans="1:23" x14ac:dyDescent="0.3">
      <c r="A79" s="30">
        <v>44440</v>
      </c>
      <c r="B79" t="s">
        <v>9</v>
      </c>
      <c r="C79" s="2">
        <f>Data!C70</f>
        <v>1959</v>
      </c>
      <c r="D79" s="2">
        <f t="shared" si="16"/>
        <v>4005.0833333333335</v>
      </c>
      <c r="E79" s="2">
        <f t="shared" si="13"/>
        <v>31468</v>
      </c>
      <c r="F79" s="3">
        <f t="shared" si="14"/>
        <v>6.225371806279395E-2</v>
      </c>
      <c r="G79" s="3">
        <f t="shared" si="25"/>
        <v>0.76259311153409548</v>
      </c>
      <c r="H79" s="22">
        <f t="shared" si="26"/>
        <v>0.81803490195971706</v>
      </c>
      <c r="I79" s="6">
        <f t="shared" si="27"/>
        <v>2394.7633472690973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1"/>
      <c r="W79" s="1"/>
    </row>
    <row r="80" spans="1:23" x14ac:dyDescent="0.3">
      <c r="A80" s="30">
        <v>44470</v>
      </c>
      <c r="B80" t="s">
        <v>10</v>
      </c>
      <c r="C80" s="2">
        <f>Data!C71</f>
        <v>9770</v>
      </c>
      <c r="D80" s="2">
        <f t="shared" si="16"/>
        <v>4666.833333333333</v>
      </c>
      <c r="E80" s="2">
        <f t="shared" si="13"/>
        <v>40688.916666666672</v>
      </c>
      <c r="F80" s="3">
        <f t="shared" si="14"/>
        <v>0.24011452750237061</v>
      </c>
      <c r="G80" s="3">
        <f t="shared" si="25"/>
        <v>0.85409400720418838</v>
      </c>
      <c r="H80" s="22">
        <f t="shared" si="26"/>
        <v>0.91618806527394414</v>
      </c>
      <c r="I80" s="6">
        <f t="shared" si="27"/>
        <v>10663.749474927648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1"/>
      <c r="W80" s="1"/>
    </row>
    <row r="81" spans="1:23" x14ac:dyDescent="0.3">
      <c r="A81" s="30">
        <v>44501</v>
      </c>
      <c r="B81" t="s">
        <v>11</v>
      </c>
      <c r="C81" s="2">
        <f>Data!C72</f>
        <v>35285</v>
      </c>
      <c r="D81" s="2">
        <f t="shared" si="16"/>
        <v>7282.5</v>
      </c>
      <c r="E81" s="2">
        <f t="shared" ref="E81:E117" si="28">AVERAGE(D87:D88)</f>
        <v>49476.416666666672</v>
      </c>
      <c r="F81" s="3">
        <f t="shared" ref="F81:F113" si="29">C81/E81</f>
        <v>0.71316805818260209</v>
      </c>
      <c r="G81" s="3">
        <f t="shared" si="25"/>
        <v>1.0914809710132696</v>
      </c>
      <c r="H81" s="22">
        <f t="shared" si="26"/>
        <v>1.1708334570680377</v>
      </c>
      <c r="I81" s="6">
        <f t="shared" si="27"/>
        <v>30136.651619402412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1"/>
      <c r="W81" s="1"/>
    </row>
    <row r="82" spans="1:23" x14ac:dyDescent="0.3">
      <c r="A82" s="30">
        <v>44531</v>
      </c>
      <c r="B82" t="s">
        <v>12</v>
      </c>
      <c r="C82" s="2">
        <f>Data!C73</f>
        <v>53384</v>
      </c>
      <c r="D82" s="2">
        <f t="shared" si="16"/>
        <v>11075.75</v>
      </c>
      <c r="E82" s="2">
        <f t="shared" si="28"/>
        <v>59782.583333333336</v>
      </c>
      <c r="F82" s="3">
        <f t="shared" si="29"/>
        <v>0.89296910610810554</v>
      </c>
      <c r="G82" s="3">
        <f t="shared" si="25"/>
        <v>1.2975251978283802</v>
      </c>
      <c r="H82" s="22">
        <f t="shared" si="26"/>
        <v>1.3918574426414096</v>
      </c>
      <c r="I82" s="6">
        <f t="shared" si="27"/>
        <v>38354.502669964568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1"/>
      <c r="W82" s="1"/>
    </row>
    <row r="83" spans="1:23" x14ac:dyDescent="0.3">
      <c r="A83" s="30">
        <v>44562</v>
      </c>
      <c r="B83" t="s">
        <v>1</v>
      </c>
      <c r="C83" s="2">
        <f>Data!C74</f>
        <v>65077</v>
      </c>
      <c r="D83" s="2">
        <f t="shared" si="16"/>
        <v>15813.083333333334</v>
      </c>
      <c r="E83" s="2">
        <f t="shared" si="28"/>
        <v>71738.375</v>
      </c>
      <c r="F83" s="3">
        <f t="shared" si="29"/>
        <v>0.90714349188980092</v>
      </c>
      <c r="G83" s="3">
        <f t="shared" ref="G83:G94" si="30">X12</f>
        <v>1.4174493840710238</v>
      </c>
      <c r="H83" s="22">
        <f t="shared" ref="H83:H94" si="31">Y12</f>
        <v>1.5205003171334823</v>
      </c>
      <c r="I83" s="6">
        <f t="shared" si="27"/>
        <v>42799.728001823882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1"/>
      <c r="W83" s="1"/>
    </row>
    <row r="84" spans="1:23" x14ac:dyDescent="0.3">
      <c r="A84" s="30">
        <v>44593</v>
      </c>
      <c r="B84" t="s">
        <v>2</v>
      </c>
      <c r="C84" s="2">
        <f>Data!C75</f>
        <v>54803</v>
      </c>
      <c r="D84" s="2">
        <f t="shared" si="16"/>
        <v>20076</v>
      </c>
      <c r="E84" s="2">
        <f t="shared" si="28"/>
        <v>83687.458333333328</v>
      </c>
      <c r="F84" s="3">
        <f t="shared" si="29"/>
        <v>0.65485320132098646</v>
      </c>
      <c r="G84" s="3">
        <f t="shared" si="30"/>
        <v>1.0589956514401806</v>
      </c>
      <c r="H84" s="22">
        <f t="shared" si="31"/>
        <v>1.1359864006100491</v>
      </c>
      <c r="I84" s="6">
        <f t="shared" si="27"/>
        <v>48242.654991793577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1"/>
      <c r="W84" s="1"/>
    </row>
    <row r="85" spans="1:23" x14ac:dyDescent="0.3">
      <c r="A85" s="30">
        <v>44621</v>
      </c>
      <c r="B85" t="s">
        <v>3</v>
      </c>
      <c r="C85" s="2">
        <f>Data!C76</f>
        <v>86454</v>
      </c>
      <c r="D85" s="2">
        <f t="shared" si="16"/>
        <v>26798.5</v>
      </c>
      <c r="E85" s="2">
        <f t="shared" si="28"/>
        <v>96222.583333333328</v>
      </c>
      <c r="F85" s="3">
        <f t="shared" si="29"/>
        <v>0.89847930709266977</v>
      </c>
      <c r="G85" s="3">
        <f t="shared" si="30"/>
        <v>1.0647605845260162</v>
      </c>
      <c r="H85" s="22">
        <f t="shared" si="31"/>
        <v>1.1421704539411746</v>
      </c>
      <c r="I85" s="6">
        <f t="shared" si="27"/>
        <v>75692.730188985137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1"/>
      <c r="W85" s="1"/>
    </row>
    <row r="86" spans="1:23" x14ac:dyDescent="0.3">
      <c r="A86" s="30">
        <v>44652</v>
      </c>
      <c r="B86" t="s">
        <v>4</v>
      </c>
      <c r="C86" s="2">
        <f>Data!C77</f>
        <v>117027</v>
      </c>
      <c r="D86" s="2">
        <f t="shared" si="16"/>
        <v>36137.5</v>
      </c>
      <c r="E86" s="2">
        <f t="shared" si="28"/>
        <v>109394</v>
      </c>
      <c r="F86" s="3">
        <f t="shared" si="29"/>
        <v>1.0697753076037078</v>
      </c>
      <c r="G86" s="3">
        <f t="shared" si="30"/>
        <v>0.83075218768571957</v>
      </c>
      <c r="H86" s="22">
        <f t="shared" si="31"/>
        <v>0.89114925656645383</v>
      </c>
      <c r="I86" s="6">
        <f t="shared" si="27"/>
        <v>131321.4359297097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1"/>
      <c r="W86" s="1"/>
    </row>
    <row r="87" spans="1:23" x14ac:dyDescent="0.3">
      <c r="A87" s="30">
        <v>44682</v>
      </c>
      <c r="B87" t="s">
        <v>5</v>
      </c>
      <c r="C87" s="2">
        <f>Data!C78</f>
        <v>112595</v>
      </c>
      <c r="D87" s="2">
        <f t="shared" ref="D87:D123" si="32">AVERAGE(C76:C87)</f>
        <v>45240.333333333336</v>
      </c>
      <c r="E87" s="2">
        <f t="shared" si="28"/>
        <v>121519.70833333334</v>
      </c>
      <c r="F87" s="3">
        <f t="shared" si="29"/>
        <v>0.926557523419555</v>
      </c>
      <c r="G87" s="3">
        <f t="shared" si="30"/>
        <v>0.67789961505817886</v>
      </c>
      <c r="H87" s="22">
        <f t="shared" si="31"/>
        <v>0.72718404710878848</v>
      </c>
      <c r="I87" s="6">
        <f t="shared" si="27"/>
        <v>154837.00508511777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1"/>
      <c r="W87" s="1"/>
    </row>
    <row r="88" spans="1:23" x14ac:dyDescent="0.3">
      <c r="A88" s="30">
        <v>44713</v>
      </c>
      <c r="B88" t="s">
        <v>6</v>
      </c>
      <c r="C88" s="2">
        <f>Data!C79</f>
        <v>104309</v>
      </c>
      <c r="D88" s="2">
        <f t="shared" si="32"/>
        <v>53712.5</v>
      </c>
      <c r="E88" s="2">
        <f t="shared" si="28"/>
        <v>134202.33333333331</v>
      </c>
      <c r="F88" s="3">
        <f t="shared" si="29"/>
        <v>0.77725176164348864</v>
      </c>
      <c r="G88" s="3">
        <f t="shared" si="30"/>
        <v>0.62814845418723186</v>
      </c>
      <c r="H88" s="22">
        <f t="shared" si="31"/>
        <v>0.67381589390901009</v>
      </c>
      <c r="I88" s="6">
        <f t="shared" si="27"/>
        <v>154803.41283562177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1"/>
      <c r="W88" s="1"/>
    </row>
    <row r="89" spans="1:23" x14ac:dyDescent="0.3">
      <c r="A89" s="30">
        <v>44743</v>
      </c>
      <c r="B89" t="s">
        <v>7</v>
      </c>
      <c r="C89" s="2">
        <f>Data!C80</f>
        <v>147686</v>
      </c>
      <c r="D89" s="2">
        <f t="shared" si="32"/>
        <v>65852.666666666672</v>
      </c>
      <c r="E89" s="2">
        <f t="shared" si="28"/>
        <v>147756.08333333331</v>
      </c>
      <c r="F89" s="3">
        <f t="shared" si="29"/>
        <v>0.99952568224771354</v>
      </c>
      <c r="G89" s="3">
        <f t="shared" si="30"/>
        <v>0.79799494697474493</v>
      </c>
      <c r="H89" s="22">
        <f t="shared" si="31"/>
        <v>0.85601050985057181</v>
      </c>
      <c r="I89" s="6">
        <f t="shared" si="27"/>
        <v>172528.25555352186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1"/>
      <c r="W89" s="1"/>
    </row>
    <row r="90" spans="1:23" x14ac:dyDescent="0.3">
      <c r="A90" s="30">
        <v>44774</v>
      </c>
      <c r="B90" t="s">
        <v>8</v>
      </c>
      <c r="C90" s="2">
        <f>Data!C81</f>
        <v>143140</v>
      </c>
      <c r="D90" s="2">
        <f t="shared" si="32"/>
        <v>77624.083333333328</v>
      </c>
      <c r="E90" s="2">
        <f t="shared" si="28"/>
        <v>159667.91666666669</v>
      </c>
      <c r="F90" s="3">
        <f t="shared" si="29"/>
        <v>0.89648567469461349</v>
      </c>
      <c r="G90" s="3">
        <f t="shared" si="30"/>
        <v>0.70501359066224922</v>
      </c>
      <c r="H90" s="22">
        <f t="shared" si="31"/>
        <v>0.756269253937361</v>
      </c>
      <c r="I90" s="6">
        <f t="shared" si="27"/>
        <v>189271.21425969774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1"/>
      <c r="W90" s="1"/>
    </row>
    <row r="91" spans="1:23" x14ac:dyDescent="0.3">
      <c r="A91" s="30">
        <v>44805</v>
      </c>
      <c r="B91" t="s">
        <v>9</v>
      </c>
      <c r="C91" s="2">
        <f>Data!C82</f>
        <v>147480</v>
      </c>
      <c r="D91" s="2">
        <f t="shared" si="32"/>
        <v>89750.833333333328</v>
      </c>
      <c r="E91" s="2">
        <f t="shared" si="28"/>
        <v>169682.54166666669</v>
      </c>
      <c r="F91" s="3">
        <f t="shared" si="29"/>
        <v>0.86915246878914321</v>
      </c>
      <c r="G91" s="3">
        <f t="shared" si="30"/>
        <v>0.76259311153409548</v>
      </c>
      <c r="H91" s="22">
        <f t="shared" si="31"/>
        <v>0.81803490195971706</v>
      </c>
      <c r="I91" s="6">
        <f t="shared" si="27"/>
        <v>180285.70620482211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1"/>
      <c r="W91" s="1"/>
    </row>
    <row r="92" spans="1:23" x14ac:dyDescent="0.3">
      <c r="A92" s="30">
        <v>44835</v>
      </c>
      <c r="B92" t="s">
        <v>10</v>
      </c>
      <c r="C92" s="2">
        <f>Data!C83</f>
        <v>165092</v>
      </c>
      <c r="D92" s="2">
        <f t="shared" si="32"/>
        <v>102694.33333333333</v>
      </c>
      <c r="E92" s="2">
        <f t="shared" si="28"/>
        <v>177569.70833333331</v>
      </c>
      <c r="F92" s="3">
        <f t="shared" si="29"/>
        <v>0.92973064803423455</v>
      </c>
      <c r="G92" s="3">
        <f t="shared" si="30"/>
        <v>0.85409400720418838</v>
      </c>
      <c r="H92" s="22">
        <f t="shared" si="31"/>
        <v>0.91618806527394414</v>
      </c>
      <c r="I92" s="6">
        <f t="shared" si="27"/>
        <v>180194.44506804046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1"/>
      <c r="W92" s="1"/>
    </row>
    <row r="93" spans="1:23" x14ac:dyDescent="0.3">
      <c r="A93" s="30">
        <v>44866</v>
      </c>
      <c r="B93" t="s">
        <v>11</v>
      </c>
      <c r="C93" s="2">
        <f>Data!C84</f>
        <v>196077</v>
      </c>
      <c r="D93" s="2">
        <f t="shared" si="32"/>
        <v>116093.66666666667</v>
      </c>
      <c r="E93" s="2">
        <f t="shared" si="28"/>
        <v>185020.16666666666</v>
      </c>
      <c r="F93" s="3">
        <f t="shared" si="29"/>
        <v>1.0597601522716893</v>
      </c>
      <c r="G93" s="3">
        <f t="shared" si="30"/>
        <v>1.0914809710132696</v>
      </c>
      <c r="H93" s="22">
        <f t="shared" si="31"/>
        <v>1.1708334570680377</v>
      </c>
      <c r="I93" s="6">
        <f t="shared" si="27"/>
        <v>167467.88265771762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1"/>
      <c r="W93" s="1"/>
    </row>
    <row r="94" spans="1:23" x14ac:dyDescent="0.3">
      <c r="A94" s="30">
        <v>44896</v>
      </c>
      <c r="B94" t="s">
        <v>12</v>
      </c>
      <c r="C94" s="2">
        <f>Data!C85</f>
        <v>183609</v>
      </c>
      <c r="D94" s="2">
        <f t="shared" si="32"/>
        <v>126945.75</v>
      </c>
      <c r="E94" s="2">
        <f t="shared" si="28"/>
        <v>193811.625</v>
      </c>
      <c r="F94" s="3">
        <f t="shared" si="29"/>
        <v>0.94735803386406781</v>
      </c>
      <c r="G94" s="3">
        <f t="shared" si="30"/>
        <v>1.2975251978283802</v>
      </c>
      <c r="H94" s="22">
        <f t="shared" si="31"/>
        <v>1.3918574426414096</v>
      </c>
      <c r="I94" s="6">
        <f t="shared" si="27"/>
        <v>131916.52706296876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1"/>
      <c r="W94" s="1"/>
    </row>
    <row r="95" spans="1:23" x14ac:dyDescent="0.3">
      <c r="A95" s="30">
        <v>44927</v>
      </c>
      <c r="B95" t="s">
        <v>1</v>
      </c>
      <c r="C95" s="2">
        <f>Data!C86</f>
        <v>239235</v>
      </c>
      <c r="D95" s="2">
        <f t="shared" si="32"/>
        <v>141458.91666666666</v>
      </c>
      <c r="E95" s="2">
        <f t="shared" si="28"/>
        <v>202547.66666666669</v>
      </c>
      <c r="F95" s="3">
        <f t="shared" si="29"/>
        <v>1.1811293802446501</v>
      </c>
      <c r="G95" s="3">
        <f t="shared" ref="G95:G106" si="33">X12</f>
        <v>1.4174493840710238</v>
      </c>
      <c r="H95" s="22">
        <f t="shared" ref="H95:H106" si="34">Y12</f>
        <v>1.5205003171334823</v>
      </c>
      <c r="I95" s="6">
        <f t="shared" si="27"/>
        <v>157339.65807453229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1"/>
      <c r="W95" s="1"/>
    </row>
    <row r="96" spans="1:23" x14ac:dyDescent="0.3">
      <c r="A96" s="30">
        <v>44958</v>
      </c>
      <c r="B96" t="s">
        <v>2</v>
      </c>
      <c r="C96" s="2">
        <f>Data!C87</f>
        <v>205935</v>
      </c>
      <c r="D96" s="2">
        <f t="shared" si="32"/>
        <v>154053.25</v>
      </c>
      <c r="E96" s="2">
        <f t="shared" si="28"/>
        <v>210282.83333333331</v>
      </c>
      <c r="F96" s="3">
        <f t="shared" si="29"/>
        <v>0.97932387887107608</v>
      </c>
      <c r="G96" s="3">
        <f t="shared" si="33"/>
        <v>1.0589956514401806</v>
      </c>
      <c r="H96" s="22">
        <f t="shared" si="34"/>
        <v>1.1359864006100491</v>
      </c>
      <c r="I96" s="6">
        <f t="shared" si="27"/>
        <v>181282.98005100104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1"/>
      <c r="W96" s="1"/>
    </row>
    <row r="97" spans="1:23" x14ac:dyDescent="0.3">
      <c r="A97" s="30">
        <v>44986</v>
      </c>
      <c r="B97" t="s">
        <v>3</v>
      </c>
      <c r="C97" s="2">
        <f>Data!C88</f>
        <v>221206</v>
      </c>
      <c r="D97" s="2">
        <f t="shared" si="32"/>
        <v>165282.58333333334</v>
      </c>
      <c r="E97" s="2">
        <f t="shared" si="28"/>
        <v>218149.79166666666</v>
      </c>
      <c r="F97" s="3">
        <f t="shared" si="29"/>
        <v>1.0140096779831138</v>
      </c>
      <c r="G97" s="3">
        <f t="shared" si="33"/>
        <v>1.0647605845260162</v>
      </c>
      <c r="H97" s="22">
        <f t="shared" si="34"/>
        <v>1.1421704539411746</v>
      </c>
      <c r="I97" s="6">
        <f t="shared" si="27"/>
        <v>193671.61813432167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1"/>
      <c r="W97" s="1"/>
    </row>
    <row r="98" spans="1:23" x14ac:dyDescent="0.3">
      <c r="A98" s="30">
        <v>45017</v>
      </c>
      <c r="B98" t="s">
        <v>4</v>
      </c>
      <c r="C98" s="2">
        <f>Data!C89</f>
        <v>222626</v>
      </c>
      <c r="D98" s="2">
        <f t="shared" si="32"/>
        <v>174082.5</v>
      </c>
      <c r="E98" s="2">
        <f t="shared" si="28"/>
        <v>226992.125</v>
      </c>
      <c r="F98" s="3">
        <f t="shared" si="29"/>
        <v>0.98076530187996613</v>
      </c>
      <c r="G98" s="3">
        <f t="shared" si="33"/>
        <v>0.83075218768571957</v>
      </c>
      <c r="H98" s="22">
        <f t="shared" si="34"/>
        <v>0.89114925656645383</v>
      </c>
      <c r="I98" s="6">
        <f t="shared" si="27"/>
        <v>249818.9819040696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1"/>
      <c r="W98" s="1"/>
    </row>
    <row r="99" spans="1:23" x14ac:dyDescent="0.3">
      <c r="A99" s="30">
        <v>45047</v>
      </c>
      <c r="B99" t="s">
        <v>5</v>
      </c>
      <c r="C99" s="2">
        <f>Data!C90</f>
        <v>196288</v>
      </c>
      <c r="D99" s="2">
        <f t="shared" si="32"/>
        <v>181056.91666666666</v>
      </c>
      <c r="E99" s="2">
        <f t="shared" si="28"/>
        <v>235590.75</v>
      </c>
      <c r="F99" s="3">
        <f t="shared" si="29"/>
        <v>0.83317362842131959</v>
      </c>
      <c r="G99" s="3">
        <f t="shared" si="33"/>
        <v>0.67789961505817886</v>
      </c>
      <c r="H99" s="22">
        <f t="shared" si="34"/>
        <v>0.72718404710878848</v>
      </c>
      <c r="I99" s="6">
        <f t="shared" si="27"/>
        <v>269928.91384295572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1"/>
      <c r="W99" s="1"/>
    </row>
    <row r="100" spans="1:23" x14ac:dyDescent="0.3">
      <c r="A100" s="30">
        <v>45078</v>
      </c>
      <c r="B100" t="s">
        <v>6</v>
      </c>
      <c r="C100" s="2">
        <f>Data!C91</f>
        <v>199427</v>
      </c>
      <c r="D100" s="2">
        <f t="shared" si="32"/>
        <v>188983.41666666666</v>
      </c>
      <c r="E100" s="2">
        <f t="shared" si="28"/>
        <v>243061.33333333331</v>
      </c>
      <c r="F100" s="3">
        <f t="shared" si="29"/>
        <v>0.82048015315750211</v>
      </c>
      <c r="G100" s="3">
        <f t="shared" si="33"/>
        <v>0.62814845418723186</v>
      </c>
      <c r="H100" s="22">
        <f t="shared" si="34"/>
        <v>0.67381589390901009</v>
      </c>
      <c r="I100" s="6">
        <f t="shared" si="27"/>
        <v>295966.60126709624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1"/>
      <c r="W100" s="1"/>
    </row>
    <row r="101" spans="1:23" x14ac:dyDescent="0.3">
      <c r="A101" s="30">
        <v>45108</v>
      </c>
      <c r="B101" t="s">
        <v>7</v>
      </c>
      <c r="C101" s="2">
        <f>Data!C92</f>
        <v>263563</v>
      </c>
      <c r="D101" s="2">
        <f t="shared" si="32"/>
        <v>198639.83333333334</v>
      </c>
      <c r="E101" s="2">
        <f t="shared" si="28"/>
        <v>248850.66666666669</v>
      </c>
      <c r="F101" s="3">
        <f t="shared" si="29"/>
        <v>1.0591211328882648</v>
      </c>
      <c r="G101" s="3">
        <f t="shared" si="33"/>
        <v>0.79799494697474493</v>
      </c>
      <c r="H101" s="22">
        <f t="shared" si="34"/>
        <v>0.85601050985057181</v>
      </c>
      <c r="I101" s="6">
        <f t="shared" si="27"/>
        <v>307896.92061842617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1"/>
      <c r="W101" s="1"/>
    </row>
    <row r="102" spans="1:23" x14ac:dyDescent="0.3">
      <c r="A102" s="30">
        <v>45139</v>
      </c>
      <c r="B102" t="s">
        <v>8</v>
      </c>
      <c r="C102" s="2">
        <f>Data!C93</f>
        <v>236928</v>
      </c>
      <c r="D102" s="2">
        <f t="shared" si="32"/>
        <v>206455.5</v>
      </c>
      <c r="E102" s="2">
        <f t="shared" si="28"/>
        <v>253347</v>
      </c>
      <c r="F102" s="3">
        <f t="shared" si="29"/>
        <v>0.93519165413444805</v>
      </c>
      <c r="G102" s="3">
        <f t="shared" si="33"/>
        <v>0.70501359066224922</v>
      </c>
      <c r="H102" s="22">
        <f t="shared" si="34"/>
        <v>0.756269253937361</v>
      </c>
      <c r="I102" s="6">
        <f t="shared" si="27"/>
        <v>313285.24697583949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1"/>
      <c r="W102" s="1"/>
    </row>
    <row r="103" spans="1:23" x14ac:dyDescent="0.3">
      <c r="A103" s="30">
        <v>45170</v>
      </c>
      <c r="B103" t="s">
        <v>9</v>
      </c>
      <c r="C103" s="2">
        <f>Data!C94</f>
        <v>239336</v>
      </c>
      <c r="D103" s="2">
        <f t="shared" si="32"/>
        <v>214110.16666666666</v>
      </c>
      <c r="E103" s="2">
        <f t="shared" si="28"/>
        <v>255803</v>
      </c>
      <c r="F103" s="3">
        <f t="shared" si="29"/>
        <v>0.93562624363279556</v>
      </c>
      <c r="G103" s="3">
        <f t="shared" si="33"/>
        <v>0.76259311153409548</v>
      </c>
      <c r="H103" s="22">
        <f t="shared" si="34"/>
        <v>0.81803490195971706</v>
      </c>
      <c r="I103" s="6">
        <f t="shared" si="27"/>
        <v>292574.31367125915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1"/>
      <c r="W103" s="1"/>
    </row>
    <row r="104" spans="1:23" x14ac:dyDescent="0.3">
      <c r="A104" s="30">
        <v>45200</v>
      </c>
      <c r="B104" t="s">
        <v>10</v>
      </c>
      <c r="C104" s="2">
        <f>Data!C95</f>
        <v>262043</v>
      </c>
      <c r="D104" s="2">
        <f>AVERAGE(C93:C104)</f>
        <v>222189.41666666666</v>
      </c>
      <c r="E104" s="2">
        <f t="shared" si="28"/>
        <v>255315.45833333334</v>
      </c>
      <c r="F104" s="3">
        <f t="shared" si="29"/>
        <v>1.026349919078865</v>
      </c>
      <c r="G104" s="3">
        <f t="shared" si="33"/>
        <v>0.85409400720418838</v>
      </c>
      <c r="H104" s="22">
        <f t="shared" si="34"/>
        <v>0.91618806527394414</v>
      </c>
      <c r="I104" s="6">
        <f t="shared" si="27"/>
        <v>286014.42207353795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1"/>
      <c r="W104" s="1"/>
    </row>
    <row r="105" spans="1:23" x14ac:dyDescent="0.3">
      <c r="A105" s="30">
        <v>45231</v>
      </c>
      <c r="B105" t="s">
        <v>11</v>
      </c>
      <c r="C105" s="2">
        <f>Data!C96</f>
        <v>311342</v>
      </c>
      <c r="D105" s="2">
        <f t="shared" si="32"/>
        <v>231794.83333333334</v>
      </c>
      <c r="E105" s="2">
        <f t="shared" si="28"/>
        <v>253521.08333333334</v>
      </c>
      <c r="F105" s="3">
        <f t="shared" si="29"/>
        <v>1.2280714325863102</v>
      </c>
      <c r="G105" s="3">
        <f t="shared" si="33"/>
        <v>1.0914809710132696</v>
      </c>
      <c r="H105" s="22">
        <f t="shared" si="34"/>
        <v>1.1708334570680377</v>
      </c>
      <c r="I105" s="6">
        <f t="shared" si="27"/>
        <v>265914.84734272311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1"/>
      <c r="W105" s="1"/>
    </row>
    <row r="106" spans="1:23" x14ac:dyDescent="0.3">
      <c r="A106" s="30">
        <v>45261</v>
      </c>
      <c r="B106" t="s">
        <v>12</v>
      </c>
      <c r="C106" s="2">
        <f>Data!C97</f>
        <v>274711</v>
      </c>
      <c r="D106" s="2">
        <f t="shared" si="32"/>
        <v>239386.66666666666</v>
      </c>
      <c r="E106" s="2">
        <f t="shared" si="28"/>
        <v>251019.5</v>
      </c>
      <c r="F106" s="3">
        <f t="shared" si="29"/>
        <v>1.0943811138178507</v>
      </c>
      <c r="G106" s="3">
        <f t="shared" si="33"/>
        <v>1.2975251978283802</v>
      </c>
      <c r="H106" s="22">
        <f t="shared" si="34"/>
        <v>1.3918574426414096</v>
      </c>
      <c r="I106" s="6">
        <f t="shared" si="27"/>
        <v>197370.0693647654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1"/>
      <c r="W106" s="1"/>
    </row>
    <row r="107" spans="1:23" x14ac:dyDescent="0.3">
      <c r="A107" s="30">
        <v>45292</v>
      </c>
      <c r="B107" t="s">
        <v>1</v>
      </c>
      <c r="C107" s="2">
        <f>Data!C98</f>
        <v>327427</v>
      </c>
      <c r="D107" s="2">
        <f t="shared" si="32"/>
        <v>246736</v>
      </c>
      <c r="E107" s="2">
        <f t="shared" si="28"/>
        <v>250333.25378787878</v>
      </c>
      <c r="F107" s="3">
        <f t="shared" si="29"/>
        <v>1.3079644635524412</v>
      </c>
      <c r="G107" s="3">
        <f t="shared" ref="G107:G118" si="35">X12</f>
        <v>1.4174493840710238</v>
      </c>
      <c r="H107" s="22">
        <f t="shared" ref="H107:H118" si="36">Y12</f>
        <v>1.5205003171334823</v>
      </c>
      <c r="I107" s="6">
        <f t="shared" si="27"/>
        <v>215341.61901214236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1"/>
      <c r="W107" s="1"/>
    </row>
    <row r="108" spans="1:23" x14ac:dyDescent="0.3">
      <c r="A108" s="30">
        <v>45323</v>
      </c>
      <c r="B108" t="s">
        <v>2</v>
      </c>
      <c r="C108" s="2">
        <f>Data!C99</f>
        <v>256687</v>
      </c>
      <c r="D108" s="2">
        <f t="shared" si="32"/>
        <v>250965.33333333334</v>
      </c>
      <c r="E108" s="2">
        <f t="shared" si="28"/>
        <v>251495.09545454546</v>
      </c>
      <c r="F108" s="3">
        <f t="shared" si="29"/>
        <v>1.0206441582332682</v>
      </c>
      <c r="G108" s="3">
        <f t="shared" si="35"/>
        <v>1.0589956514401806</v>
      </c>
      <c r="H108" s="22">
        <f t="shared" si="36"/>
        <v>1.1359864006100491</v>
      </c>
      <c r="I108" s="6">
        <f t="shared" si="27"/>
        <v>225959.57122563577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1"/>
      <c r="W108" s="1"/>
    </row>
    <row r="109" spans="1:23" x14ac:dyDescent="0.3">
      <c r="A109" s="30">
        <v>45352</v>
      </c>
      <c r="B109" t="s">
        <v>3</v>
      </c>
      <c r="C109" s="2">
        <f>Data!C100</f>
        <v>278366</v>
      </c>
      <c r="D109" s="2">
        <f t="shared" si="32"/>
        <v>255728.66666666666</v>
      </c>
      <c r="E109" s="2">
        <f t="shared" si="28"/>
        <v>251520.27222222224</v>
      </c>
      <c r="F109" s="3">
        <f t="shared" si="29"/>
        <v>1.1067338530631803</v>
      </c>
      <c r="G109" s="3">
        <f t="shared" si="35"/>
        <v>1.0647605845260162</v>
      </c>
      <c r="H109" s="22">
        <f t="shared" si="36"/>
        <v>1.1421704539411746</v>
      </c>
      <c r="I109" s="6">
        <f t="shared" si="27"/>
        <v>243716.687854663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1"/>
      <c r="W109" s="1"/>
    </row>
    <row r="110" spans="1:23" x14ac:dyDescent="0.3">
      <c r="A110" s="30">
        <v>45383</v>
      </c>
      <c r="B110" t="s">
        <v>8</v>
      </c>
      <c r="C110" s="2">
        <f>Data!C101</f>
        <v>224410</v>
      </c>
      <c r="D110" s="2">
        <f t="shared" si="32"/>
        <v>255877.33333333334</v>
      </c>
      <c r="E110" s="2">
        <f t="shared" si="28"/>
        <v>247192.97222222222</v>
      </c>
      <c r="F110" s="3">
        <f t="shared" si="29"/>
        <v>0.9078332526309012</v>
      </c>
      <c r="G110" s="3">
        <f t="shared" si="35"/>
        <v>0.83075218768571957</v>
      </c>
      <c r="H110" s="22">
        <f t="shared" si="36"/>
        <v>0.89114925656645383</v>
      </c>
      <c r="I110" s="6">
        <f t="shared" si="27"/>
        <v>251820.89122156557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1"/>
      <c r="W110" s="1"/>
    </row>
    <row r="111" spans="1:23" x14ac:dyDescent="0.3">
      <c r="A111" s="30">
        <v>45413</v>
      </c>
      <c r="B111" t="s">
        <v>9</v>
      </c>
      <c r="C111" s="2">
        <f>Data!C102</f>
        <v>182803</v>
      </c>
      <c r="D111" s="2">
        <f t="shared" si="32"/>
        <v>254753.58333333334</v>
      </c>
      <c r="E111" s="2">
        <f t="shared" si="28"/>
        <v>241184.39285714284</v>
      </c>
      <c r="F111" s="3">
        <f t="shared" si="29"/>
        <v>0.75793876143667793</v>
      </c>
      <c r="G111" s="3">
        <f t="shared" si="35"/>
        <v>0.67789961505817886</v>
      </c>
      <c r="H111" s="22">
        <f t="shared" si="36"/>
        <v>0.72718404710878848</v>
      </c>
      <c r="I111" s="6">
        <f t="shared" si="27"/>
        <v>251384.77765953002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1"/>
      <c r="W111" s="1"/>
    </row>
    <row r="112" spans="1:23" x14ac:dyDescent="0.3">
      <c r="A112" s="30">
        <v>45444</v>
      </c>
      <c r="B112" t="s">
        <v>10</v>
      </c>
      <c r="C112" s="2">
        <f>Data!C103</f>
        <v>169847</v>
      </c>
      <c r="D112" s="2">
        <f t="shared" si="32"/>
        <v>252288.58333333334</v>
      </c>
      <c r="E112" s="2">
        <f t="shared" si="28"/>
        <v>231576.14285714284</v>
      </c>
      <c r="F112" s="3">
        <f t="shared" si="29"/>
        <v>0.73343910950609892</v>
      </c>
      <c r="G112" s="3">
        <f t="shared" si="35"/>
        <v>0.62814845418723186</v>
      </c>
      <c r="H112" s="22">
        <f t="shared" si="36"/>
        <v>0.67381589390901009</v>
      </c>
      <c r="I112" s="6">
        <f t="shared" si="27"/>
        <v>252067.36964108417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1"/>
      <c r="W112" s="1"/>
    </row>
    <row r="113" spans="1:23" x14ac:dyDescent="0.3">
      <c r="A113" s="30">
        <v>45474</v>
      </c>
      <c r="B113" t="s">
        <v>11</v>
      </c>
      <c r="C113" s="2">
        <f>Data!C104</f>
        <v>233105</v>
      </c>
      <c r="D113" s="2">
        <f t="shared" si="32"/>
        <v>249750.41666666666</v>
      </c>
      <c r="E113" s="2">
        <f t="shared" si="28"/>
        <v>220954.6</v>
      </c>
      <c r="F113" s="3">
        <f t="shared" si="29"/>
        <v>1.054990482207657</v>
      </c>
      <c r="G113" s="3">
        <f t="shared" si="35"/>
        <v>0.79799494697474493</v>
      </c>
      <c r="H113" s="22">
        <f t="shared" si="36"/>
        <v>0.85601050985057181</v>
      </c>
      <c r="I113" s="6">
        <f t="shared" si="27"/>
        <v>272315.58178028866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1"/>
      <c r="W113" s="1"/>
    </row>
    <row r="114" spans="1:23" x14ac:dyDescent="0.3">
      <c r="A114" s="30">
        <v>45505</v>
      </c>
      <c r="B114" t="s">
        <v>12</v>
      </c>
      <c r="C114" s="2"/>
      <c r="D114" s="2">
        <f t="shared" si="32"/>
        <v>250916.09090909091</v>
      </c>
      <c r="E114" s="2">
        <f t="shared" si="28"/>
        <v>210123.72500000001</v>
      </c>
      <c r="F114" s="3"/>
      <c r="G114" s="3">
        <f t="shared" si="35"/>
        <v>0.70501359066224922</v>
      </c>
      <c r="H114" s="22">
        <f t="shared" si="36"/>
        <v>0.756269253937361</v>
      </c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1"/>
      <c r="W114" s="1"/>
    </row>
    <row r="115" spans="1:23" x14ac:dyDescent="0.3">
      <c r="A115" s="30">
        <v>45536</v>
      </c>
      <c r="B115" t="s">
        <v>1</v>
      </c>
      <c r="C115" s="2"/>
      <c r="D115" s="2">
        <f t="shared" si="32"/>
        <v>252074.1</v>
      </c>
      <c r="E115" s="2">
        <f t="shared" si="28"/>
        <v>198896.45833333331</v>
      </c>
      <c r="F115" s="3"/>
      <c r="G115" s="3">
        <f t="shared" si="35"/>
        <v>0.76259311153409548</v>
      </c>
      <c r="H115" s="22">
        <f t="shared" si="36"/>
        <v>0.81803490195971706</v>
      </c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1"/>
      <c r="W115" s="1"/>
    </row>
    <row r="116" spans="1:23" x14ac:dyDescent="0.3">
      <c r="A116" s="30">
        <v>45566</v>
      </c>
      <c r="B116" t="s">
        <v>2</v>
      </c>
      <c r="C116" s="2"/>
      <c r="D116" s="2">
        <f t="shared" si="32"/>
        <v>250966.44444444444</v>
      </c>
      <c r="E116" s="2">
        <f t="shared" si="28"/>
        <v>198363.83333333331</v>
      </c>
      <c r="F116" s="3"/>
      <c r="G116" s="3">
        <f t="shared" si="35"/>
        <v>0.85409400720418838</v>
      </c>
      <c r="H116" s="22">
        <f t="shared" si="36"/>
        <v>0.91618806527394414</v>
      </c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1"/>
      <c r="W116" s="1"/>
    </row>
    <row r="117" spans="1:23" x14ac:dyDescent="0.3">
      <c r="A117" s="30">
        <v>45597</v>
      </c>
      <c r="B117" t="s">
        <v>3</v>
      </c>
      <c r="C117" s="2"/>
      <c r="D117" s="2">
        <f t="shared" si="32"/>
        <v>243419.5</v>
      </c>
      <c r="E117" s="2">
        <f t="shared" si="28"/>
        <v>217290.5</v>
      </c>
      <c r="F117" s="3"/>
      <c r="G117" s="3">
        <f t="shared" si="35"/>
        <v>1.0914809710132696</v>
      </c>
      <c r="H117" s="22">
        <f t="shared" si="36"/>
        <v>1.1708334570680377</v>
      </c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1"/>
      <c r="W117" s="1"/>
    </row>
    <row r="118" spans="1:23" x14ac:dyDescent="0.3">
      <c r="A118" s="30">
        <v>45627</v>
      </c>
      <c r="B118" t="s">
        <v>8</v>
      </c>
      <c r="C118" s="2"/>
      <c r="D118" s="2">
        <f t="shared" si="32"/>
        <v>238949.28571428571</v>
      </c>
      <c r="E118" s="2"/>
      <c r="F118" s="3"/>
      <c r="G118" s="3">
        <f t="shared" si="35"/>
        <v>1.2975251978283802</v>
      </c>
      <c r="H118" s="22">
        <f t="shared" si="36"/>
        <v>1.3918574426414096</v>
      </c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1"/>
      <c r="W118" s="1"/>
    </row>
    <row r="119" spans="1:23" x14ac:dyDescent="0.3">
      <c r="A119" s="30">
        <v>45658</v>
      </c>
      <c r="B119" t="s">
        <v>9</v>
      </c>
      <c r="C119" s="2"/>
      <c r="D119" s="2">
        <f t="shared" si="32"/>
        <v>224203</v>
      </c>
      <c r="E119" s="2"/>
      <c r="F119" s="3"/>
      <c r="G119" s="3">
        <f t="shared" ref="G119:G130" si="37">X12</f>
        <v>1.4174493840710238</v>
      </c>
      <c r="H119" s="22">
        <f t="shared" ref="H119:H130" si="38">Y12</f>
        <v>1.5205003171334823</v>
      </c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1"/>
      <c r="W119" s="1"/>
    </row>
    <row r="120" spans="1:23" x14ac:dyDescent="0.3">
      <c r="A120" s="30">
        <v>45689</v>
      </c>
      <c r="B120" t="s">
        <v>10</v>
      </c>
      <c r="C120" s="2"/>
      <c r="D120" s="2">
        <f t="shared" si="32"/>
        <v>217706.2</v>
      </c>
      <c r="E120" s="2"/>
      <c r="F120" s="3"/>
      <c r="G120" s="3">
        <f t="shared" si="37"/>
        <v>1.0589956514401806</v>
      </c>
      <c r="H120" s="22">
        <f t="shared" si="38"/>
        <v>1.1359864006100491</v>
      </c>
      <c r="I120" s="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1"/>
      <c r="W120" s="1"/>
    </row>
    <row r="121" spans="1:23" x14ac:dyDescent="0.3">
      <c r="A121" s="30">
        <v>45717</v>
      </c>
      <c r="B121" t="s">
        <v>11</v>
      </c>
      <c r="C121" s="2"/>
      <c r="D121" s="2">
        <f t="shared" si="32"/>
        <v>202541.25</v>
      </c>
      <c r="E121" s="2"/>
      <c r="F121" s="3"/>
      <c r="G121" s="3">
        <f t="shared" si="37"/>
        <v>1.0647605845260162</v>
      </c>
      <c r="H121" s="22">
        <f t="shared" si="38"/>
        <v>1.1421704539411746</v>
      </c>
      <c r="I121" s="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1"/>
      <c r="W121" s="1"/>
    </row>
    <row r="122" spans="1:23" x14ac:dyDescent="0.3">
      <c r="A122" s="30">
        <v>45748</v>
      </c>
      <c r="B122" t="s">
        <v>12</v>
      </c>
      <c r="C122" s="2"/>
      <c r="D122" s="2">
        <f t="shared" si="32"/>
        <v>195251.66666666666</v>
      </c>
      <c r="E122" s="2"/>
      <c r="F122" s="3"/>
      <c r="G122" s="3">
        <f t="shared" si="37"/>
        <v>0.83075218768571957</v>
      </c>
      <c r="H122" s="22">
        <f t="shared" si="38"/>
        <v>0.89114925656645383</v>
      </c>
      <c r="I122" s="6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1"/>
      <c r="W122" s="1"/>
    </row>
    <row r="123" spans="1:23" x14ac:dyDescent="0.3">
      <c r="A123" s="30">
        <v>45778</v>
      </c>
      <c r="B123" t="s">
        <v>1</v>
      </c>
      <c r="C123" s="2"/>
      <c r="D123" s="2">
        <f t="shared" si="32"/>
        <v>201476</v>
      </c>
      <c r="E123" s="2"/>
      <c r="F123" s="3"/>
      <c r="G123" s="3">
        <f t="shared" si="37"/>
        <v>0.67789961505817886</v>
      </c>
      <c r="H123" s="22">
        <f t="shared" si="38"/>
        <v>0.72718404710878848</v>
      </c>
      <c r="I123" s="6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1"/>
      <c r="W123" s="1"/>
    </row>
    <row r="124" spans="1:23" x14ac:dyDescent="0.3">
      <c r="A124" s="30">
        <v>45809</v>
      </c>
      <c r="B124" t="s">
        <v>2</v>
      </c>
      <c r="C124" s="2"/>
      <c r="D124" s="2">
        <f>AVERAGE(C113:C124)</f>
        <v>233105</v>
      </c>
      <c r="E124" s="2"/>
      <c r="F124" s="3"/>
      <c r="G124" s="3">
        <f t="shared" si="37"/>
        <v>0.62814845418723186</v>
      </c>
      <c r="H124" s="22">
        <f t="shared" si="38"/>
        <v>0.67381589390901009</v>
      </c>
      <c r="I124" s="6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1"/>
      <c r="W124" s="1"/>
    </row>
    <row r="125" spans="1:23" x14ac:dyDescent="0.3">
      <c r="A125" s="30">
        <v>45839</v>
      </c>
      <c r="B125" t="s">
        <v>3</v>
      </c>
      <c r="C125" s="2"/>
      <c r="D125" s="2"/>
      <c r="E125" s="2"/>
      <c r="F125" s="3"/>
      <c r="G125" s="3">
        <f t="shared" si="37"/>
        <v>0.79799494697474493</v>
      </c>
      <c r="H125" s="22">
        <f t="shared" si="38"/>
        <v>0.85601050985057181</v>
      </c>
      <c r="I125" s="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1"/>
      <c r="W125" s="1"/>
    </row>
    <row r="126" spans="1:23" x14ac:dyDescent="0.3">
      <c r="A126" s="30">
        <v>45870</v>
      </c>
      <c r="B126" t="s">
        <v>8</v>
      </c>
      <c r="C126" s="2"/>
      <c r="D126" s="2"/>
      <c r="E126" s="2"/>
      <c r="F126" s="3"/>
      <c r="G126" s="3">
        <f t="shared" si="37"/>
        <v>0.70501359066224922</v>
      </c>
      <c r="H126" s="22">
        <f t="shared" si="38"/>
        <v>0.756269253937361</v>
      </c>
      <c r="I126" s="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1"/>
      <c r="W126" s="1"/>
    </row>
    <row r="127" spans="1:23" x14ac:dyDescent="0.3">
      <c r="A127" s="30">
        <v>45901</v>
      </c>
      <c r="B127" t="s">
        <v>9</v>
      </c>
      <c r="C127" s="2"/>
      <c r="D127" s="2"/>
      <c r="E127" s="2"/>
      <c r="F127" s="3"/>
      <c r="G127" s="3">
        <f t="shared" si="37"/>
        <v>0.76259311153409548</v>
      </c>
      <c r="H127" s="22">
        <f t="shared" si="38"/>
        <v>0.81803490195971706</v>
      </c>
      <c r="I127" s="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1"/>
      <c r="W127" s="1"/>
    </row>
    <row r="128" spans="1:23" x14ac:dyDescent="0.3">
      <c r="A128" s="30">
        <v>45931</v>
      </c>
      <c r="B128" t="s">
        <v>10</v>
      </c>
      <c r="C128" s="2"/>
      <c r="D128" s="2"/>
      <c r="E128" s="2"/>
      <c r="F128" s="3"/>
      <c r="G128" s="3">
        <f t="shared" si="37"/>
        <v>0.85409400720418838</v>
      </c>
      <c r="H128" s="22">
        <f t="shared" si="38"/>
        <v>0.91618806527394414</v>
      </c>
      <c r="I128" s="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1"/>
      <c r="W128" s="1"/>
    </row>
    <row r="129" spans="1:23" x14ac:dyDescent="0.3">
      <c r="A129" s="30">
        <v>45962</v>
      </c>
      <c r="B129" t="s">
        <v>11</v>
      </c>
      <c r="C129" s="2"/>
      <c r="D129" s="2"/>
      <c r="E129" s="2"/>
      <c r="F129" s="3"/>
      <c r="G129" s="3">
        <f t="shared" si="37"/>
        <v>1.0914809710132696</v>
      </c>
      <c r="H129" s="22">
        <f t="shared" si="38"/>
        <v>1.1708334570680377</v>
      </c>
      <c r="I129" s="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1"/>
      <c r="W129" s="1"/>
    </row>
    <row r="130" spans="1:23" x14ac:dyDescent="0.3">
      <c r="A130" s="30">
        <v>45992</v>
      </c>
      <c r="B130" t="s">
        <v>12</v>
      </c>
      <c r="C130" s="2"/>
      <c r="D130" s="2"/>
      <c r="E130" s="2"/>
      <c r="F130" s="3"/>
      <c r="G130" s="3">
        <f t="shared" si="37"/>
        <v>1.2975251978283802</v>
      </c>
      <c r="H130" s="22">
        <f t="shared" si="38"/>
        <v>1.3918574426414096</v>
      </c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1"/>
      <c r="W130" s="1"/>
    </row>
    <row r="131" spans="1:23" x14ac:dyDescent="0.3">
      <c r="A131" s="30">
        <v>46023</v>
      </c>
      <c r="B131" t="s">
        <v>1</v>
      </c>
      <c r="C131" s="2"/>
      <c r="D131" s="2"/>
      <c r="E131" s="2"/>
      <c r="F131" s="3"/>
      <c r="G131" s="3">
        <f t="shared" ref="G131:G142" si="39">X12</f>
        <v>1.4174493840710238</v>
      </c>
      <c r="H131" s="22">
        <f t="shared" ref="H131:H142" si="40">Y12</f>
        <v>1.5205003171334823</v>
      </c>
      <c r="I131" s="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1"/>
      <c r="W131" s="1"/>
    </row>
    <row r="132" spans="1:23" x14ac:dyDescent="0.3">
      <c r="A132" s="30">
        <v>46054</v>
      </c>
      <c r="B132" t="s">
        <v>2</v>
      </c>
      <c r="C132" s="2"/>
      <c r="D132" s="2"/>
      <c r="E132" s="2"/>
      <c r="F132" s="3"/>
      <c r="G132" s="3">
        <f t="shared" si="39"/>
        <v>1.0589956514401806</v>
      </c>
      <c r="H132" s="22">
        <f t="shared" si="40"/>
        <v>1.1359864006100491</v>
      </c>
      <c r="I132" s="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1"/>
      <c r="W132" s="1"/>
    </row>
    <row r="133" spans="1:23" x14ac:dyDescent="0.3">
      <c r="A133" s="30">
        <v>46082</v>
      </c>
      <c r="B133" t="s">
        <v>3</v>
      </c>
      <c r="C133" s="2"/>
      <c r="D133" s="2"/>
      <c r="E133" s="2"/>
      <c r="F133" s="3"/>
      <c r="G133" s="3">
        <f t="shared" si="39"/>
        <v>1.0647605845260162</v>
      </c>
      <c r="H133" s="22">
        <f t="shared" si="40"/>
        <v>1.1421704539411746</v>
      </c>
      <c r="I133" s="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1"/>
      <c r="W133" s="1"/>
    </row>
    <row r="134" spans="1:23" x14ac:dyDescent="0.3">
      <c r="A134" s="30">
        <v>46113</v>
      </c>
      <c r="B134" t="s">
        <v>8</v>
      </c>
      <c r="C134" s="2"/>
      <c r="D134" s="2"/>
      <c r="E134" s="2"/>
      <c r="F134" s="3"/>
      <c r="G134" s="3">
        <f t="shared" si="39"/>
        <v>0.83075218768571957</v>
      </c>
      <c r="H134" s="22">
        <f t="shared" si="40"/>
        <v>0.89114925656645383</v>
      </c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1"/>
      <c r="W134" s="1"/>
    </row>
    <row r="135" spans="1:23" x14ac:dyDescent="0.3">
      <c r="A135" s="30">
        <v>46143</v>
      </c>
      <c r="B135" t="s">
        <v>9</v>
      </c>
      <c r="C135" s="2"/>
      <c r="D135" s="2"/>
      <c r="E135" s="2"/>
      <c r="F135" s="3"/>
      <c r="G135" s="3">
        <f t="shared" si="39"/>
        <v>0.67789961505817886</v>
      </c>
      <c r="H135" s="22">
        <f t="shared" si="40"/>
        <v>0.72718404710878848</v>
      </c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1"/>
      <c r="W135" s="1"/>
    </row>
    <row r="136" spans="1:23" x14ac:dyDescent="0.3">
      <c r="A136" s="30">
        <v>46174</v>
      </c>
      <c r="B136" t="s">
        <v>10</v>
      </c>
      <c r="C136" s="2"/>
      <c r="D136" s="2"/>
      <c r="E136" s="2"/>
      <c r="F136" s="3"/>
      <c r="G136" s="3">
        <f t="shared" si="39"/>
        <v>0.62814845418723186</v>
      </c>
      <c r="H136" s="22">
        <f t="shared" si="40"/>
        <v>0.67381589390901009</v>
      </c>
      <c r="I136" s="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1"/>
      <c r="W136" s="1"/>
    </row>
    <row r="137" spans="1:23" x14ac:dyDescent="0.3">
      <c r="A137" s="30">
        <v>46204</v>
      </c>
      <c r="B137" t="s">
        <v>11</v>
      </c>
      <c r="C137" s="2"/>
      <c r="D137" s="2"/>
      <c r="E137" s="2"/>
      <c r="F137" s="3"/>
      <c r="G137" s="3">
        <f t="shared" si="39"/>
        <v>0.79799494697474493</v>
      </c>
      <c r="H137" s="22">
        <f t="shared" si="40"/>
        <v>0.85601050985057181</v>
      </c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1"/>
      <c r="W137" s="1"/>
    </row>
    <row r="138" spans="1:23" x14ac:dyDescent="0.3">
      <c r="A138" s="30">
        <v>46235</v>
      </c>
      <c r="B138" t="s">
        <v>12</v>
      </c>
      <c r="C138" s="2"/>
      <c r="D138" s="2"/>
      <c r="E138" s="2"/>
      <c r="F138" s="3"/>
      <c r="G138" s="3">
        <f t="shared" si="39"/>
        <v>0.70501359066224922</v>
      </c>
      <c r="H138" s="22">
        <f t="shared" si="40"/>
        <v>0.756269253937361</v>
      </c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1"/>
      <c r="W138" s="1"/>
    </row>
    <row r="139" spans="1:23" x14ac:dyDescent="0.3">
      <c r="A139" s="30">
        <v>46266</v>
      </c>
      <c r="B139" t="s">
        <v>1</v>
      </c>
      <c r="C139" s="2"/>
      <c r="D139" s="2"/>
      <c r="E139" s="2"/>
      <c r="F139" s="3"/>
      <c r="G139" s="3">
        <f t="shared" si="39"/>
        <v>0.76259311153409548</v>
      </c>
      <c r="H139" s="22">
        <f t="shared" si="40"/>
        <v>0.81803490195971706</v>
      </c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1"/>
      <c r="W139" s="1"/>
    </row>
    <row r="140" spans="1:23" x14ac:dyDescent="0.3">
      <c r="A140" s="30">
        <v>46296</v>
      </c>
      <c r="B140" t="s">
        <v>2</v>
      </c>
      <c r="C140" s="2"/>
      <c r="D140" s="2"/>
      <c r="E140" s="2"/>
      <c r="F140" s="3"/>
      <c r="G140" s="3">
        <f t="shared" si="39"/>
        <v>0.85409400720418838</v>
      </c>
      <c r="H140" s="22">
        <f t="shared" si="40"/>
        <v>0.91618806527394414</v>
      </c>
      <c r="I140" s="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1"/>
      <c r="W140" s="1"/>
    </row>
    <row r="141" spans="1:23" x14ac:dyDescent="0.3">
      <c r="A141" s="30">
        <v>46327</v>
      </c>
      <c r="B141" t="s">
        <v>3</v>
      </c>
      <c r="C141" s="2"/>
      <c r="D141" s="2"/>
      <c r="E141" s="2"/>
      <c r="F141" s="3"/>
      <c r="G141" s="3">
        <f t="shared" si="39"/>
        <v>1.0914809710132696</v>
      </c>
      <c r="H141" s="22">
        <f t="shared" si="40"/>
        <v>1.1708334570680377</v>
      </c>
      <c r="I141" s="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1"/>
      <c r="W141" s="1"/>
    </row>
    <row r="142" spans="1:23" x14ac:dyDescent="0.3">
      <c r="A142" s="30">
        <v>46357</v>
      </c>
      <c r="B142" t="s">
        <v>8</v>
      </c>
      <c r="C142" s="2"/>
      <c r="D142" s="2"/>
      <c r="E142" s="2"/>
      <c r="F142" s="3"/>
      <c r="G142" s="3">
        <f t="shared" si="39"/>
        <v>1.2975251978283802</v>
      </c>
      <c r="H142" s="22">
        <f t="shared" si="40"/>
        <v>1.3918574426414096</v>
      </c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1"/>
      <c r="W142" s="1"/>
    </row>
    <row r="143" spans="1:23" x14ac:dyDescent="0.3">
      <c r="A143" s="30">
        <v>46388</v>
      </c>
      <c r="B143" t="s">
        <v>9</v>
      </c>
      <c r="C143" s="2"/>
      <c r="D143" s="2"/>
      <c r="E143" s="2"/>
      <c r="F143" s="3"/>
      <c r="G143" s="3">
        <f t="shared" ref="G143:G154" si="41">X12</f>
        <v>1.4174493840710238</v>
      </c>
      <c r="H143" s="22">
        <f t="shared" ref="H143:H154" si="42">Y12</f>
        <v>1.5205003171334823</v>
      </c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1"/>
      <c r="W143" s="1"/>
    </row>
    <row r="144" spans="1:23" x14ac:dyDescent="0.3">
      <c r="A144" s="30">
        <v>46419</v>
      </c>
      <c r="B144" t="s">
        <v>10</v>
      </c>
      <c r="C144" s="2"/>
      <c r="D144" s="2"/>
      <c r="E144" s="2"/>
      <c r="F144" s="3"/>
      <c r="G144" s="3">
        <f t="shared" si="41"/>
        <v>1.0589956514401806</v>
      </c>
      <c r="H144" s="22">
        <f t="shared" si="42"/>
        <v>1.1359864006100491</v>
      </c>
      <c r="I144" s="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1"/>
      <c r="W144" s="1"/>
    </row>
    <row r="145" spans="1:23" x14ac:dyDescent="0.3">
      <c r="A145" s="30">
        <v>46447</v>
      </c>
      <c r="B145" t="s">
        <v>11</v>
      </c>
      <c r="C145" s="2"/>
      <c r="D145" s="2"/>
      <c r="E145" s="2"/>
      <c r="F145" s="3"/>
      <c r="G145" s="3">
        <f t="shared" si="41"/>
        <v>1.0647605845260162</v>
      </c>
      <c r="H145" s="22">
        <f t="shared" si="42"/>
        <v>1.1421704539411746</v>
      </c>
      <c r="I145" s="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1"/>
      <c r="W145" s="1"/>
    </row>
    <row r="146" spans="1:23" x14ac:dyDescent="0.3">
      <c r="A146" s="30">
        <v>46478</v>
      </c>
      <c r="B146" t="s">
        <v>12</v>
      </c>
      <c r="C146" s="2"/>
      <c r="D146" s="2"/>
      <c r="E146" s="2"/>
      <c r="F146" s="3"/>
      <c r="G146" s="3">
        <f t="shared" si="41"/>
        <v>0.83075218768571957</v>
      </c>
      <c r="H146" s="22">
        <f t="shared" si="42"/>
        <v>0.89114925656645383</v>
      </c>
      <c r="I146" s="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1"/>
      <c r="W146" s="1"/>
    </row>
    <row r="147" spans="1:23" x14ac:dyDescent="0.3">
      <c r="A147" s="30">
        <v>46508</v>
      </c>
      <c r="B147" t="s">
        <v>1</v>
      </c>
      <c r="C147" s="2"/>
      <c r="D147" s="2"/>
      <c r="E147" s="2"/>
      <c r="F147" s="3"/>
      <c r="G147" s="3">
        <f t="shared" si="41"/>
        <v>0.67789961505817886</v>
      </c>
      <c r="H147" s="22">
        <f t="shared" si="42"/>
        <v>0.72718404710878848</v>
      </c>
      <c r="I147" s="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1"/>
      <c r="W147" s="1"/>
    </row>
    <row r="148" spans="1:23" x14ac:dyDescent="0.3">
      <c r="A148" s="30">
        <v>46539</v>
      </c>
      <c r="B148" t="s">
        <v>2</v>
      </c>
      <c r="C148" s="2"/>
      <c r="D148" s="2"/>
      <c r="E148" s="2"/>
      <c r="F148" s="3"/>
      <c r="G148" s="3">
        <f t="shared" si="41"/>
        <v>0.62814845418723186</v>
      </c>
      <c r="H148" s="22">
        <f t="shared" si="42"/>
        <v>0.67381589390901009</v>
      </c>
      <c r="I148" s="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1"/>
      <c r="W148" s="1"/>
    </row>
    <row r="149" spans="1:23" x14ac:dyDescent="0.3">
      <c r="A149" s="30">
        <v>46569</v>
      </c>
      <c r="B149" t="s">
        <v>3</v>
      </c>
      <c r="C149" s="2"/>
      <c r="D149" s="2"/>
      <c r="E149" s="2"/>
      <c r="F149" s="3"/>
      <c r="G149" s="3">
        <f t="shared" si="41"/>
        <v>0.79799494697474493</v>
      </c>
      <c r="H149" s="22">
        <f t="shared" si="42"/>
        <v>0.85601050985057181</v>
      </c>
      <c r="I149" s="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1"/>
      <c r="W149" s="1"/>
    </row>
    <row r="150" spans="1:23" x14ac:dyDescent="0.3">
      <c r="A150" s="30">
        <v>46600</v>
      </c>
      <c r="B150" t="s">
        <v>8</v>
      </c>
      <c r="C150" s="2"/>
      <c r="D150" s="2"/>
      <c r="E150" s="2"/>
      <c r="F150" s="3"/>
      <c r="G150" s="3">
        <f t="shared" si="41"/>
        <v>0.70501359066224922</v>
      </c>
      <c r="H150" s="22">
        <f t="shared" si="42"/>
        <v>0.756269253937361</v>
      </c>
      <c r="I150" s="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1"/>
      <c r="W150" s="1"/>
    </row>
    <row r="151" spans="1:23" x14ac:dyDescent="0.3">
      <c r="A151" s="30">
        <v>46631</v>
      </c>
      <c r="B151" t="s">
        <v>9</v>
      </c>
      <c r="C151" s="2"/>
      <c r="D151" s="2"/>
      <c r="E151" s="2"/>
      <c r="F151" s="3"/>
      <c r="G151" s="3">
        <f t="shared" si="41"/>
        <v>0.76259311153409548</v>
      </c>
      <c r="H151" s="22">
        <f t="shared" si="42"/>
        <v>0.81803490195971706</v>
      </c>
      <c r="I151" s="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1"/>
      <c r="W151" s="1"/>
    </row>
    <row r="152" spans="1:23" x14ac:dyDescent="0.3">
      <c r="A152" s="30">
        <v>46661</v>
      </c>
      <c r="B152" t="s">
        <v>10</v>
      </c>
      <c r="C152" s="2"/>
      <c r="D152" s="2"/>
      <c r="E152" s="2"/>
      <c r="F152" s="3"/>
      <c r="G152" s="3">
        <f t="shared" si="41"/>
        <v>0.85409400720418838</v>
      </c>
      <c r="H152" s="22">
        <f t="shared" si="42"/>
        <v>0.91618806527394414</v>
      </c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1"/>
      <c r="W152" s="1"/>
    </row>
    <row r="153" spans="1:23" x14ac:dyDescent="0.3">
      <c r="A153" s="30">
        <v>46692</v>
      </c>
      <c r="B153" t="s">
        <v>11</v>
      </c>
      <c r="C153" s="2"/>
      <c r="D153" s="2"/>
      <c r="E153" s="2"/>
      <c r="F153" s="3"/>
      <c r="G153" s="3">
        <f t="shared" si="41"/>
        <v>1.0914809710132696</v>
      </c>
      <c r="H153" s="22">
        <f t="shared" si="42"/>
        <v>1.1708334570680377</v>
      </c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1"/>
      <c r="W153" s="1"/>
    </row>
    <row r="154" spans="1:23" x14ac:dyDescent="0.3">
      <c r="A154" s="30">
        <v>46722</v>
      </c>
      <c r="B154" t="s">
        <v>12</v>
      </c>
      <c r="C154" s="2"/>
      <c r="D154" s="2"/>
      <c r="E154" s="2"/>
      <c r="F154" s="3"/>
      <c r="G154" s="3">
        <f t="shared" si="41"/>
        <v>1.2975251978283802</v>
      </c>
      <c r="H154" s="22">
        <f t="shared" si="42"/>
        <v>1.3918574426414096</v>
      </c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1"/>
      <c r="W154" s="1"/>
    </row>
    <row r="155" spans="1:23" x14ac:dyDescent="0.3">
      <c r="A155" s="30">
        <v>46753</v>
      </c>
      <c r="B155" t="s">
        <v>1</v>
      </c>
      <c r="C155" s="2"/>
      <c r="D155" s="2"/>
      <c r="E155" s="2"/>
      <c r="F155" s="3"/>
      <c r="G155" s="3">
        <f t="shared" ref="G155:G166" si="43">X12</f>
        <v>1.4174493840710238</v>
      </c>
      <c r="H155" s="22">
        <f t="shared" ref="H155:H166" si="44">Y12</f>
        <v>1.5205003171334823</v>
      </c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1"/>
      <c r="W155" s="1"/>
    </row>
    <row r="156" spans="1:23" x14ac:dyDescent="0.3">
      <c r="A156" s="30">
        <v>46784</v>
      </c>
      <c r="B156" t="s">
        <v>2</v>
      </c>
      <c r="C156" s="2"/>
      <c r="D156" s="2"/>
      <c r="E156" s="2"/>
      <c r="F156" s="3"/>
      <c r="G156" s="3">
        <f t="shared" si="43"/>
        <v>1.0589956514401806</v>
      </c>
      <c r="H156" s="22">
        <f t="shared" si="44"/>
        <v>1.1359864006100491</v>
      </c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1"/>
      <c r="W156" s="1"/>
    </row>
    <row r="157" spans="1:23" x14ac:dyDescent="0.3">
      <c r="A157" s="30">
        <v>46813</v>
      </c>
      <c r="B157" t="s">
        <v>3</v>
      </c>
      <c r="C157" s="2"/>
      <c r="D157" s="2"/>
      <c r="E157" s="2"/>
      <c r="F157" s="3"/>
      <c r="G157" s="3">
        <f t="shared" si="43"/>
        <v>1.0647605845260162</v>
      </c>
      <c r="H157" s="22">
        <f t="shared" si="44"/>
        <v>1.1421704539411746</v>
      </c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1"/>
      <c r="W157" s="1"/>
    </row>
    <row r="158" spans="1:23" x14ac:dyDescent="0.3">
      <c r="A158" s="30">
        <v>46844</v>
      </c>
      <c r="B158" t="s">
        <v>8</v>
      </c>
      <c r="C158" s="2"/>
      <c r="D158" s="2"/>
      <c r="E158" s="2"/>
      <c r="F158" s="3"/>
      <c r="G158" s="3">
        <f t="shared" si="43"/>
        <v>0.83075218768571957</v>
      </c>
      <c r="H158" s="22">
        <f t="shared" si="44"/>
        <v>0.89114925656645383</v>
      </c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1"/>
      <c r="W158" s="1"/>
    </row>
    <row r="159" spans="1:23" x14ac:dyDescent="0.3">
      <c r="A159" s="30">
        <v>46874</v>
      </c>
      <c r="B159" t="s">
        <v>9</v>
      </c>
      <c r="C159" s="2"/>
      <c r="D159" s="2"/>
      <c r="E159" s="2"/>
      <c r="F159" s="3"/>
      <c r="G159" s="3">
        <f t="shared" si="43"/>
        <v>0.67789961505817886</v>
      </c>
      <c r="H159" s="22">
        <f t="shared" si="44"/>
        <v>0.72718404710878848</v>
      </c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1"/>
      <c r="W159" s="1"/>
    </row>
    <row r="160" spans="1:23" x14ac:dyDescent="0.3">
      <c r="A160" s="30">
        <v>46905</v>
      </c>
      <c r="B160" t="s">
        <v>10</v>
      </c>
      <c r="C160" s="2"/>
      <c r="D160" s="2"/>
      <c r="E160" s="2"/>
      <c r="F160" s="3"/>
      <c r="G160" s="3">
        <f t="shared" si="43"/>
        <v>0.62814845418723186</v>
      </c>
      <c r="H160" s="22">
        <f t="shared" si="44"/>
        <v>0.67381589390901009</v>
      </c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1"/>
      <c r="W160" s="1"/>
    </row>
    <row r="161" spans="1:23" x14ac:dyDescent="0.3">
      <c r="A161" s="30">
        <v>46935</v>
      </c>
      <c r="B161" t="s">
        <v>11</v>
      </c>
      <c r="C161" s="2"/>
      <c r="D161" s="2"/>
      <c r="E161" s="2"/>
      <c r="F161" s="3"/>
      <c r="G161" s="3">
        <f t="shared" si="43"/>
        <v>0.79799494697474493</v>
      </c>
      <c r="H161" s="22">
        <f t="shared" si="44"/>
        <v>0.85601050985057181</v>
      </c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1"/>
      <c r="W161" s="1"/>
    </row>
    <row r="162" spans="1:23" x14ac:dyDescent="0.3">
      <c r="A162" s="30">
        <v>46966</v>
      </c>
      <c r="B162" t="s">
        <v>12</v>
      </c>
      <c r="C162" s="2"/>
      <c r="D162" s="2"/>
      <c r="E162" s="2"/>
      <c r="F162" s="3"/>
      <c r="G162" s="3">
        <f t="shared" si="43"/>
        <v>0.70501359066224922</v>
      </c>
      <c r="H162" s="22">
        <f t="shared" si="44"/>
        <v>0.756269253937361</v>
      </c>
      <c r="I162" s="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1"/>
      <c r="W162" s="1"/>
    </row>
    <row r="163" spans="1:23" x14ac:dyDescent="0.3">
      <c r="A163" s="30">
        <v>46997</v>
      </c>
      <c r="B163" t="s">
        <v>1</v>
      </c>
      <c r="C163" s="2"/>
      <c r="D163" s="2"/>
      <c r="E163" s="2"/>
      <c r="F163" s="3"/>
      <c r="G163" s="3">
        <f t="shared" si="43"/>
        <v>0.76259311153409548</v>
      </c>
      <c r="H163" s="22">
        <f t="shared" si="44"/>
        <v>0.81803490195971706</v>
      </c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1"/>
      <c r="W163" s="1"/>
    </row>
    <row r="164" spans="1:23" x14ac:dyDescent="0.3">
      <c r="A164" s="30">
        <v>47027</v>
      </c>
      <c r="B164" t="s">
        <v>2</v>
      </c>
      <c r="C164" s="2"/>
      <c r="D164" s="2"/>
      <c r="E164" s="2"/>
      <c r="F164" s="3"/>
      <c r="G164" s="3">
        <f t="shared" si="43"/>
        <v>0.85409400720418838</v>
      </c>
      <c r="H164" s="22">
        <f t="shared" si="44"/>
        <v>0.91618806527394414</v>
      </c>
      <c r="I164" s="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1"/>
      <c r="W164" s="1"/>
    </row>
    <row r="165" spans="1:23" x14ac:dyDescent="0.3">
      <c r="A165" s="30">
        <v>47058</v>
      </c>
      <c r="B165" t="s">
        <v>3</v>
      </c>
      <c r="C165" s="2"/>
      <c r="D165" s="2"/>
      <c r="E165" s="2"/>
      <c r="F165" s="3"/>
      <c r="G165" s="3">
        <f t="shared" si="43"/>
        <v>1.0914809710132696</v>
      </c>
      <c r="H165" s="22">
        <f t="shared" si="44"/>
        <v>1.1708334570680377</v>
      </c>
      <c r="I165" s="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1"/>
      <c r="W165" s="1"/>
    </row>
    <row r="166" spans="1:23" x14ac:dyDescent="0.3">
      <c r="A166" s="30">
        <v>47088</v>
      </c>
      <c r="B166" t="s">
        <v>8</v>
      </c>
      <c r="C166" s="2"/>
      <c r="D166" s="2"/>
      <c r="E166" s="2"/>
      <c r="F166" s="3"/>
      <c r="G166" s="3">
        <f t="shared" si="43"/>
        <v>1.2975251978283802</v>
      </c>
      <c r="H166" s="22">
        <f t="shared" si="44"/>
        <v>1.3918574426414096</v>
      </c>
      <c r="I166" s="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1"/>
      <c r="W166" s="1"/>
    </row>
    <row r="167" spans="1:23" x14ac:dyDescent="0.3">
      <c r="A167" s="30">
        <v>47119</v>
      </c>
      <c r="B167" t="s">
        <v>9</v>
      </c>
      <c r="C167" s="2"/>
      <c r="D167" s="2"/>
      <c r="E167" s="2"/>
      <c r="F167" s="3"/>
      <c r="G167" s="3">
        <f t="shared" ref="G167:G178" si="45">X12</f>
        <v>1.4174493840710238</v>
      </c>
      <c r="H167" s="22">
        <f t="shared" ref="H167:H178" si="46">Y12</f>
        <v>1.5205003171334823</v>
      </c>
      <c r="I167" s="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1"/>
      <c r="W167" s="1"/>
    </row>
    <row r="168" spans="1:23" x14ac:dyDescent="0.3">
      <c r="A168" s="30">
        <v>47150</v>
      </c>
      <c r="B168" t="s">
        <v>10</v>
      </c>
      <c r="C168" s="2"/>
      <c r="D168" s="2"/>
      <c r="E168" s="2"/>
      <c r="F168" s="3"/>
      <c r="G168" s="3">
        <f t="shared" si="45"/>
        <v>1.0589956514401806</v>
      </c>
      <c r="H168" s="22">
        <f t="shared" si="46"/>
        <v>1.1359864006100491</v>
      </c>
      <c r="I168" s="6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1"/>
      <c r="W168" s="1"/>
    </row>
    <row r="169" spans="1:23" x14ac:dyDescent="0.3">
      <c r="A169" s="30">
        <v>47178</v>
      </c>
      <c r="B169" t="s">
        <v>11</v>
      </c>
      <c r="C169" s="2"/>
      <c r="D169" s="2"/>
      <c r="E169" s="2"/>
      <c r="F169" s="3"/>
      <c r="G169" s="3">
        <f t="shared" si="45"/>
        <v>1.0647605845260162</v>
      </c>
      <c r="H169" s="22">
        <f t="shared" si="46"/>
        <v>1.1421704539411746</v>
      </c>
      <c r="I169" s="6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1"/>
      <c r="W169" s="1"/>
    </row>
    <row r="170" spans="1:23" x14ac:dyDescent="0.3">
      <c r="A170" s="30">
        <v>47209</v>
      </c>
      <c r="B170" t="s">
        <v>12</v>
      </c>
      <c r="C170" s="2"/>
      <c r="D170" s="2"/>
      <c r="E170" s="2"/>
      <c r="F170" s="3"/>
      <c r="G170" s="3">
        <f t="shared" si="45"/>
        <v>0.83075218768571957</v>
      </c>
      <c r="H170" s="22">
        <f t="shared" si="46"/>
        <v>0.89114925656645383</v>
      </c>
      <c r="I170" s="6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1"/>
      <c r="W170" s="1"/>
    </row>
    <row r="171" spans="1:23" x14ac:dyDescent="0.3">
      <c r="A171" s="30">
        <v>47239</v>
      </c>
      <c r="B171" t="s">
        <v>1</v>
      </c>
      <c r="C171" s="2"/>
      <c r="D171" s="2"/>
      <c r="E171" s="2"/>
      <c r="F171" s="3"/>
      <c r="G171" s="3">
        <f t="shared" si="45"/>
        <v>0.67789961505817886</v>
      </c>
      <c r="H171" s="22">
        <f t="shared" si="46"/>
        <v>0.72718404710878848</v>
      </c>
      <c r="I171" s="6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1"/>
      <c r="W171" s="1"/>
    </row>
    <row r="172" spans="1:23" x14ac:dyDescent="0.3">
      <c r="A172" s="30">
        <v>47270</v>
      </c>
      <c r="B172" t="s">
        <v>2</v>
      </c>
      <c r="C172" s="2"/>
      <c r="D172" s="2"/>
      <c r="E172" s="2"/>
      <c r="F172" s="3"/>
      <c r="G172" s="3">
        <f t="shared" si="45"/>
        <v>0.62814845418723186</v>
      </c>
      <c r="H172" s="22">
        <f t="shared" si="46"/>
        <v>0.67381589390901009</v>
      </c>
      <c r="I172" s="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1"/>
      <c r="W172" s="1"/>
    </row>
    <row r="173" spans="1:23" x14ac:dyDescent="0.3">
      <c r="A173" s="30">
        <v>47300</v>
      </c>
      <c r="B173" t="s">
        <v>3</v>
      </c>
      <c r="C173" s="2"/>
      <c r="D173" s="2"/>
      <c r="E173" s="2"/>
      <c r="F173" s="3"/>
      <c r="G173" s="3">
        <f t="shared" si="45"/>
        <v>0.79799494697474493</v>
      </c>
      <c r="H173" s="22">
        <f t="shared" si="46"/>
        <v>0.85601050985057181</v>
      </c>
      <c r="I173" s="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1"/>
      <c r="W173" s="1"/>
    </row>
    <row r="174" spans="1:23" x14ac:dyDescent="0.3">
      <c r="A174" s="30">
        <v>47331</v>
      </c>
      <c r="B174" t="s">
        <v>8</v>
      </c>
      <c r="C174" s="2"/>
      <c r="D174" s="2"/>
      <c r="E174" s="2"/>
      <c r="F174" s="3"/>
      <c r="G174" s="3">
        <f t="shared" si="45"/>
        <v>0.70501359066224922</v>
      </c>
      <c r="H174" s="22">
        <f t="shared" si="46"/>
        <v>0.756269253937361</v>
      </c>
      <c r="I174" s="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1"/>
      <c r="W174" s="1"/>
    </row>
    <row r="175" spans="1:23" x14ac:dyDescent="0.3">
      <c r="A175" s="30">
        <v>47362</v>
      </c>
      <c r="B175" t="s">
        <v>9</v>
      </c>
      <c r="C175" s="2"/>
      <c r="D175" s="2"/>
      <c r="E175" s="2"/>
      <c r="F175" s="3"/>
      <c r="G175" s="3">
        <f t="shared" si="45"/>
        <v>0.76259311153409548</v>
      </c>
      <c r="H175" s="22">
        <f t="shared" si="46"/>
        <v>0.81803490195971706</v>
      </c>
      <c r="I175" s="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1"/>
      <c r="W175" s="1"/>
    </row>
    <row r="176" spans="1:23" x14ac:dyDescent="0.3">
      <c r="A176" s="30">
        <v>47392</v>
      </c>
      <c r="B176" t="s">
        <v>10</v>
      </c>
      <c r="C176" s="2"/>
      <c r="D176" s="2"/>
      <c r="E176" s="2"/>
      <c r="F176" s="3"/>
      <c r="G176" s="3">
        <f t="shared" si="45"/>
        <v>0.85409400720418838</v>
      </c>
      <c r="H176" s="22">
        <f t="shared" si="46"/>
        <v>0.91618806527394414</v>
      </c>
      <c r="I176" s="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1"/>
      <c r="W176" s="1"/>
    </row>
    <row r="177" spans="1:23" x14ac:dyDescent="0.3">
      <c r="A177" s="30">
        <v>47423</v>
      </c>
      <c r="B177" t="s">
        <v>11</v>
      </c>
      <c r="C177" s="2"/>
      <c r="D177" s="2"/>
      <c r="E177" s="2"/>
      <c r="F177" s="3"/>
      <c r="G177" s="3">
        <f t="shared" si="45"/>
        <v>1.0914809710132696</v>
      </c>
      <c r="H177" s="22">
        <f t="shared" si="46"/>
        <v>1.1708334570680377</v>
      </c>
      <c r="I177" s="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1"/>
      <c r="W177" s="1"/>
    </row>
    <row r="178" spans="1:23" x14ac:dyDescent="0.3">
      <c r="A178" s="30">
        <v>47453</v>
      </c>
      <c r="B178" t="s">
        <v>12</v>
      </c>
      <c r="C178" s="2"/>
      <c r="D178" s="2"/>
      <c r="E178" s="2"/>
      <c r="F178" s="3"/>
      <c r="G178" s="3">
        <f t="shared" si="45"/>
        <v>1.2975251978283802</v>
      </c>
      <c r="H178" s="22">
        <f t="shared" si="46"/>
        <v>1.3918574426414096</v>
      </c>
      <c r="I178" s="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1"/>
      <c r="W178" s="1"/>
    </row>
    <row r="179" spans="1:23" x14ac:dyDescent="0.3">
      <c r="A179" s="30">
        <v>47484</v>
      </c>
      <c r="B179" t="s">
        <v>1</v>
      </c>
      <c r="C179" s="2"/>
      <c r="D179" s="2"/>
      <c r="E179" s="2"/>
      <c r="F179" s="3"/>
      <c r="G179" s="3">
        <f t="shared" ref="G179:G190" si="47">X12</f>
        <v>1.4174493840710238</v>
      </c>
      <c r="H179" s="22">
        <f t="shared" ref="H179:H190" si="48">Y12</f>
        <v>1.5205003171334823</v>
      </c>
      <c r="I179" s="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1"/>
      <c r="W179" s="1"/>
    </row>
    <row r="180" spans="1:23" x14ac:dyDescent="0.3">
      <c r="A180" s="30">
        <v>47515</v>
      </c>
      <c r="B180" t="s">
        <v>2</v>
      </c>
      <c r="C180" s="2"/>
      <c r="D180" s="2"/>
      <c r="E180" s="2"/>
      <c r="F180" s="3"/>
      <c r="G180" s="3">
        <f t="shared" si="47"/>
        <v>1.0589956514401806</v>
      </c>
      <c r="H180" s="22">
        <f t="shared" si="48"/>
        <v>1.1359864006100491</v>
      </c>
      <c r="I180" s="6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1"/>
      <c r="W180" s="1"/>
    </row>
    <row r="181" spans="1:23" x14ac:dyDescent="0.3">
      <c r="A181" s="30">
        <v>47543</v>
      </c>
      <c r="B181" t="s">
        <v>3</v>
      </c>
      <c r="C181" s="2"/>
      <c r="D181" s="2"/>
      <c r="E181" s="2"/>
      <c r="F181" s="3"/>
      <c r="G181" s="3">
        <f t="shared" si="47"/>
        <v>1.0647605845260162</v>
      </c>
      <c r="H181" s="22">
        <f t="shared" si="48"/>
        <v>1.1421704539411746</v>
      </c>
      <c r="I181" s="6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1"/>
      <c r="W181" s="1"/>
    </row>
    <row r="182" spans="1:23" x14ac:dyDescent="0.3">
      <c r="A182" s="30">
        <v>47574</v>
      </c>
      <c r="B182" t="s">
        <v>8</v>
      </c>
      <c r="C182" s="2"/>
      <c r="D182" s="2"/>
      <c r="E182" s="2"/>
      <c r="F182" s="3"/>
      <c r="G182" s="3">
        <f t="shared" si="47"/>
        <v>0.83075218768571957</v>
      </c>
      <c r="H182" s="22">
        <f t="shared" si="48"/>
        <v>0.89114925656645383</v>
      </c>
      <c r="I182" s="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1"/>
      <c r="W182" s="1"/>
    </row>
    <row r="183" spans="1:23" x14ac:dyDescent="0.3">
      <c r="A183" s="30">
        <v>47604</v>
      </c>
      <c r="B183" t="s">
        <v>9</v>
      </c>
      <c r="C183" s="2"/>
      <c r="D183" s="2"/>
      <c r="E183" s="2"/>
      <c r="F183" s="3"/>
      <c r="G183" s="3">
        <f t="shared" si="47"/>
        <v>0.67789961505817886</v>
      </c>
      <c r="H183" s="22">
        <f t="shared" si="48"/>
        <v>0.72718404710878848</v>
      </c>
      <c r="I183" s="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1"/>
      <c r="W183" s="1"/>
    </row>
    <row r="184" spans="1:23" x14ac:dyDescent="0.3">
      <c r="A184" s="30">
        <v>47635</v>
      </c>
      <c r="B184" t="s">
        <v>10</v>
      </c>
      <c r="C184" s="2"/>
      <c r="D184" s="2"/>
      <c r="E184" s="2"/>
      <c r="F184" s="3"/>
      <c r="G184" s="3">
        <f t="shared" si="47"/>
        <v>0.62814845418723186</v>
      </c>
      <c r="H184" s="22">
        <f t="shared" si="48"/>
        <v>0.67381589390901009</v>
      </c>
      <c r="I184" s="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1"/>
      <c r="W184" s="1"/>
    </row>
    <row r="185" spans="1:23" x14ac:dyDescent="0.3">
      <c r="A185" s="30">
        <v>47665</v>
      </c>
      <c r="B185" t="s">
        <v>11</v>
      </c>
      <c r="C185" s="2"/>
      <c r="D185" s="2"/>
      <c r="E185" s="2"/>
      <c r="F185" s="3"/>
      <c r="G185" s="3">
        <f t="shared" si="47"/>
        <v>0.79799494697474493</v>
      </c>
      <c r="H185" s="22">
        <f t="shared" si="48"/>
        <v>0.85601050985057181</v>
      </c>
      <c r="I185" s="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1"/>
      <c r="W185" s="1"/>
    </row>
    <row r="186" spans="1:23" x14ac:dyDescent="0.3">
      <c r="A186" s="30">
        <v>47696</v>
      </c>
      <c r="B186" t="s">
        <v>12</v>
      </c>
      <c r="C186" s="2"/>
      <c r="D186" s="2"/>
      <c r="E186" s="2"/>
      <c r="F186" s="3"/>
      <c r="G186" s="3">
        <f t="shared" si="47"/>
        <v>0.70501359066224922</v>
      </c>
      <c r="H186" s="22">
        <f t="shared" si="48"/>
        <v>0.756269253937361</v>
      </c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1"/>
      <c r="W186" s="1"/>
    </row>
    <row r="187" spans="1:23" x14ac:dyDescent="0.3">
      <c r="A187" s="30">
        <v>47727</v>
      </c>
      <c r="B187" t="s">
        <v>1</v>
      </c>
      <c r="C187" s="2"/>
      <c r="D187" s="2"/>
      <c r="E187" s="2"/>
      <c r="F187" s="3"/>
      <c r="G187" s="3">
        <f t="shared" si="47"/>
        <v>0.76259311153409548</v>
      </c>
      <c r="H187" s="22">
        <f t="shared" si="48"/>
        <v>0.81803490195971706</v>
      </c>
      <c r="I187" s="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1"/>
      <c r="W187" s="1"/>
    </row>
    <row r="188" spans="1:23" x14ac:dyDescent="0.3">
      <c r="A188" s="30">
        <v>47757</v>
      </c>
      <c r="B188" t="s">
        <v>2</v>
      </c>
      <c r="C188" s="2"/>
      <c r="D188" s="2"/>
      <c r="E188" s="2"/>
      <c r="F188" s="3"/>
      <c r="G188" s="3">
        <f t="shared" si="47"/>
        <v>0.85409400720418838</v>
      </c>
      <c r="H188" s="22">
        <f t="shared" si="48"/>
        <v>0.91618806527394414</v>
      </c>
      <c r="I188" s="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1"/>
      <c r="W188" s="1"/>
    </row>
    <row r="189" spans="1:23" x14ac:dyDescent="0.3">
      <c r="A189" s="30">
        <v>47788</v>
      </c>
      <c r="B189" t="s">
        <v>3</v>
      </c>
      <c r="C189" s="2"/>
      <c r="D189" s="2"/>
      <c r="E189" s="2"/>
      <c r="F189" s="3"/>
      <c r="G189" s="3">
        <f t="shared" si="47"/>
        <v>1.0914809710132696</v>
      </c>
      <c r="H189" s="22">
        <f t="shared" si="48"/>
        <v>1.1708334570680377</v>
      </c>
      <c r="I189" s="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1"/>
      <c r="W189" s="1"/>
    </row>
    <row r="190" spans="1:23" x14ac:dyDescent="0.3">
      <c r="A190" s="30">
        <v>47818</v>
      </c>
      <c r="B190" t="s">
        <v>8</v>
      </c>
      <c r="C190" s="2"/>
      <c r="D190" s="2"/>
      <c r="E190" s="2"/>
      <c r="F190" s="3"/>
      <c r="G190" s="3">
        <f t="shared" si="47"/>
        <v>1.2975251978283802</v>
      </c>
      <c r="H190" s="22">
        <f t="shared" si="48"/>
        <v>1.3918574426414096</v>
      </c>
      <c r="I190" s="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1"/>
      <c r="W190" s="1"/>
    </row>
    <row r="191" spans="1:23" x14ac:dyDescent="0.3">
      <c r="A191" s="30">
        <v>47849</v>
      </c>
      <c r="B191" t="s">
        <v>9</v>
      </c>
      <c r="C191" s="2"/>
      <c r="D191" s="2"/>
      <c r="E191" s="2"/>
      <c r="F191" s="3"/>
      <c r="G191" s="3">
        <f t="shared" ref="G191:G202" si="49">X12</f>
        <v>1.4174493840710238</v>
      </c>
      <c r="H191" s="22">
        <f t="shared" ref="H191:H202" si="50">Y12</f>
        <v>1.5205003171334823</v>
      </c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1"/>
      <c r="W191" s="1"/>
    </row>
    <row r="192" spans="1:23" x14ac:dyDescent="0.3">
      <c r="A192" s="30">
        <v>47880</v>
      </c>
      <c r="B192" t="s">
        <v>10</v>
      </c>
      <c r="C192" s="2"/>
      <c r="D192" s="2"/>
      <c r="E192" s="2"/>
      <c r="F192" s="3"/>
      <c r="G192" s="3">
        <f t="shared" si="49"/>
        <v>1.0589956514401806</v>
      </c>
      <c r="H192" s="22">
        <f t="shared" si="50"/>
        <v>1.1359864006100491</v>
      </c>
      <c r="I192" s="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1"/>
      <c r="W192" s="1"/>
    </row>
    <row r="193" spans="1:23" x14ac:dyDescent="0.3">
      <c r="A193" s="30">
        <v>47908</v>
      </c>
      <c r="B193" t="s">
        <v>11</v>
      </c>
      <c r="C193" s="2"/>
      <c r="D193" s="2"/>
      <c r="E193" s="2"/>
      <c r="F193" s="3"/>
      <c r="G193" s="3">
        <f t="shared" si="49"/>
        <v>1.0647605845260162</v>
      </c>
      <c r="H193" s="22">
        <f t="shared" si="50"/>
        <v>1.1421704539411746</v>
      </c>
      <c r="I193" s="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1"/>
      <c r="W193" s="1"/>
    </row>
    <row r="194" spans="1:23" x14ac:dyDescent="0.3">
      <c r="A194" s="30">
        <v>47939</v>
      </c>
      <c r="B194" t="s">
        <v>12</v>
      </c>
      <c r="C194" s="2"/>
      <c r="D194" s="2"/>
      <c r="E194" s="2"/>
      <c r="F194" s="3"/>
      <c r="G194" s="3">
        <f t="shared" si="49"/>
        <v>0.83075218768571957</v>
      </c>
      <c r="H194" s="22">
        <f t="shared" si="50"/>
        <v>0.89114925656645383</v>
      </c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1"/>
      <c r="W194" s="1"/>
    </row>
    <row r="195" spans="1:23" x14ac:dyDescent="0.3">
      <c r="A195" s="30">
        <v>47969</v>
      </c>
      <c r="B195" t="s">
        <v>1</v>
      </c>
      <c r="C195" s="2"/>
      <c r="D195" s="2"/>
      <c r="E195" s="2"/>
      <c r="F195" s="3"/>
      <c r="G195" s="3">
        <f t="shared" si="49"/>
        <v>0.67789961505817886</v>
      </c>
      <c r="H195" s="22">
        <f t="shared" si="50"/>
        <v>0.72718404710878848</v>
      </c>
      <c r="I195" s="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1"/>
      <c r="W195" s="1"/>
    </row>
    <row r="196" spans="1:23" x14ac:dyDescent="0.3">
      <c r="A196" s="30">
        <v>48000</v>
      </c>
      <c r="B196" t="s">
        <v>2</v>
      </c>
      <c r="C196" s="2"/>
      <c r="D196" s="2"/>
      <c r="E196" s="2"/>
      <c r="F196" s="3"/>
      <c r="G196" s="3">
        <f t="shared" si="49"/>
        <v>0.62814845418723186</v>
      </c>
      <c r="H196" s="22">
        <f t="shared" si="50"/>
        <v>0.67381589390901009</v>
      </c>
      <c r="I196" s="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1"/>
      <c r="W196" s="1"/>
    </row>
    <row r="197" spans="1:23" x14ac:dyDescent="0.3">
      <c r="A197" s="30">
        <v>48030</v>
      </c>
      <c r="B197" t="s">
        <v>3</v>
      </c>
      <c r="C197" s="2"/>
      <c r="D197" s="2"/>
      <c r="E197" s="2"/>
      <c r="F197" s="3"/>
      <c r="G197" s="3">
        <f t="shared" si="49"/>
        <v>0.79799494697474493</v>
      </c>
      <c r="H197" s="22">
        <f t="shared" si="50"/>
        <v>0.85601050985057181</v>
      </c>
      <c r="I197" s="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1"/>
      <c r="W197" s="1"/>
    </row>
    <row r="198" spans="1:23" x14ac:dyDescent="0.3">
      <c r="A198" s="30">
        <v>48061</v>
      </c>
      <c r="B198" t="s">
        <v>8</v>
      </c>
      <c r="C198" s="2"/>
      <c r="D198" s="2"/>
      <c r="E198" s="2"/>
      <c r="F198" s="3"/>
      <c r="G198" s="3">
        <f t="shared" si="49"/>
        <v>0.70501359066224922</v>
      </c>
      <c r="H198" s="22">
        <f t="shared" si="50"/>
        <v>0.756269253937361</v>
      </c>
      <c r="I198" s="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1"/>
      <c r="W198" s="1"/>
    </row>
    <row r="199" spans="1:23" x14ac:dyDescent="0.3">
      <c r="A199" s="30">
        <v>48092</v>
      </c>
      <c r="B199" t="s">
        <v>9</v>
      </c>
      <c r="C199" s="2"/>
      <c r="D199" s="2"/>
      <c r="E199" s="2"/>
      <c r="F199" s="3"/>
      <c r="G199" s="3">
        <f t="shared" si="49"/>
        <v>0.76259311153409548</v>
      </c>
      <c r="H199" s="22">
        <f t="shared" si="50"/>
        <v>0.81803490195971706</v>
      </c>
      <c r="I199" s="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1"/>
      <c r="W199" s="1"/>
    </row>
    <row r="200" spans="1:23" x14ac:dyDescent="0.3">
      <c r="A200" s="30">
        <v>48122</v>
      </c>
      <c r="B200" t="s">
        <v>10</v>
      </c>
      <c r="C200" s="2"/>
      <c r="D200" s="2"/>
      <c r="E200" s="2"/>
      <c r="F200" s="3"/>
      <c r="G200" s="3">
        <f t="shared" si="49"/>
        <v>0.85409400720418838</v>
      </c>
      <c r="H200" s="22">
        <f t="shared" si="50"/>
        <v>0.91618806527394414</v>
      </c>
      <c r="I200" s="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1"/>
      <c r="W200" s="1"/>
    </row>
    <row r="201" spans="1:23" x14ac:dyDescent="0.3">
      <c r="A201" s="30">
        <v>48153</v>
      </c>
      <c r="B201" t="s">
        <v>11</v>
      </c>
      <c r="C201" s="2"/>
      <c r="D201" s="2"/>
      <c r="E201" s="2"/>
      <c r="F201" s="3"/>
      <c r="G201" s="3">
        <f t="shared" si="49"/>
        <v>1.0914809710132696</v>
      </c>
      <c r="H201" s="22">
        <f t="shared" si="50"/>
        <v>1.1708334570680377</v>
      </c>
      <c r="I201" s="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1"/>
      <c r="W201" s="1"/>
    </row>
    <row r="202" spans="1:23" x14ac:dyDescent="0.3">
      <c r="A202" s="30">
        <v>48183</v>
      </c>
      <c r="B202" t="s">
        <v>12</v>
      </c>
      <c r="C202" s="2"/>
      <c r="D202" s="2"/>
      <c r="E202" s="2"/>
      <c r="F202" s="3"/>
      <c r="G202" s="3">
        <f t="shared" si="49"/>
        <v>1.2975251978283802</v>
      </c>
      <c r="H202" s="22">
        <f t="shared" si="50"/>
        <v>1.3918574426414096</v>
      </c>
      <c r="I202" s="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1"/>
      <c r="W202" s="1"/>
    </row>
    <row r="203" spans="1:23" x14ac:dyDescent="0.3">
      <c r="A203" s="30">
        <v>48214</v>
      </c>
      <c r="B203" t="s">
        <v>1</v>
      </c>
      <c r="C203" s="2"/>
      <c r="D203" s="2"/>
      <c r="E203" s="2"/>
      <c r="F203" s="3"/>
      <c r="G203" s="3">
        <f t="shared" ref="G203:G212" si="51">X12</f>
        <v>1.4174493840710238</v>
      </c>
      <c r="H203" s="22">
        <f t="shared" ref="H203:H212" si="52">Y12</f>
        <v>1.5205003171334823</v>
      </c>
      <c r="I203" s="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1"/>
      <c r="W203" s="1"/>
    </row>
    <row r="204" spans="1:23" x14ac:dyDescent="0.3">
      <c r="A204" s="30">
        <v>48245</v>
      </c>
      <c r="B204" t="s">
        <v>2</v>
      </c>
      <c r="C204" s="2"/>
      <c r="D204" s="2"/>
      <c r="E204" s="2"/>
      <c r="F204" s="3"/>
      <c r="G204" s="3">
        <f t="shared" si="51"/>
        <v>1.0589956514401806</v>
      </c>
      <c r="H204" s="22">
        <f t="shared" si="52"/>
        <v>1.1359864006100491</v>
      </c>
      <c r="I204" s="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1"/>
      <c r="W204" s="1"/>
    </row>
    <row r="205" spans="1:23" x14ac:dyDescent="0.3">
      <c r="A205" s="30">
        <v>48274</v>
      </c>
      <c r="B205" t="s">
        <v>3</v>
      </c>
      <c r="C205" s="2"/>
      <c r="D205" s="2"/>
      <c r="E205" s="2"/>
      <c r="F205" s="3"/>
      <c r="G205" s="3">
        <f t="shared" si="51"/>
        <v>1.0647605845260162</v>
      </c>
      <c r="H205" s="22">
        <f t="shared" si="52"/>
        <v>1.1421704539411746</v>
      </c>
      <c r="I205" s="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3" x14ac:dyDescent="0.3">
      <c r="A206" s="30">
        <v>48305</v>
      </c>
      <c r="B206" t="s">
        <v>8</v>
      </c>
      <c r="C206" s="2"/>
      <c r="D206" s="2"/>
      <c r="E206" s="2"/>
      <c r="F206" s="3"/>
      <c r="G206" s="3">
        <f t="shared" si="51"/>
        <v>0.83075218768571957</v>
      </c>
      <c r="H206" s="22">
        <f t="shared" si="52"/>
        <v>0.89114925656645383</v>
      </c>
      <c r="I206" s="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3" x14ac:dyDescent="0.3">
      <c r="A207" s="30">
        <v>48335</v>
      </c>
      <c r="B207" t="s">
        <v>9</v>
      </c>
      <c r="C207" s="2"/>
      <c r="D207" s="2"/>
      <c r="E207" s="2"/>
      <c r="F207" s="3"/>
      <c r="G207" s="3">
        <f t="shared" si="51"/>
        <v>0.67789961505817886</v>
      </c>
      <c r="H207" s="22">
        <f t="shared" si="52"/>
        <v>0.72718404710878848</v>
      </c>
      <c r="I207" s="6"/>
    </row>
    <row r="208" spans="1:23" x14ac:dyDescent="0.3">
      <c r="A208" s="30">
        <v>48366</v>
      </c>
      <c r="B208" t="s">
        <v>10</v>
      </c>
      <c r="C208" s="2"/>
      <c r="D208" s="2"/>
      <c r="E208" s="2"/>
      <c r="F208" s="3"/>
      <c r="G208" s="3">
        <f t="shared" si="51"/>
        <v>0.62814845418723186</v>
      </c>
      <c r="H208" s="22">
        <f t="shared" si="52"/>
        <v>0.67381589390901009</v>
      </c>
      <c r="I208" s="6"/>
    </row>
    <row r="209" spans="1:9" x14ac:dyDescent="0.3">
      <c r="A209" s="30">
        <v>48396</v>
      </c>
      <c r="B209" t="s">
        <v>11</v>
      </c>
      <c r="C209" s="2"/>
      <c r="D209" s="2"/>
      <c r="E209" s="2"/>
      <c r="F209" s="3"/>
      <c r="G209" s="3">
        <f t="shared" si="51"/>
        <v>0.79799494697474493</v>
      </c>
      <c r="H209" s="22">
        <f t="shared" si="52"/>
        <v>0.85601050985057181</v>
      </c>
      <c r="I209" s="6"/>
    </row>
    <row r="210" spans="1:9" x14ac:dyDescent="0.3">
      <c r="A210" s="30">
        <v>48427</v>
      </c>
      <c r="B210" t="s">
        <v>12</v>
      </c>
      <c r="C210" s="2"/>
      <c r="D210" s="2"/>
      <c r="E210" s="2"/>
      <c r="F210" s="3"/>
      <c r="G210" s="3">
        <f t="shared" si="51"/>
        <v>0.70501359066224922</v>
      </c>
      <c r="H210" s="22">
        <f t="shared" si="52"/>
        <v>0.756269253937361</v>
      </c>
      <c r="I210" s="6"/>
    </row>
    <row r="211" spans="1:9" x14ac:dyDescent="0.3">
      <c r="A211" s="30">
        <v>48458</v>
      </c>
      <c r="B211" t="s">
        <v>1</v>
      </c>
      <c r="C211" s="2"/>
      <c r="D211" s="2"/>
      <c r="E211" s="2"/>
      <c r="F211" s="3"/>
      <c r="G211" s="3">
        <f t="shared" si="51"/>
        <v>0.76259311153409548</v>
      </c>
      <c r="H211" s="22">
        <f t="shared" si="52"/>
        <v>0.81803490195971706</v>
      </c>
      <c r="I211" s="6"/>
    </row>
    <row r="212" spans="1:9" x14ac:dyDescent="0.3">
      <c r="A212" s="30">
        <v>48488</v>
      </c>
      <c r="B212" t="s">
        <v>2</v>
      </c>
      <c r="C212" s="2"/>
      <c r="D212" s="2"/>
      <c r="E212" s="2"/>
      <c r="F212" s="3"/>
      <c r="G212" s="3">
        <f t="shared" si="51"/>
        <v>0.85409400720418838</v>
      </c>
      <c r="H212" s="22">
        <f t="shared" si="52"/>
        <v>0.91618806527394414</v>
      </c>
      <c r="I212" s="6"/>
    </row>
    <row r="213" spans="1:9" x14ac:dyDescent="0.3">
      <c r="C213" s="2"/>
      <c r="D213" s="2"/>
      <c r="E213" s="2"/>
      <c r="F213" s="3"/>
      <c r="G213" s="3"/>
    </row>
    <row r="214" spans="1:9" x14ac:dyDescent="0.3">
      <c r="C214" s="2"/>
      <c r="D214" s="2"/>
      <c r="E214" s="2"/>
      <c r="F214" s="3"/>
      <c r="G214" s="3"/>
    </row>
    <row r="215" spans="1:9" x14ac:dyDescent="0.3">
      <c r="F215" s="3"/>
      <c r="G215" s="3"/>
    </row>
    <row r="233" spans="6:8" x14ac:dyDescent="0.3">
      <c r="F233" s="3"/>
      <c r="G233" s="3"/>
    </row>
    <row r="234" spans="6:8" x14ac:dyDescent="0.3">
      <c r="F234" s="3"/>
      <c r="G234" s="3"/>
    </row>
    <row r="235" spans="6:8" ht="15" x14ac:dyDescent="0.3">
      <c r="F235" s="11"/>
      <c r="G235" s="11"/>
      <c r="H235" s="12"/>
    </row>
    <row r="236" spans="6:8" ht="15" x14ac:dyDescent="0.3">
      <c r="F236" s="11"/>
      <c r="G236" s="11"/>
      <c r="H236" s="12"/>
    </row>
    <row r="237" spans="6:8" ht="15" x14ac:dyDescent="0.3">
      <c r="F237" s="11"/>
      <c r="G237" s="11"/>
      <c r="H237" s="12"/>
    </row>
    <row r="238" spans="6:8" ht="15" x14ac:dyDescent="0.3">
      <c r="F238" s="11"/>
      <c r="G238" s="11"/>
      <c r="H238" s="12"/>
    </row>
    <row r="239" spans="6:8" ht="15" x14ac:dyDescent="0.3">
      <c r="F239" s="11"/>
      <c r="G239" s="11"/>
      <c r="H239" s="12"/>
    </row>
    <row r="240" spans="6:8" x14ac:dyDescent="0.3">
      <c r="F240" s="12"/>
      <c r="G240" s="12"/>
      <c r="H240" s="12"/>
    </row>
    <row r="241" spans="6:8" x14ac:dyDescent="0.3">
      <c r="F241" s="12"/>
      <c r="G241" s="12"/>
      <c r="H241" s="12"/>
    </row>
    <row r="242" spans="6:8" x14ac:dyDescent="0.3">
      <c r="F242" s="12"/>
      <c r="G242" s="12"/>
      <c r="H242" s="12"/>
    </row>
    <row r="243" spans="6:8" x14ac:dyDescent="0.3">
      <c r="F243" s="12"/>
      <c r="G243" s="12"/>
      <c r="H243" s="12"/>
    </row>
    <row r="244" spans="6:8" x14ac:dyDescent="0.3">
      <c r="F244" s="12"/>
      <c r="G244" s="12"/>
      <c r="H244" s="12"/>
    </row>
    <row r="245" spans="6:8" x14ac:dyDescent="0.3">
      <c r="F245" s="12"/>
      <c r="G245" s="12"/>
      <c r="H245" s="12"/>
    </row>
    <row r="246" spans="6:8" x14ac:dyDescent="0.3">
      <c r="F246" s="12"/>
      <c r="G246" s="12"/>
      <c r="H246" s="12"/>
    </row>
    <row r="247" spans="6:8" x14ac:dyDescent="0.3">
      <c r="F247" s="13"/>
      <c r="G247" s="13"/>
      <c r="H247" s="14"/>
    </row>
    <row r="248" spans="6:8" x14ac:dyDescent="0.3">
      <c r="F248" s="15"/>
      <c r="G248" s="15"/>
      <c r="H248" s="16"/>
    </row>
    <row r="249" spans="6:8" x14ac:dyDescent="0.3">
      <c r="F249" s="3"/>
      <c r="G249" s="3"/>
    </row>
    <row r="250" spans="6:8" x14ac:dyDescent="0.3">
      <c r="F250" s="3"/>
      <c r="G250" s="3"/>
    </row>
    <row r="251" spans="6:8" x14ac:dyDescent="0.3">
      <c r="F251" s="3"/>
      <c r="G251" s="3"/>
    </row>
    <row r="252" spans="6:8" x14ac:dyDescent="0.3">
      <c r="F252" s="3"/>
      <c r="G252" s="3"/>
    </row>
    <row r="253" spans="6:8" x14ac:dyDescent="0.3">
      <c r="F253" s="3"/>
      <c r="G253" s="3"/>
    </row>
    <row r="254" spans="6:8" x14ac:dyDescent="0.3">
      <c r="F254" s="3"/>
      <c r="G254" s="3"/>
    </row>
    <row r="255" spans="6:8" x14ac:dyDescent="0.3">
      <c r="F255" s="3"/>
      <c r="G255" s="3"/>
    </row>
    <row r="256" spans="6:8" x14ac:dyDescent="0.3">
      <c r="F256" s="3"/>
      <c r="G256" s="3"/>
    </row>
    <row r="257" spans="6:7" x14ac:dyDescent="0.3">
      <c r="F257" s="3"/>
      <c r="G257" s="3"/>
    </row>
    <row r="258" spans="6:7" x14ac:dyDescent="0.3">
      <c r="F258" s="3"/>
      <c r="G258" s="3"/>
    </row>
    <row r="259" spans="6:7" x14ac:dyDescent="0.3">
      <c r="F259" s="3"/>
      <c r="G259" s="3"/>
    </row>
    <row r="260" spans="6:7" x14ac:dyDescent="0.3">
      <c r="F260" s="3"/>
      <c r="G260" s="3"/>
    </row>
    <row r="261" spans="6:7" x14ac:dyDescent="0.3">
      <c r="F261" s="3"/>
      <c r="G261" s="3"/>
    </row>
    <row r="262" spans="6:7" x14ac:dyDescent="0.3">
      <c r="F262" s="3"/>
      <c r="G262" s="3"/>
    </row>
    <row r="263" spans="6:7" x14ac:dyDescent="0.3">
      <c r="F263" s="3"/>
      <c r="G263" s="3"/>
    </row>
    <row r="264" spans="6:7" x14ac:dyDescent="0.3">
      <c r="F264" s="3"/>
      <c r="G264" s="3"/>
    </row>
    <row r="265" spans="6:7" x14ac:dyDescent="0.3">
      <c r="F265" s="3"/>
      <c r="G265" s="3"/>
    </row>
    <row r="266" spans="6:7" x14ac:dyDescent="0.3">
      <c r="F266" s="3"/>
      <c r="G266" s="3"/>
    </row>
    <row r="267" spans="6:7" x14ac:dyDescent="0.3">
      <c r="F267" s="3"/>
      <c r="G267" s="3"/>
    </row>
    <row r="268" spans="6:7" x14ac:dyDescent="0.3">
      <c r="F268" s="3"/>
      <c r="G268" s="3"/>
    </row>
    <row r="269" spans="6:7" x14ac:dyDescent="0.3">
      <c r="F269" s="3"/>
      <c r="G269" s="3"/>
    </row>
    <row r="270" spans="6:7" x14ac:dyDescent="0.3">
      <c r="F270" s="3"/>
      <c r="G270" s="3"/>
    </row>
    <row r="271" spans="6:7" x14ac:dyDescent="0.3">
      <c r="F271" s="3"/>
      <c r="G271" s="3"/>
    </row>
    <row r="272" spans="6:7" x14ac:dyDescent="0.3">
      <c r="F272" s="3"/>
      <c r="G272" s="3"/>
    </row>
    <row r="273" spans="6:7" x14ac:dyDescent="0.3">
      <c r="F273" s="3"/>
      <c r="G273" s="3"/>
    </row>
    <row r="274" spans="6:7" x14ac:dyDescent="0.3">
      <c r="F274" s="3"/>
      <c r="G274" s="3"/>
    </row>
    <row r="275" spans="6:7" x14ac:dyDescent="0.3">
      <c r="F275" s="3"/>
      <c r="G275" s="3"/>
    </row>
    <row r="276" spans="6:7" x14ac:dyDescent="0.3">
      <c r="F276" s="3"/>
      <c r="G276" s="3"/>
    </row>
    <row r="277" spans="6:7" x14ac:dyDescent="0.3">
      <c r="F277" s="3"/>
      <c r="G277" s="3"/>
    </row>
    <row r="278" spans="6:7" x14ac:dyDescent="0.3">
      <c r="F278" s="3"/>
      <c r="G278" s="3"/>
    </row>
    <row r="279" spans="6:7" x14ac:dyDescent="0.3">
      <c r="F279" s="3"/>
      <c r="G279" s="3"/>
    </row>
  </sheetData>
  <phoneticPr fontId="2" type="noConversion"/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Data</vt:lpstr>
      <vt:lpstr>Cuadro comparativo</vt:lpstr>
      <vt:lpstr>Exponential Triple Smoothin FK</vt:lpstr>
      <vt:lpstr>Exponential Triple Smoothing OR</vt:lpstr>
      <vt:lpstr>Single Exponential Smoothing P.</vt:lpstr>
      <vt:lpstr>Single Exponential Smoothing</vt:lpstr>
      <vt:lpstr>Simple Linear Regression Predic</vt:lpstr>
      <vt:lpstr>Simple Linear Regression</vt:lpstr>
      <vt:lpstr>Decomposition</vt:lpstr>
      <vt:lpstr>Differencing</vt:lpstr>
      <vt:lpstr>No-Change Models</vt:lpstr>
      <vt:lpstr>Moving average models</vt:lpstr>
      <vt:lpstr>Data_sin_pandemia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jkester</dc:creator>
  <cp:lastModifiedBy>Santiago Ruiz</cp:lastModifiedBy>
  <cp:lastPrinted>2024-08-29T18:11:56Z</cp:lastPrinted>
  <dcterms:created xsi:type="dcterms:W3CDTF">2005-12-14T09:56:26Z</dcterms:created>
  <dcterms:modified xsi:type="dcterms:W3CDTF">2024-10-24T00:29:42Z</dcterms:modified>
</cp:coreProperties>
</file>