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mp;L Input" sheetId="1" r:id="rId4"/>
    <sheet state="visible" name="Balance Sheet Input" sheetId="2" r:id="rId5"/>
    <sheet state="visible" name="FCF" sheetId="3" r:id="rId6"/>
    <sheet state="visible" name="activos fijos" sheetId="4" r:id="rId7"/>
    <sheet state="visible" name="pasivo financiero" sheetId="5" r:id="rId8"/>
    <sheet state="visible" name="variacion en capital" sheetId="6" r:id="rId9"/>
  </sheets>
  <definedNames/>
  <calcPr/>
  <extLst>
    <ext uri="GoogleSheetsCustomDataVersion1">
      <go:sheetsCustomData xmlns:go="http://customooxmlschemas.google.com/" r:id="rId10" roundtripDataSignature="AMtx7miZYUzyUFt/w6qcs4HH4aRLoNsvTQ=="/>
    </ext>
  </extLst>
</workbook>
</file>

<file path=xl/sharedStrings.xml><?xml version="1.0" encoding="utf-8"?>
<sst xmlns="http://schemas.openxmlformats.org/spreadsheetml/2006/main" count="163" uniqueCount="140">
  <si>
    <t>P&amp;L Input</t>
  </si>
  <si>
    <t>Estado de Resultado</t>
  </si>
  <si>
    <t>(in thousands)</t>
  </si>
  <si>
    <t>2014
Act</t>
  </si>
  <si>
    <t>2015
Act</t>
  </si>
  <si>
    <t>2016
Act</t>
  </si>
  <si>
    <t>2017
Act</t>
  </si>
  <si>
    <t>2018
Act</t>
  </si>
  <si>
    <t>Automotive revenues</t>
  </si>
  <si>
    <t>escenario</t>
  </si>
  <si>
    <t>base</t>
  </si>
  <si>
    <t>Energy generation and storage</t>
  </si>
  <si>
    <t>Services and other</t>
  </si>
  <si>
    <t xml:space="preserve">Proyección </t>
  </si>
  <si>
    <t>Total revenues</t>
  </si>
  <si>
    <t>Automotive cost of revenues</t>
  </si>
  <si>
    <t>Revenues</t>
  </si>
  <si>
    <t>Energy generation and storage cost of revenues</t>
  </si>
  <si>
    <t>Cost of sales</t>
  </si>
  <si>
    <t>Services and other cost of revenues</t>
  </si>
  <si>
    <t>Gross profit</t>
  </si>
  <si>
    <t>Operating expenses</t>
  </si>
  <si>
    <t>Research and development</t>
  </si>
  <si>
    <t>EBIT</t>
  </si>
  <si>
    <t>Selling, general and administrative</t>
  </si>
  <si>
    <t>Interest expenses/income</t>
  </si>
  <si>
    <t>Restructuring and other</t>
  </si>
  <si>
    <t>EBT</t>
  </si>
  <si>
    <t>Taxes</t>
  </si>
  <si>
    <t>Interest income</t>
  </si>
  <si>
    <t>Minority interest</t>
  </si>
  <si>
    <t>Interest expense</t>
  </si>
  <si>
    <t>Net Income</t>
  </si>
  <si>
    <t>Other income (expense), net</t>
  </si>
  <si>
    <t>Provision for income taxes</t>
  </si>
  <si>
    <t>REVENUE</t>
  </si>
  <si>
    <t>Net loss incl. minority interests</t>
  </si>
  <si>
    <t>positivo</t>
  </si>
  <si>
    <t>Minority interests</t>
  </si>
  <si>
    <t>Net loss</t>
  </si>
  <si>
    <t>negativo</t>
  </si>
  <si>
    <t>COGS</t>
  </si>
  <si>
    <t>OPEX</t>
  </si>
  <si>
    <t>taxes</t>
  </si>
  <si>
    <t>Balance Sheet Input</t>
  </si>
  <si>
    <t xml:space="preserve">Estado de Balance  de Situación financiera </t>
  </si>
  <si>
    <t>31 Dec
2014</t>
  </si>
  <si>
    <t>31 Dec
2015</t>
  </si>
  <si>
    <t>31 Dec
2016</t>
  </si>
  <si>
    <t>31 Dec 
2017</t>
  </si>
  <si>
    <t xml:space="preserve"> 30 Jun
2018</t>
  </si>
  <si>
    <t>Cash and cash equivalents</t>
  </si>
  <si>
    <t>Restricted cash and marketable securities</t>
  </si>
  <si>
    <t>Accounts receivable, net</t>
  </si>
  <si>
    <t>Inventory</t>
  </si>
  <si>
    <t>Prepaid expenses and other current assets</t>
  </si>
  <si>
    <t>Trade Receivables</t>
  </si>
  <si>
    <t>Total current assets</t>
  </si>
  <si>
    <t>Operating lease vehicles, net</t>
  </si>
  <si>
    <t>PP&amp;E</t>
  </si>
  <si>
    <t>Solar energy systems, leased and to be leased, net</t>
  </si>
  <si>
    <t>Cash</t>
  </si>
  <si>
    <t>Property, plant and equipment, net</t>
  </si>
  <si>
    <t>Other assets</t>
  </si>
  <si>
    <t>Intangible assets, net</t>
  </si>
  <si>
    <t>Assets</t>
  </si>
  <si>
    <t>portion</t>
  </si>
  <si>
    <t>Trade Payables</t>
  </si>
  <si>
    <t>Restricted cash, net of current portion</t>
  </si>
  <si>
    <t>Provisions</t>
  </si>
  <si>
    <t>Financial Liabilities</t>
  </si>
  <si>
    <t>Total assets</t>
  </si>
  <si>
    <t>Other liabilities</t>
  </si>
  <si>
    <t>Accounts payable</t>
  </si>
  <si>
    <t>Liabilities</t>
  </si>
  <si>
    <t>Accrued liabilities</t>
  </si>
  <si>
    <t>Equity</t>
  </si>
  <si>
    <t>Deferred revenue</t>
  </si>
  <si>
    <t>Liabilities &amp; Equity</t>
  </si>
  <si>
    <t>Resale value guarantees</t>
  </si>
  <si>
    <t>Customer deposits</t>
  </si>
  <si>
    <t>CHECK</t>
  </si>
  <si>
    <t>Current portion of long-term debt and capital leases</t>
  </si>
  <si>
    <t>Current portion of solar bonds issued to related</t>
  </si>
  <si>
    <t>DSO</t>
  </si>
  <si>
    <t>parties</t>
  </si>
  <si>
    <t>DPO</t>
  </si>
  <si>
    <t>Total current liabilities</t>
  </si>
  <si>
    <t>DIO</t>
  </si>
  <si>
    <t>Long-term debt and capital leases, net of current</t>
  </si>
  <si>
    <t>Other assets %</t>
  </si>
  <si>
    <t>Other liabilities %</t>
  </si>
  <si>
    <t>Total liabilities</t>
  </si>
  <si>
    <t>Total stockholders' equity</t>
  </si>
  <si>
    <t>Noncontrolling interests in subsidiaries</t>
  </si>
  <si>
    <t>Total liabilities and equity</t>
  </si>
  <si>
    <t>Flujo de caja o Cashflow</t>
  </si>
  <si>
    <t>interest expenses</t>
  </si>
  <si>
    <t>change in trade receivable</t>
  </si>
  <si>
    <t>change in inventory</t>
  </si>
  <si>
    <t>change in trade payable</t>
  </si>
  <si>
    <t>change in other assets</t>
  </si>
  <si>
    <t>change in other liabilities</t>
  </si>
  <si>
    <t>capex</t>
  </si>
  <si>
    <t>operating cash flow</t>
  </si>
  <si>
    <t>dividends</t>
  </si>
  <si>
    <t>change in financial liabilites</t>
  </si>
  <si>
    <t>change in provisions</t>
  </si>
  <si>
    <t>change in equity</t>
  </si>
  <si>
    <t>net cash flow</t>
  </si>
  <si>
    <t>Activos análisis con el no corriente</t>
  </si>
  <si>
    <t>valor inicial PP&amp;E</t>
  </si>
  <si>
    <t>Capex</t>
  </si>
  <si>
    <t>valor final PP&amp;E</t>
  </si>
  <si>
    <t>Capex as a % del valor inicial PP&amp;E</t>
  </si>
  <si>
    <t>El Capex o Capital Expenditures lo que calcula son los gastos de capital o inversiones de capital se trata de los gastos que una empresa realiza para la incisión o mantenimiento de beneficios con el fin de invertir en el crecimiento de la compañía</t>
  </si>
  <si>
    <t xml:space="preserve">Mientras que el PP Y e es el Property, plant and equipment, net.  </t>
  </si>
  <si>
    <t>lo que se hizo fue que tanto de la reinvertido fue en la propiedad en las plantas en el equipo en el activo no corriente. Entonces se ve como la proyección el cálculo de los años que se tenían y después se proyecta para los siguientes 5 años</t>
  </si>
  <si>
    <t xml:space="preserve">Calculo Pasivos Financieros y Deuda </t>
  </si>
  <si>
    <t>valor inicial deuda</t>
  </si>
  <si>
    <t>new debt</t>
  </si>
  <si>
    <t>principal repayment</t>
  </si>
  <si>
    <t>valor final deuda</t>
  </si>
  <si>
    <t>Suponemos que la deuda restante a dic del 18 debe ser pagada en 10 años pagando un interes anual de 9% y calculamos una cuota</t>
  </si>
  <si>
    <t>plazo</t>
  </si>
  <si>
    <t>interes</t>
  </si>
  <si>
    <t>cuota</t>
  </si>
  <si>
    <t>Realizamos una tabla de amortizacion para saber cual es el valor a pagar en capital</t>
  </si>
  <si>
    <t>periodo</t>
  </si>
  <si>
    <t>intereses</t>
  </si>
  <si>
    <t>capital</t>
  </si>
  <si>
    <t>residual</t>
  </si>
  <si>
    <t>Lo que se hace aquí a sacar los resultados de pasivo del Balance de Situación para poder extraer así el cálculo de las posibles deudas Y en cuánto tiempo se podría llegar a cero. Por ende se crea la tabla de amortización mediante la fórmula del Wacc y del valor futuro</t>
  </si>
  <si>
    <t xml:space="preserve">Simulador </t>
  </si>
  <si>
    <t>valor inicial equity</t>
  </si>
  <si>
    <t>increase capital</t>
  </si>
  <si>
    <t xml:space="preserve"> &lt;&lt;&lt; Forzado</t>
  </si>
  <si>
    <t>net income (loss)</t>
  </si>
  <si>
    <t>valor final equity</t>
  </si>
  <si>
    <t>Aquí lo que se hizo fue forzar los resultados desequilibrados del Balance de situación en las proyecciones, para ver qué tipo de dinero tendría que poner la empresa en los pasivos o en el equipo para poder alcanzar el objetivo del Balance en los años que vienen de 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</si>
</sst>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 #,##0_);_(* \(#,##0\);_(* &quot;-&quot;?_);@_)"/>
    <numFmt numFmtId="165" formatCode="_(* #,##0_);_(* \(#,##0\);_(* &quot;-&quot;??_);_(@_)"/>
    <numFmt numFmtId="166" formatCode="_-&quot;$&quot;\ * #,##0_-;\-&quot;$&quot;\ * #,##0_-;_-&quot;$&quot;\ * &quot;-&quot;_-;_-@"/>
    <numFmt numFmtId="167" formatCode="#,##0.0_);\(#,##0.0\)"/>
    <numFmt numFmtId="168" formatCode="&quot;$&quot;\ #,##0;[Red]\-&quot;$&quot;\ #,##0"/>
    <numFmt numFmtId="169" formatCode="_-* #,##0.00_-;\-* #,##0.00_-;_-* &quot;-&quot;_-;_-@"/>
    <numFmt numFmtId="170" formatCode="&quot;$&quot;\ #,##0.00;[Red]\-&quot;$&quot;\ #,##0.00"/>
    <numFmt numFmtId="171" formatCode="0.0%"/>
  </numFmts>
  <fonts count="18">
    <font>
      <sz val="10.0"/>
      <color rgb="FF000000"/>
      <name val="Arial"/>
      <scheme val="minor"/>
    </font>
    <font>
      <sz val="10.0"/>
      <color theme="1"/>
      <name val="Arial"/>
    </font>
    <font>
      <b/>
      <sz val="12.0"/>
      <color rgb="FF002060"/>
      <name val="Arial"/>
    </font>
    <font>
      <sz val="18.0"/>
      <color theme="1"/>
      <name val="Times New Roman"/>
    </font>
    <font/>
    <font>
      <b/>
      <sz val="9.0"/>
      <color theme="1"/>
      <name val="Arial"/>
    </font>
    <font>
      <sz val="9.0"/>
      <color theme="1"/>
      <name val="Arial"/>
    </font>
    <font>
      <b/>
      <i/>
      <sz val="10.0"/>
      <color theme="1"/>
      <name val="Arial"/>
    </font>
    <font>
      <b/>
      <sz val="9.0"/>
      <color rgb="FFFF0000"/>
      <name val="Arial"/>
    </font>
    <font>
      <sz val="8.0"/>
      <color theme="1"/>
      <name val="Arial"/>
    </font>
    <font>
      <b/>
      <sz val="18.0"/>
      <color theme="1"/>
      <name val="Times New Roman"/>
    </font>
    <font>
      <color theme="1"/>
      <name val="Arial"/>
      <scheme val="minor"/>
    </font>
    <font>
      <b/>
      <sz val="10.0"/>
      <color theme="1"/>
      <name val="Arial"/>
    </font>
    <font>
      <b/>
      <color theme="1"/>
      <name val="Arial"/>
      <scheme val="minor"/>
    </font>
    <font>
      <color theme="1"/>
      <name val="Times New Roman"/>
    </font>
    <font>
      <b/>
      <i/>
      <color theme="1"/>
      <name val="Times New Roman"/>
    </font>
    <font>
      <i/>
      <sz val="18.0"/>
      <color theme="1"/>
      <name val="Times New Roman"/>
    </font>
    <font>
      <b/>
      <i/>
      <color theme="1"/>
      <name val="Arial"/>
      <scheme val="minor"/>
    </font>
  </fonts>
  <fills count="6">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4CCCC"/>
        <bgColor rgb="FFF4CCCC"/>
      </patternFill>
    </fill>
  </fills>
  <borders count="25">
    <border/>
    <border>
      <left/>
      <right/>
      <top/>
      <bottom/>
    </border>
    <border>
      <left/>
      <top/>
    </border>
    <border>
      <top/>
    </border>
    <border>
      <right/>
      <top/>
    </border>
    <border>
      <left/>
    </border>
    <border>
      <right/>
    </border>
    <border>
      <left/>
      <right/>
      <top/>
      <bottom style="thin">
        <color rgb="FF000000"/>
      </bottom>
    </border>
    <border>
      <left/>
      <bottom/>
    </border>
    <border>
      <bottom/>
    </border>
    <border>
      <right/>
      <bottom/>
    </border>
    <border>
      <left/>
      <top/>
      <bottom/>
    </border>
    <border>
      <top/>
      <bottom/>
    </border>
    <border>
      <right/>
      <top/>
      <bottom/>
    </border>
    <border>
      <left/>
      <right/>
      <top style="thin">
        <color rgb="FF000000"/>
      </top>
      <bottom/>
    </border>
    <border>
      <left/>
      <right/>
      <top style="thin">
        <color rgb="FF002060"/>
      </top>
      <bottom style="medium">
        <color rgb="FF002060"/>
      </bottom>
    </border>
    <border>
      <left/>
      <right/>
      <top style="thin">
        <color rgb="FF000000"/>
      </top>
      <bottom style="medium">
        <color rgb="FF000000"/>
      </bottom>
    </border>
    <border>
      <top style="thin">
        <color rgb="FF000000"/>
      </top>
      <bottom style="double">
        <color rgb="FF000000"/>
      </bottom>
    </border>
    <border>
      <left/>
      <top/>
      <bottom style="thin">
        <color rgb="FF000000"/>
      </bottom>
    </border>
    <border>
      <left style="medium">
        <color rgb="FF000000"/>
      </left>
      <right/>
      <top/>
      <bottom style="thin">
        <color rgb="FF000000"/>
      </bottom>
    </border>
    <border>
      <left style="thin">
        <color rgb="FF000000"/>
      </left>
      <right style="thin">
        <color rgb="FF000000"/>
      </right>
      <top style="thin">
        <color rgb="FF000000"/>
      </top>
      <bottom style="thin">
        <color rgb="FF000000"/>
      </bottom>
    </border>
    <border>
      <left style="medium">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top" wrapText="0"/>
    </xf>
    <xf borderId="1" fillId="2" fontId="1" numFmtId="0" xfId="0" applyAlignment="1" applyBorder="1" applyFill="1" applyFont="1">
      <alignment vertical="top"/>
    </xf>
    <xf borderId="1" fillId="2" fontId="2" numFmtId="0" xfId="0" applyAlignment="1" applyBorder="1" applyFont="1">
      <alignment vertical="top"/>
    </xf>
    <xf borderId="2" fillId="2" fontId="3" numFmtId="0" xfId="0" applyAlignment="1" applyBorder="1" applyFont="1">
      <alignment readingOrder="0" vertical="top"/>
    </xf>
    <xf borderId="3" fillId="0" fontId="4" numFmtId="0" xfId="0" applyAlignment="1" applyBorder="1" applyFont="1">
      <alignment vertical="top"/>
    </xf>
    <xf borderId="4" fillId="0" fontId="4" numFmtId="0" xfId="0" applyAlignment="1" applyBorder="1" applyFont="1">
      <alignment vertical="top"/>
    </xf>
    <xf borderId="5" fillId="0" fontId="4" numFmtId="0" xfId="0" applyAlignment="1" applyBorder="1" applyFont="1">
      <alignment vertical="top"/>
    </xf>
    <xf borderId="6" fillId="0" fontId="4" numFmtId="0" xfId="0" applyAlignment="1" applyBorder="1" applyFont="1">
      <alignment vertical="top"/>
    </xf>
    <xf borderId="7" fillId="2" fontId="5" numFmtId="0" xfId="0" applyAlignment="1" applyBorder="1" applyFont="1">
      <alignment vertical="bottom"/>
    </xf>
    <xf borderId="7" fillId="2" fontId="5" numFmtId="0" xfId="0" applyAlignment="1" applyBorder="1" applyFont="1">
      <alignment horizontal="right" shrinkToFit="0" vertical="top" wrapText="1"/>
    </xf>
    <xf borderId="8" fillId="0" fontId="4" numFmtId="0" xfId="0" applyAlignment="1" applyBorder="1" applyFont="1">
      <alignment vertical="top"/>
    </xf>
    <xf borderId="9" fillId="0" fontId="4" numFmtId="0" xfId="0" applyAlignment="1" applyBorder="1" applyFont="1">
      <alignment vertical="top"/>
    </xf>
    <xf borderId="10" fillId="0" fontId="4" numFmtId="0" xfId="0" applyAlignment="1" applyBorder="1" applyFont="1">
      <alignment vertical="top"/>
    </xf>
    <xf borderId="1" fillId="2" fontId="6" numFmtId="0" xfId="0" applyAlignment="1" applyBorder="1" applyFont="1">
      <alignment vertical="top"/>
    </xf>
    <xf borderId="1" fillId="2" fontId="6" numFmtId="164" xfId="0" applyAlignment="1" applyBorder="1" applyFont="1" applyNumberFormat="1">
      <alignment horizontal="right" vertical="top"/>
    </xf>
    <xf borderId="11" fillId="2" fontId="7" numFmtId="0" xfId="0" applyAlignment="1" applyBorder="1" applyFont="1">
      <alignment readingOrder="0" vertical="top"/>
    </xf>
    <xf borderId="12" fillId="0" fontId="4" numFmtId="0" xfId="0" applyAlignment="1" applyBorder="1" applyFont="1">
      <alignment vertical="top"/>
    </xf>
    <xf borderId="13" fillId="0" fontId="4" numFmtId="0" xfId="0" applyAlignment="1" applyBorder="1" applyFont="1">
      <alignment vertical="top"/>
    </xf>
    <xf borderId="14" fillId="2" fontId="5" numFmtId="0" xfId="0" applyAlignment="1" applyBorder="1" applyFont="1">
      <alignment vertical="top"/>
    </xf>
    <xf borderId="14" fillId="2" fontId="5" numFmtId="164" xfId="0" applyAlignment="1" applyBorder="1" applyFont="1" applyNumberFormat="1">
      <alignment horizontal="right" vertical="top"/>
    </xf>
    <xf borderId="1" fillId="2" fontId="1" numFmtId="0" xfId="0" applyAlignment="1" applyBorder="1" applyFont="1">
      <alignment vertical="bottom"/>
    </xf>
    <xf borderId="7" fillId="2" fontId="8" numFmtId="0" xfId="0" applyAlignment="1" applyBorder="1" applyFont="1">
      <alignment horizontal="right" shrinkToFit="0" vertical="top" wrapText="1"/>
    </xf>
    <xf borderId="1" fillId="2" fontId="6" numFmtId="0" xfId="0" applyAlignment="1" applyBorder="1" applyFont="1">
      <alignment vertical="bottom"/>
    </xf>
    <xf borderId="1" fillId="2" fontId="6" numFmtId="165" xfId="0" applyAlignment="1" applyBorder="1" applyFont="1" applyNumberFormat="1">
      <alignment vertical="bottom"/>
    </xf>
    <xf borderId="1" fillId="3" fontId="1" numFmtId="1" xfId="0" applyAlignment="1" applyBorder="1" applyFill="1" applyFont="1" applyNumberFormat="1">
      <alignment vertical="top"/>
    </xf>
    <xf borderId="14" fillId="2" fontId="5" numFmtId="0" xfId="0" applyAlignment="1" applyBorder="1" applyFont="1">
      <alignment vertical="bottom"/>
    </xf>
    <xf borderId="14" fillId="2" fontId="5" numFmtId="165" xfId="0" applyAlignment="1" applyBorder="1" applyFont="1" applyNumberFormat="1">
      <alignment vertical="bottom"/>
    </xf>
    <xf borderId="14" fillId="2" fontId="5" numFmtId="165" xfId="0" applyAlignment="1" applyBorder="1" applyFont="1" applyNumberFormat="1">
      <alignment vertical="top"/>
    </xf>
    <xf borderId="1" fillId="4" fontId="1" numFmtId="1" xfId="0" applyAlignment="1" applyBorder="1" applyFill="1" applyFont="1" applyNumberFormat="1">
      <alignment vertical="top"/>
    </xf>
    <xf borderId="15" fillId="2" fontId="5" numFmtId="0" xfId="0" applyAlignment="1" applyBorder="1" applyFont="1">
      <alignment vertical="bottom"/>
    </xf>
    <xf borderId="15" fillId="2" fontId="5" numFmtId="165" xfId="0" applyAlignment="1" applyBorder="1" applyFont="1" applyNumberFormat="1">
      <alignment vertical="bottom"/>
    </xf>
    <xf borderId="0" fillId="0" fontId="1" numFmtId="0" xfId="0" applyAlignment="1" applyFont="1">
      <alignment vertical="bottom"/>
    </xf>
    <xf borderId="1" fillId="3" fontId="1" numFmtId="9" xfId="0" applyAlignment="1" applyBorder="1" applyFont="1" applyNumberFormat="1">
      <alignment vertical="bottom"/>
    </xf>
    <xf borderId="0" fillId="0" fontId="1" numFmtId="9" xfId="0" applyAlignment="1" applyFont="1" applyNumberFormat="1">
      <alignment vertical="bottom"/>
    </xf>
    <xf borderId="16" fillId="2" fontId="5" numFmtId="0" xfId="0" applyAlignment="1" applyBorder="1" applyFont="1">
      <alignment vertical="top"/>
    </xf>
    <xf borderId="16" fillId="2" fontId="5" numFmtId="164" xfId="0" applyAlignment="1" applyBorder="1" applyFont="1" applyNumberFormat="1">
      <alignment horizontal="right" vertical="top"/>
    </xf>
    <xf borderId="0" fillId="0" fontId="1" numFmtId="9" xfId="0" applyAlignment="1" applyFont="1" applyNumberFormat="1">
      <alignment vertical="top"/>
    </xf>
    <xf borderId="7" fillId="2" fontId="5" numFmtId="0" xfId="0" applyAlignment="1" applyBorder="1" applyFont="1">
      <alignment horizontal="right" shrinkToFit="0" vertical="bottom" wrapText="1"/>
    </xf>
    <xf borderId="1" fillId="2" fontId="6" numFmtId="166" xfId="0" applyAlignment="1" applyBorder="1" applyFont="1" applyNumberFormat="1">
      <alignment vertical="top"/>
    </xf>
    <xf borderId="1" fillId="3" fontId="6" numFmtId="166" xfId="0" applyAlignment="1" applyBorder="1" applyFont="1" applyNumberFormat="1">
      <alignment vertical="top"/>
    </xf>
    <xf borderId="1" fillId="4" fontId="6" numFmtId="166" xfId="0" applyAlignment="1" applyBorder="1" applyFont="1" applyNumberFormat="1">
      <alignment vertical="top"/>
    </xf>
    <xf borderId="14" fillId="2" fontId="5" numFmtId="167" xfId="0" applyAlignment="1" applyBorder="1" applyFont="1" applyNumberFormat="1">
      <alignment vertical="bottom"/>
    </xf>
    <xf borderId="1" fillId="2" fontId="5" numFmtId="166" xfId="0" applyAlignment="1" applyBorder="1" applyFont="1" applyNumberFormat="1">
      <alignment vertical="top"/>
    </xf>
    <xf borderId="1" fillId="3" fontId="5" numFmtId="166" xfId="0" applyAlignment="1" applyBorder="1" applyFont="1" applyNumberFormat="1">
      <alignment vertical="top"/>
    </xf>
    <xf borderId="1" fillId="4" fontId="6" numFmtId="168" xfId="0" applyAlignment="1" applyBorder="1" applyFont="1" applyNumberFormat="1">
      <alignment vertical="top"/>
    </xf>
    <xf borderId="1" fillId="4" fontId="5" numFmtId="166" xfId="0" applyAlignment="1" applyBorder="1" applyFont="1" applyNumberFormat="1">
      <alignment vertical="top"/>
    </xf>
    <xf borderId="1" fillId="3" fontId="6" numFmtId="0" xfId="0" applyAlignment="1" applyBorder="1" applyFont="1">
      <alignment vertical="top"/>
    </xf>
    <xf borderId="1" fillId="3" fontId="9" numFmtId="167" xfId="0" applyAlignment="1" applyBorder="1" applyFont="1" applyNumberFormat="1">
      <alignment vertical="bottom"/>
    </xf>
    <xf borderId="1" fillId="3" fontId="6" numFmtId="169" xfId="0" applyAlignment="1" applyBorder="1" applyFont="1" applyNumberFormat="1">
      <alignment vertical="top"/>
    </xf>
    <xf borderId="1" fillId="3" fontId="1" numFmtId="9" xfId="0" applyAlignment="1" applyBorder="1" applyFont="1" applyNumberFormat="1">
      <alignment vertical="top"/>
    </xf>
    <xf borderId="1" fillId="2" fontId="5" numFmtId="0" xfId="0" applyAlignment="1" applyBorder="1" applyFont="1">
      <alignment vertical="top"/>
    </xf>
    <xf borderId="1" fillId="2" fontId="5" numFmtId="164" xfId="0" applyAlignment="1" applyBorder="1" applyFont="1" applyNumberFormat="1">
      <alignment horizontal="right" vertical="top"/>
    </xf>
    <xf borderId="1" fillId="2" fontId="6" numFmtId="165" xfId="0" applyAlignment="1" applyBorder="1" applyFont="1" applyNumberFormat="1">
      <alignment vertical="top"/>
    </xf>
    <xf borderId="0" fillId="0" fontId="10" numFmtId="0" xfId="0" applyAlignment="1" applyFont="1">
      <alignment readingOrder="0" vertical="top"/>
    </xf>
    <xf borderId="2" fillId="2" fontId="7" numFmtId="0" xfId="0" applyAlignment="1" applyBorder="1" applyFont="1">
      <alignment readingOrder="0" vertical="top"/>
    </xf>
    <xf borderId="0" fillId="0" fontId="11" numFmtId="0" xfId="0" applyAlignment="1" applyFont="1">
      <alignment readingOrder="0" vertical="top"/>
    </xf>
    <xf borderId="7" fillId="2" fontId="8" numFmtId="0" xfId="0" applyAlignment="1" applyBorder="1" applyFont="1">
      <alignment horizontal="center" shrinkToFit="0" vertical="center" wrapText="1"/>
    </xf>
    <xf borderId="0" fillId="0" fontId="1" numFmtId="166" xfId="0" applyAlignment="1" applyFont="1" applyNumberFormat="1">
      <alignment vertical="top"/>
    </xf>
    <xf borderId="1" fillId="3" fontId="1" numFmtId="166" xfId="0" applyAlignment="1" applyBorder="1" applyFont="1" applyNumberFormat="1">
      <alignment vertical="top"/>
    </xf>
    <xf borderId="1" fillId="4" fontId="1" numFmtId="170" xfId="0" applyAlignment="1" applyBorder="1" applyFont="1" applyNumberFormat="1">
      <alignment vertical="top"/>
    </xf>
    <xf borderId="1" fillId="4" fontId="1" numFmtId="166" xfId="0" applyAlignment="1" applyBorder="1" applyFont="1" applyNumberFormat="1">
      <alignment vertical="top"/>
    </xf>
    <xf borderId="17" fillId="0" fontId="12" numFmtId="0" xfId="0" applyAlignment="1" applyBorder="1" applyFont="1">
      <alignment vertical="bottom"/>
    </xf>
    <xf borderId="0" fillId="0" fontId="13" numFmtId="0" xfId="0" applyAlignment="1" applyFont="1">
      <alignment vertical="top"/>
    </xf>
    <xf borderId="0" fillId="0" fontId="12" numFmtId="166" xfId="0" applyAlignment="1" applyFont="1" applyNumberFormat="1">
      <alignment vertical="top"/>
    </xf>
    <xf borderId="1" fillId="3" fontId="12" numFmtId="166" xfId="0" applyAlignment="1" applyBorder="1" applyFont="1" applyNumberFormat="1">
      <alignment vertical="top"/>
    </xf>
    <xf borderId="0" fillId="0" fontId="10" numFmtId="0" xfId="0" applyAlignment="1" applyFont="1">
      <alignment horizontal="center" readingOrder="0" vertical="top"/>
    </xf>
    <xf borderId="0" fillId="0" fontId="14" numFmtId="0" xfId="0" applyAlignment="1" applyFont="1">
      <alignment horizontal="center" vertical="top"/>
    </xf>
    <xf borderId="0" fillId="0" fontId="15" numFmtId="0" xfId="0" applyAlignment="1" applyFont="1">
      <alignment horizontal="center" readingOrder="0" vertical="top"/>
    </xf>
    <xf borderId="18" fillId="2" fontId="5" numFmtId="0" xfId="0" applyAlignment="1" applyBorder="1" applyFont="1">
      <alignment horizontal="right" shrinkToFit="0" vertical="top" wrapText="1"/>
    </xf>
    <xf borderId="19" fillId="2" fontId="8" numFmtId="0" xfId="0" applyAlignment="1" applyBorder="1" applyFont="1">
      <alignment horizontal="right" shrinkToFit="0" vertical="top" wrapText="1"/>
    </xf>
    <xf borderId="20" fillId="0" fontId="1" numFmtId="0" xfId="0" applyAlignment="1" applyBorder="1" applyFont="1">
      <alignment vertical="bottom"/>
    </xf>
    <xf borderId="21" fillId="0" fontId="1" numFmtId="166" xfId="0" applyAlignment="1" applyBorder="1" applyFont="1" applyNumberFormat="1">
      <alignment vertical="top"/>
    </xf>
    <xf borderId="21" fillId="0" fontId="12" numFmtId="166" xfId="0" applyAlignment="1" applyBorder="1" applyFont="1" applyNumberFormat="1">
      <alignment vertical="top"/>
    </xf>
    <xf borderId="0" fillId="0" fontId="12" numFmtId="0" xfId="0" applyAlignment="1" applyFont="1">
      <alignment vertical="bottom"/>
    </xf>
    <xf borderId="0" fillId="4" fontId="1" numFmtId="9" xfId="0" applyAlignment="1" applyFont="1" applyNumberFormat="1">
      <alignment vertical="top"/>
    </xf>
    <xf borderId="0" fillId="0" fontId="11" numFmtId="0" xfId="0" applyAlignment="1" applyFont="1">
      <alignment readingOrder="0" shrinkToFit="0" vertical="top" wrapText="1"/>
    </xf>
    <xf borderId="0" fillId="0" fontId="3" numFmtId="0" xfId="0" applyAlignment="1" applyFont="1">
      <alignment readingOrder="0" vertical="top"/>
    </xf>
    <xf borderId="22" fillId="0" fontId="1" numFmtId="0" xfId="0" applyAlignment="1" applyBorder="1" applyFont="1">
      <alignment vertical="bottom"/>
    </xf>
    <xf borderId="23" fillId="0" fontId="1" numFmtId="0" xfId="0" applyAlignment="1" applyBorder="1" applyFont="1">
      <alignment vertical="bottom"/>
    </xf>
    <xf borderId="0" fillId="0" fontId="1" numFmtId="170" xfId="0" applyAlignment="1" applyFont="1" applyNumberFormat="1">
      <alignment vertical="top"/>
    </xf>
    <xf borderId="24" fillId="0" fontId="1" numFmtId="0" xfId="0" applyAlignment="1" applyBorder="1" applyFont="1">
      <alignment vertical="bottom"/>
    </xf>
    <xf borderId="0" fillId="0" fontId="1" numFmtId="0" xfId="0" applyAlignment="1" applyFont="1">
      <alignment readingOrder="0" vertical="bottom"/>
    </xf>
    <xf borderId="0" fillId="0" fontId="1" numFmtId="171" xfId="0" applyAlignment="1" applyFont="1" applyNumberFormat="1">
      <alignment vertical="bottom"/>
    </xf>
    <xf borderId="0" fillId="0" fontId="1" numFmtId="170" xfId="0" applyAlignment="1" applyFont="1" applyNumberFormat="1">
      <alignment vertical="bottom"/>
    </xf>
    <xf borderId="20" fillId="0" fontId="12" numFmtId="0" xfId="0" applyAlignment="1" applyBorder="1" applyFont="1">
      <alignment vertical="bottom"/>
    </xf>
    <xf borderId="20" fillId="4" fontId="1" numFmtId="170" xfId="0" applyAlignment="1" applyBorder="1" applyFont="1" applyNumberFormat="1">
      <alignment vertical="bottom"/>
    </xf>
    <xf borderId="20" fillId="0" fontId="1" numFmtId="170" xfId="0" applyAlignment="1" applyBorder="1" applyFont="1" applyNumberFormat="1">
      <alignment vertical="bottom"/>
    </xf>
    <xf borderId="20" fillId="5" fontId="1" numFmtId="170" xfId="0" applyAlignment="1" applyBorder="1" applyFill="1" applyFont="1" applyNumberFormat="1">
      <alignment vertical="bottom"/>
    </xf>
    <xf borderId="20" fillId="0" fontId="12" numFmtId="170" xfId="0" applyAlignment="1" applyBorder="1" applyFont="1" applyNumberFormat="1">
      <alignment vertical="bottom"/>
    </xf>
    <xf borderId="0" fillId="0" fontId="16" numFmtId="0" xfId="0" applyAlignment="1" applyFont="1">
      <alignment readingOrder="0" vertical="top"/>
    </xf>
    <xf borderId="0" fillId="4" fontId="1" numFmtId="166" xfId="0" applyAlignment="1" applyFont="1" applyNumberFormat="1">
      <alignment vertical="top"/>
    </xf>
    <xf borderId="0" fillId="4" fontId="1" numFmtId="166" xfId="0" applyAlignment="1" applyFont="1" applyNumberFormat="1">
      <alignment readingOrder="0" vertical="top"/>
    </xf>
    <xf borderId="0" fillId="0" fontId="17"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0"/>
    <col customWidth="1" min="3" max="5" width="11.38"/>
    <col customWidth="1" min="6" max="6" width="12.0"/>
    <col customWidth="1" min="7" max="7" width="11.38"/>
    <col customWidth="1" min="8" max="9" width="9.13"/>
    <col customWidth="1" min="10" max="10" width="22.38"/>
    <col customWidth="1" min="11" max="13" width="7.75"/>
    <col customWidth="1" min="14" max="14" width="8.13"/>
    <col customWidth="1" min="15" max="20" width="7.75"/>
    <col customWidth="1" min="21" max="26" width="9.13"/>
  </cols>
  <sheetData>
    <row r="1" ht="12.75" customHeight="1">
      <c r="A1" s="1"/>
      <c r="B1" s="2" t="s">
        <v>0</v>
      </c>
      <c r="C1" s="1"/>
      <c r="D1" s="1"/>
      <c r="E1" s="1"/>
      <c r="F1" s="1"/>
      <c r="G1" s="1"/>
      <c r="H1" s="1"/>
      <c r="I1" s="3" t="s">
        <v>1</v>
      </c>
      <c r="J1" s="4"/>
      <c r="K1" s="4"/>
      <c r="L1" s="4"/>
      <c r="M1" s="4"/>
      <c r="N1" s="4"/>
      <c r="O1" s="4"/>
      <c r="P1" s="4"/>
      <c r="Q1" s="4"/>
      <c r="R1" s="5"/>
      <c r="S1" s="1"/>
      <c r="T1" s="1"/>
      <c r="U1" s="1"/>
      <c r="V1" s="1"/>
      <c r="W1" s="1"/>
      <c r="X1" s="1"/>
      <c r="Y1" s="1"/>
      <c r="Z1" s="1"/>
    </row>
    <row r="2" ht="12.75" customHeight="1">
      <c r="A2" s="1"/>
      <c r="B2" s="1"/>
      <c r="C2" s="1"/>
      <c r="D2" s="1"/>
      <c r="E2" s="1"/>
      <c r="F2" s="1"/>
      <c r="G2" s="1"/>
      <c r="H2" s="1"/>
      <c r="I2" s="6"/>
      <c r="R2" s="7"/>
      <c r="S2" s="1"/>
      <c r="T2" s="1"/>
      <c r="U2" s="1"/>
      <c r="V2" s="1"/>
      <c r="W2" s="1"/>
      <c r="X2" s="1"/>
      <c r="Y2" s="1"/>
      <c r="Z2" s="1"/>
    </row>
    <row r="3" ht="12.75" customHeight="1">
      <c r="A3" s="1"/>
      <c r="B3" s="8" t="s">
        <v>2</v>
      </c>
      <c r="C3" s="9" t="s">
        <v>3</v>
      </c>
      <c r="D3" s="9" t="s">
        <v>4</v>
      </c>
      <c r="E3" s="9" t="s">
        <v>5</v>
      </c>
      <c r="F3" s="9" t="s">
        <v>6</v>
      </c>
      <c r="G3" s="9" t="s">
        <v>7</v>
      </c>
      <c r="H3" s="1"/>
      <c r="I3" s="10"/>
      <c r="J3" s="11"/>
      <c r="K3" s="11"/>
      <c r="L3" s="11"/>
      <c r="M3" s="11"/>
      <c r="N3" s="11"/>
      <c r="O3" s="11"/>
      <c r="P3" s="11"/>
      <c r="Q3" s="11"/>
      <c r="R3" s="12"/>
      <c r="S3" s="1"/>
      <c r="T3" s="1"/>
      <c r="U3" s="1"/>
      <c r="V3" s="1"/>
      <c r="W3" s="1"/>
      <c r="X3" s="1"/>
      <c r="Y3" s="1"/>
      <c r="Z3" s="1"/>
    </row>
    <row r="4" ht="12.75" customHeight="1">
      <c r="A4" s="1"/>
      <c r="B4" s="13" t="s">
        <v>8</v>
      </c>
      <c r="C4" s="14">
        <v>3007012.0</v>
      </c>
      <c r="D4" s="14">
        <v>3740973.0</v>
      </c>
      <c r="E4" s="14">
        <v>6350766.0</v>
      </c>
      <c r="F4" s="14">
        <v>9641300.0</v>
      </c>
      <c r="G4" s="14">
        <v>6092998.0</v>
      </c>
      <c r="H4" s="1"/>
      <c r="I4" s="1"/>
      <c r="J4" s="1" t="s">
        <v>9</v>
      </c>
      <c r="K4" s="1" t="s">
        <v>10</v>
      </c>
      <c r="L4" s="1"/>
      <c r="M4" s="1"/>
      <c r="N4" s="1"/>
      <c r="O4" s="1"/>
      <c r="P4" s="1"/>
      <c r="Q4" s="1"/>
      <c r="R4" s="1"/>
      <c r="S4" s="1"/>
      <c r="T4" s="1"/>
      <c r="U4" s="1"/>
      <c r="V4" s="1"/>
      <c r="W4" s="1"/>
      <c r="X4" s="1"/>
      <c r="Y4" s="1"/>
      <c r="Z4" s="1"/>
    </row>
    <row r="5" ht="12.75" customHeight="1">
      <c r="A5" s="1"/>
      <c r="B5" s="13" t="s">
        <v>11</v>
      </c>
      <c r="C5" s="14">
        <v>4208.0</v>
      </c>
      <c r="D5" s="14">
        <v>14477.0</v>
      </c>
      <c r="E5" s="14">
        <v>181394.0</v>
      </c>
      <c r="F5" s="14">
        <v>1116266.0</v>
      </c>
      <c r="G5" s="14">
        <v>784430.0</v>
      </c>
      <c r="H5" s="1"/>
      <c r="I5" s="1"/>
      <c r="J5" s="1"/>
      <c r="K5" s="1"/>
      <c r="L5" s="1"/>
      <c r="M5" s="1"/>
      <c r="N5" s="1"/>
      <c r="O5" s="1"/>
      <c r="P5" s="1"/>
      <c r="Q5" s="1"/>
      <c r="R5" s="1"/>
      <c r="S5" s="1"/>
      <c r="T5" s="1"/>
      <c r="U5" s="1"/>
      <c r="V5" s="1"/>
      <c r="W5" s="1"/>
      <c r="X5" s="1"/>
      <c r="Y5" s="1"/>
      <c r="Z5" s="1"/>
    </row>
    <row r="6" ht="12.75" customHeight="1">
      <c r="A6" s="1"/>
      <c r="B6" s="13" t="s">
        <v>12</v>
      </c>
      <c r="C6" s="14">
        <v>187136.0</v>
      </c>
      <c r="D6" s="14">
        <v>290575.0</v>
      </c>
      <c r="E6" s="14">
        <v>467972.0</v>
      </c>
      <c r="F6" s="14">
        <v>1001185.0</v>
      </c>
      <c r="G6" s="14">
        <v>533554.0</v>
      </c>
      <c r="H6" s="1"/>
      <c r="I6" s="1"/>
      <c r="J6" s="1"/>
      <c r="K6" s="1"/>
      <c r="L6" s="1"/>
      <c r="M6" s="1"/>
      <c r="N6" s="1"/>
      <c r="O6" s="1"/>
      <c r="P6" s="15" t="s">
        <v>13</v>
      </c>
      <c r="Q6" s="16"/>
      <c r="R6" s="16"/>
      <c r="S6" s="16"/>
      <c r="T6" s="17"/>
      <c r="U6" s="1"/>
      <c r="V6" s="1"/>
      <c r="W6" s="1"/>
      <c r="X6" s="1"/>
      <c r="Y6" s="1"/>
      <c r="Z6" s="1"/>
    </row>
    <row r="7" ht="12.75" customHeight="1">
      <c r="A7" s="1"/>
      <c r="B7" s="18" t="s">
        <v>14</v>
      </c>
      <c r="C7" s="19">
        <f t="shared" ref="C7:G7" si="1">SUM(C4:C6)</f>
        <v>3198356</v>
      </c>
      <c r="D7" s="19">
        <f t="shared" si="1"/>
        <v>4046025</v>
      </c>
      <c r="E7" s="19">
        <f t="shared" si="1"/>
        <v>7000132</v>
      </c>
      <c r="F7" s="19">
        <f t="shared" si="1"/>
        <v>11758751</v>
      </c>
      <c r="G7" s="19">
        <f t="shared" si="1"/>
        <v>7410982</v>
      </c>
      <c r="H7" s="1"/>
      <c r="I7" s="20"/>
      <c r="J7" s="8"/>
      <c r="K7" s="9">
        <v>2014.0</v>
      </c>
      <c r="L7" s="9">
        <v>2015.0</v>
      </c>
      <c r="M7" s="9">
        <v>2016.0</v>
      </c>
      <c r="N7" s="9">
        <v>2017.0</v>
      </c>
      <c r="O7" s="9">
        <v>2018.0</v>
      </c>
      <c r="P7" s="21">
        <v>2019.0</v>
      </c>
      <c r="Q7" s="21">
        <v>2020.0</v>
      </c>
      <c r="R7" s="21">
        <v>2021.0</v>
      </c>
      <c r="S7" s="21">
        <v>2022.0</v>
      </c>
      <c r="T7" s="21">
        <v>2023.0</v>
      </c>
      <c r="U7" s="1"/>
      <c r="V7" s="1"/>
      <c r="W7" s="1"/>
      <c r="X7" s="1"/>
      <c r="Y7" s="1"/>
      <c r="Z7" s="1"/>
    </row>
    <row r="8" ht="12.75" customHeight="1">
      <c r="A8" s="1"/>
      <c r="B8" s="13" t="s">
        <v>15</v>
      </c>
      <c r="C8" s="14">
        <v>-2145749.0</v>
      </c>
      <c r="D8" s="14">
        <v>-2823302.0</v>
      </c>
      <c r="E8" s="14">
        <v>-4750081.0</v>
      </c>
      <c r="F8" s="14">
        <v>-7432704.0</v>
      </c>
      <c r="G8" s="14">
        <v>-4862547.0</v>
      </c>
      <c r="H8" s="1"/>
      <c r="I8" s="20"/>
      <c r="J8" s="22" t="s">
        <v>16</v>
      </c>
      <c r="K8" s="23">
        <f t="shared" ref="K8:O8" si="2">+C7/1000</f>
        <v>3198.356</v>
      </c>
      <c r="L8" s="23">
        <f t="shared" si="2"/>
        <v>4046.025</v>
      </c>
      <c r="M8" s="23">
        <f t="shared" si="2"/>
        <v>7000.132</v>
      </c>
      <c r="N8" s="23">
        <f t="shared" si="2"/>
        <v>11758.751</v>
      </c>
      <c r="O8" s="23">
        <f t="shared" si="2"/>
        <v>7410.982</v>
      </c>
      <c r="P8" s="24">
        <f t="shared" ref="P8:T8" si="3">+O8*(1+P20)</f>
        <v>7559.20164</v>
      </c>
      <c r="Q8" s="24">
        <f t="shared" si="3"/>
        <v>7710.385673</v>
      </c>
      <c r="R8" s="24">
        <f t="shared" si="3"/>
        <v>7864.593386</v>
      </c>
      <c r="S8" s="24">
        <f t="shared" si="3"/>
        <v>8021.885254</v>
      </c>
      <c r="T8" s="24">
        <f t="shared" si="3"/>
        <v>8182.322959</v>
      </c>
      <c r="U8" s="1"/>
      <c r="V8" s="1"/>
      <c r="W8" s="1"/>
      <c r="X8" s="1"/>
      <c r="Y8" s="1"/>
      <c r="Z8" s="1"/>
    </row>
    <row r="9" ht="12.75" customHeight="1">
      <c r="A9" s="1"/>
      <c r="B9" s="13" t="s">
        <v>17</v>
      </c>
      <c r="C9" s="14">
        <v>-4005.0</v>
      </c>
      <c r="D9" s="14">
        <v>-12287.0</v>
      </c>
      <c r="E9" s="14">
        <v>-178332.0</v>
      </c>
      <c r="F9" s="14">
        <v>-874538.0</v>
      </c>
      <c r="G9" s="14">
        <v>-705636.0</v>
      </c>
      <c r="H9" s="1"/>
      <c r="I9" s="20"/>
      <c r="J9" s="22" t="s">
        <v>18</v>
      </c>
      <c r="K9" s="23">
        <f t="shared" ref="K9:O9" si="4">+SUM(C8:C10)/1000</f>
        <v>-2316.685</v>
      </c>
      <c r="L9" s="23">
        <f t="shared" si="4"/>
        <v>-3122.522</v>
      </c>
      <c r="M9" s="23">
        <f t="shared" si="4"/>
        <v>-5400.875</v>
      </c>
      <c r="N9" s="23">
        <f t="shared" si="4"/>
        <v>-9536.264</v>
      </c>
      <c r="O9" s="23">
        <f t="shared" si="4"/>
        <v>-6335.526</v>
      </c>
      <c r="P9" s="24">
        <f t="shared" ref="P9:T9" si="5">-P8*P25</f>
        <v>-5971.769296</v>
      </c>
      <c r="Q9" s="24">
        <f t="shared" si="5"/>
        <v>-6091.204682</v>
      </c>
      <c r="R9" s="24">
        <f t="shared" si="5"/>
        <v>-6213.028775</v>
      </c>
      <c r="S9" s="24">
        <f t="shared" si="5"/>
        <v>-6337.289351</v>
      </c>
      <c r="T9" s="24">
        <f t="shared" si="5"/>
        <v>-6464.035138</v>
      </c>
      <c r="U9" s="1"/>
      <c r="V9" s="1"/>
      <c r="W9" s="1"/>
      <c r="X9" s="1"/>
      <c r="Y9" s="1"/>
      <c r="Z9" s="1"/>
    </row>
    <row r="10" ht="12.75" customHeight="1">
      <c r="A10" s="1"/>
      <c r="B10" s="13" t="s">
        <v>19</v>
      </c>
      <c r="C10" s="14">
        <v>-166931.0</v>
      </c>
      <c r="D10" s="14">
        <v>-286933.0</v>
      </c>
      <c r="E10" s="14">
        <v>-472462.0</v>
      </c>
      <c r="F10" s="14">
        <v>-1229022.0</v>
      </c>
      <c r="G10" s="14">
        <v>-767343.0</v>
      </c>
      <c r="H10" s="1"/>
      <c r="I10" s="20"/>
      <c r="J10" s="25" t="s">
        <v>20</v>
      </c>
      <c r="K10" s="26">
        <f t="shared" ref="K10:T10" si="6">SUM(K8:K9)</f>
        <v>881.671</v>
      </c>
      <c r="L10" s="26">
        <f t="shared" si="6"/>
        <v>923.503</v>
      </c>
      <c r="M10" s="26">
        <f t="shared" si="6"/>
        <v>1599.257</v>
      </c>
      <c r="N10" s="26">
        <f t="shared" si="6"/>
        <v>2222.487</v>
      </c>
      <c r="O10" s="27">
        <f t="shared" si="6"/>
        <v>1075.456</v>
      </c>
      <c r="P10" s="27">
        <f t="shared" si="6"/>
        <v>1587.432344</v>
      </c>
      <c r="Q10" s="27">
        <f t="shared" si="6"/>
        <v>1619.180991</v>
      </c>
      <c r="R10" s="27">
        <f t="shared" si="6"/>
        <v>1651.564611</v>
      </c>
      <c r="S10" s="27">
        <f t="shared" si="6"/>
        <v>1684.595903</v>
      </c>
      <c r="T10" s="27">
        <f t="shared" si="6"/>
        <v>1718.287821</v>
      </c>
      <c r="U10" s="1"/>
      <c r="V10" s="1"/>
      <c r="W10" s="1"/>
      <c r="X10" s="1"/>
      <c r="Y10" s="1"/>
      <c r="Z10" s="1"/>
    </row>
    <row r="11" ht="12.75" customHeight="1">
      <c r="A11" s="1"/>
      <c r="B11" s="18" t="s">
        <v>20</v>
      </c>
      <c r="C11" s="19">
        <f t="shared" ref="C11:G11" si="7">SUM(C7:C10)</f>
        <v>881671</v>
      </c>
      <c r="D11" s="19">
        <f t="shared" si="7"/>
        <v>923503</v>
      </c>
      <c r="E11" s="19">
        <f t="shared" si="7"/>
        <v>1599257</v>
      </c>
      <c r="F11" s="19">
        <f t="shared" si="7"/>
        <v>2222487</v>
      </c>
      <c r="G11" s="19">
        <f t="shared" si="7"/>
        <v>1075456</v>
      </c>
      <c r="H11" s="1"/>
      <c r="I11" s="20"/>
      <c r="J11" s="22" t="s">
        <v>21</v>
      </c>
      <c r="K11" s="23">
        <f t="shared" ref="K11:O11" si="8">+SUM(C12:C14)/1000</f>
        <v>-1068.36</v>
      </c>
      <c r="L11" s="23">
        <f t="shared" si="8"/>
        <v>-1640.132</v>
      </c>
      <c r="M11" s="23">
        <f t="shared" si="8"/>
        <v>-2266.597</v>
      </c>
      <c r="N11" s="23">
        <f t="shared" si="8"/>
        <v>-3854.573</v>
      </c>
      <c r="O11" s="23">
        <f t="shared" si="8"/>
        <v>-2293.822</v>
      </c>
      <c r="P11" s="24">
        <f t="shared" ref="P11:T11" si="9">-P8*P30</f>
        <v>-2570.128558</v>
      </c>
      <c r="Q11" s="24">
        <f t="shared" si="9"/>
        <v>-2621.531129</v>
      </c>
      <c r="R11" s="24">
        <f t="shared" si="9"/>
        <v>-2673.961751</v>
      </c>
      <c r="S11" s="24">
        <f t="shared" si="9"/>
        <v>-2727.440986</v>
      </c>
      <c r="T11" s="24">
        <f t="shared" si="9"/>
        <v>-2781.989806</v>
      </c>
      <c r="U11" s="1"/>
      <c r="V11" s="1"/>
      <c r="W11" s="1"/>
      <c r="X11" s="1"/>
      <c r="Y11" s="1"/>
      <c r="Z11" s="1"/>
    </row>
    <row r="12" ht="12.75" customHeight="1">
      <c r="A12" s="1"/>
      <c r="B12" s="13" t="s">
        <v>22</v>
      </c>
      <c r="C12" s="14">
        <v>-464700.0</v>
      </c>
      <c r="D12" s="14">
        <v>-717900.0</v>
      </c>
      <c r="E12" s="14">
        <v>-834408.0</v>
      </c>
      <c r="F12" s="14">
        <v>-1378073.0</v>
      </c>
      <c r="G12" s="14">
        <v>-753225.0</v>
      </c>
      <c r="H12" s="1"/>
      <c r="I12" s="20"/>
      <c r="J12" s="25" t="s">
        <v>23</v>
      </c>
      <c r="K12" s="26">
        <f t="shared" ref="K12:T12" si="10">SUM(K10:K11)</f>
        <v>-186.689</v>
      </c>
      <c r="L12" s="26">
        <f t="shared" si="10"/>
        <v>-716.629</v>
      </c>
      <c r="M12" s="26">
        <f t="shared" si="10"/>
        <v>-667.34</v>
      </c>
      <c r="N12" s="26">
        <f t="shared" si="10"/>
        <v>-1632.086</v>
      </c>
      <c r="O12" s="27">
        <f t="shared" si="10"/>
        <v>-1218.366</v>
      </c>
      <c r="P12" s="27">
        <f t="shared" si="10"/>
        <v>-982.6962132</v>
      </c>
      <c r="Q12" s="27">
        <f t="shared" si="10"/>
        <v>-1002.350137</v>
      </c>
      <c r="R12" s="27">
        <f t="shared" si="10"/>
        <v>-1022.39714</v>
      </c>
      <c r="S12" s="27">
        <f t="shared" si="10"/>
        <v>-1042.845083</v>
      </c>
      <c r="T12" s="27">
        <f t="shared" si="10"/>
        <v>-1063.701985</v>
      </c>
      <c r="U12" s="1"/>
      <c r="V12" s="1"/>
      <c r="W12" s="1"/>
      <c r="X12" s="1"/>
      <c r="Y12" s="1"/>
      <c r="Z12" s="1"/>
    </row>
    <row r="13" ht="12.75" customHeight="1">
      <c r="A13" s="1"/>
      <c r="B13" s="13" t="s">
        <v>24</v>
      </c>
      <c r="C13" s="14">
        <v>-603660.0</v>
      </c>
      <c r="D13" s="14">
        <v>-922232.0</v>
      </c>
      <c r="E13" s="14">
        <v>-1432189.0</v>
      </c>
      <c r="F13" s="14">
        <v>-2476500.0</v>
      </c>
      <c r="G13" s="14">
        <v>-1437163.0</v>
      </c>
      <c r="H13" s="1"/>
      <c r="I13" s="20"/>
      <c r="J13" s="22" t="s">
        <v>25</v>
      </c>
      <c r="K13" s="23">
        <f t="shared" ref="K13:O13" si="11">+SUM(C16:C18)/1000</f>
        <v>-97.947</v>
      </c>
      <c r="L13" s="23">
        <f t="shared" si="11"/>
        <v>-158.995</v>
      </c>
      <c r="M13" s="23">
        <f t="shared" si="11"/>
        <v>-79.008</v>
      </c>
      <c r="N13" s="23">
        <f t="shared" si="11"/>
        <v>-576.946</v>
      </c>
      <c r="O13" s="23">
        <f t="shared" si="11"/>
        <v>-289.655</v>
      </c>
      <c r="P13" s="28">
        <f>+'pasivo financiero'!C19</f>
        <v>-348.49725</v>
      </c>
      <c r="Q13" s="28">
        <f>+'pasivo financiero'!D19</f>
        <v>-335.5276782</v>
      </c>
      <c r="R13" s="28">
        <f>+'pasivo financiero'!E19</f>
        <v>-322.1690193</v>
      </c>
      <c r="S13" s="28">
        <f>+'pasivo financiero'!F19</f>
        <v>-308.4096007</v>
      </c>
      <c r="T13" s="28">
        <f>+'pasivo financiero'!G19</f>
        <v>-294.2373994</v>
      </c>
      <c r="U13" s="1"/>
      <c r="V13" s="1"/>
      <c r="W13" s="1"/>
      <c r="X13" s="1"/>
      <c r="Y13" s="1"/>
      <c r="Z13" s="1"/>
    </row>
    <row r="14" ht="12.75" customHeight="1">
      <c r="A14" s="1"/>
      <c r="B14" s="13" t="s">
        <v>26</v>
      </c>
      <c r="C14" s="14"/>
      <c r="D14" s="14"/>
      <c r="E14" s="14"/>
      <c r="F14" s="14"/>
      <c r="G14" s="14">
        <v>-103434.0</v>
      </c>
      <c r="H14" s="1"/>
      <c r="I14" s="20"/>
      <c r="J14" s="25" t="s">
        <v>27</v>
      </c>
      <c r="K14" s="26">
        <f t="shared" ref="K14:T14" si="12">SUM(K12:K13)</f>
        <v>-284.636</v>
      </c>
      <c r="L14" s="26">
        <f t="shared" si="12"/>
        <v>-875.624</v>
      </c>
      <c r="M14" s="26">
        <f t="shared" si="12"/>
        <v>-746.348</v>
      </c>
      <c r="N14" s="26">
        <f t="shared" si="12"/>
        <v>-2209.032</v>
      </c>
      <c r="O14" s="26">
        <f t="shared" si="12"/>
        <v>-1508.021</v>
      </c>
      <c r="P14" s="26">
        <f t="shared" si="12"/>
        <v>-1331.193463</v>
      </c>
      <c r="Q14" s="26">
        <f t="shared" si="12"/>
        <v>-1337.877816</v>
      </c>
      <c r="R14" s="26">
        <f t="shared" si="12"/>
        <v>-1344.56616</v>
      </c>
      <c r="S14" s="26">
        <f t="shared" si="12"/>
        <v>-1351.254684</v>
      </c>
      <c r="T14" s="26">
        <f t="shared" si="12"/>
        <v>-1357.939384</v>
      </c>
      <c r="U14" s="1"/>
      <c r="V14" s="1"/>
      <c r="W14" s="1"/>
      <c r="X14" s="1"/>
      <c r="Y14" s="1"/>
      <c r="Z14" s="1"/>
    </row>
    <row r="15" ht="12.75" customHeight="1">
      <c r="A15" s="1"/>
      <c r="B15" s="18" t="s">
        <v>23</v>
      </c>
      <c r="C15" s="19">
        <f t="shared" ref="C15:G15" si="13">SUM(C11:C14)</f>
        <v>-186689</v>
      </c>
      <c r="D15" s="19">
        <f t="shared" si="13"/>
        <v>-716629</v>
      </c>
      <c r="E15" s="19">
        <f t="shared" si="13"/>
        <v>-667340</v>
      </c>
      <c r="F15" s="19">
        <f t="shared" si="13"/>
        <v>-1632086</v>
      </c>
      <c r="G15" s="19">
        <f t="shared" si="13"/>
        <v>-1218366</v>
      </c>
      <c r="H15" s="1"/>
      <c r="I15" s="20"/>
      <c r="J15" s="22" t="s">
        <v>28</v>
      </c>
      <c r="K15" s="23">
        <f t="shared" ref="K15:O15" si="14">+C20/1000</f>
        <v>-9.404</v>
      </c>
      <c r="L15" s="23">
        <f t="shared" si="14"/>
        <v>-13.039</v>
      </c>
      <c r="M15" s="23">
        <f t="shared" si="14"/>
        <v>-26.698</v>
      </c>
      <c r="N15" s="23">
        <f t="shared" si="14"/>
        <v>-31.546</v>
      </c>
      <c r="O15" s="23">
        <f t="shared" si="14"/>
        <v>-19.312</v>
      </c>
      <c r="P15" s="24">
        <f t="shared" ref="P15:T15" si="15">+P35*P14</f>
        <v>-133.1193463</v>
      </c>
      <c r="Q15" s="24">
        <f t="shared" si="15"/>
        <v>-133.7877816</v>
      </c>
      <c r="R15" s="24">
        <f t="shared" si="15"/>
        <v>-134.456616</v>
      </c>
      <c r="S15" s="24">
        <f t="shared" si="15"/>
        <v>-135.1254684</v>
      </c>
      <c r="T15" s="24">
        <f t="shared" si="15"/>
        <v>-135.7939384</v>
      </c>
      <c r="U15" s="1"/>
      <c r="V15" s="1"/>
      <c r="W15" s="1"/>
      <c r="X15" s="1"/>
      <c r="Y15" s="1"/>
      <c r="Z15" s="1"/>
    </row>
    <row r="16" ht="12.75" customHeight="1">
      <c r="A16" s="1"/>
      <c r="B16" s="13" t="s">
        <v>29</v>
      </c>
      <c r="C16" s="14">
        <v>1126.0</v>
      </c>
      <c r="D16" s="14">
        <v>1508.0</v>
      </c>
      <c r="E16" s="14">
        <v>8530.0</v>
      </c>
      <c r="F16" s="14">
        <v>19686.0</v>
      </c>
      <c r="G16" s="14">
        <v>10278.0</v>
      </c>
      <c r="H16" s="1"/>
      <c r="I16" s="20"/>
      <c r="J16" s="22" t="s">
        <v>30</v>
      </c>
      <c r="K16" s="23">
        <f t="shared" ref="K16:O16" si="16">+C22/1000</f>
        <v>0</v>
      </c>
      <c r="L16" s="23">
        <f t="shared" si="16"/>
        <v>0</v>
      </c>
      <c r="M16" s="23">
        <f t="shared" si="16"/>
        <v>98.132</v>
      </c>
      <c r="N16" s="23">
        <f t="shared" si="16"/>
        <v>279.178</v>
      </c>
      <c r="O16" s="23">
        <f t="shared" si="16"/>
        <v>100.243</v>
      </c>
      <c r="P16" s="24">
        <f t="shared" ref="P16:T16" si="17">+$O$16</f>
        <v>100.243</v>
      </c>
      <c r="Q16" s="24">
        <f t="shared" si="17"/>
        <v>100.243</v>
      </c>
      <c r="R16" s="24">
        <f t="shared" si="17"/>
        <v>100.243</v>
      </c>
      <c r="S16" s="24">
        <f t="shared" si="17"/>
        <v>100.243</v>
      </c>
      <c r="T16" s="24">
        <f t="shared" si="17"/>
        <v>100.243</v>
      </c>
      <c r="U16" s="1"/>
      <c r="V16" s="1"/>
      <c r="W16" s="1"/>
      <c r="X16" s="1"/>
      <c r="Y16" s="1"/>
      <c r="Z16" s="1"/>
    </row>
    <row r="17" ht="12.75" customHeight="1">
      <c r="A17" s="1"/>
      <c r="B17" s="13" t="s">
        <v>31</v>
      </c>
      <c r="C17" s="14">
        <v>-100886.0</v>
      </c>
      <c r="D17" s="14">
        <v>-118851.0</v>
      </c>
      <c r="E17" s="14">
        <v>-198810.0</v>
      </c>
      <c r="F17" s="14">
        <v>-471259.0</v>
      </c>
      <c r="G17" s="14">
        <v>-313128.0</v>
      </c>
      <c r="H17" s="1"/>
      <c r="I17" s="20"/>
      <c r="J17" s="29" t="s">
        <v>32</v>
      </c>
      <c r="K17" s="30">
        <f t="shared" ref="K17:L17" si="18">SUM(K14:K15)</f>
        <v>-294.04</v>
      </c>
      <c r="L17" s="30">
        <f t="shared" si="18"/>
        <v>-888.663</v>
      </c>
      <c r="M17" s="30">
        <f t="shared" ref="M17:T17" si="19">SUM(M14:M16)</f>
        <v>-674.914</v>
      </c>
      <c r="N17" s="30">
        <f t="shared" si="19"/>
        <v>-1961.4</v>
      </c>
      <c r="O17" s="30">
        <f t="shared" si="19"/>
        <v>-1427.09</v>
      </c>
      <c r="P17" s="30">
        <f t="shared" si="19"/>
        <v>-1364.06981</v>
      </c>
      <c r="Q17" s="30">
        <f t="shared" si="19"/>
        <v>-1371.422597</v>
      </c>
      <c r="R17" s="30">
        <f t="shared" si="19"/>
        <v>-1378.779776</v>
      </c>
      <c r="S17" s="30">
        <f t="shared" si="19"/>
        <v>-1386.137152</v>
      </c>
      <c r="T17" s="30">
        <f t="shared" si="19"/>
        <v>-1393.490323</v>
      </c>
      <c r="U17" s="1"/>
      <c r="V17" s="1"/>
      <c r="W17" s="1"/>
      <c r="X17" s="1"/>
      <c r="Y17" s="1"/>
      <c r="Z17" s="1"/>
    </row>
    <row r="18" ht="12.75" customHeight="1">
      <c r="A18" s="1"/>
      <c r="B18" s="13" t="s">
        <v>33</v>
      </c>
      <c r="C18" s="14">
        <v>1813.0</v>
      </c>
      <c r="D18" s="14">
        <v>-41652.0</v>
      </c>
      <c r="E18" s="14">
        <v>111272.0</v>
      </c>
      <c r="F18" s="14">
        <v>-125373.0</v>
      </c>
      <c r="G18" s="14">
        <v>13195.0</v>
      </c>
      <c r="H18" s="1"/>
      <c r="I18" s="1"/>
      <c r="J18" s="1"/>
      <c r="K18" s="1"/>
      <c r="L18" s="1"/>
      <c r="M18" s="1"/>
      <c r="N18" s="1"/>
      <c r="O18" s="1"/>
      <c r="P18" s="1"/>
      <c r="Q18" s="1"/>
      <c r="R18" s="1"/>
      <c r="S18" s="1"/>
      <c r="T18" s="1"/>
      <c r="U18" s="1"/>
      <c r="V18" s="1"/>
      <c r="W18" s="1"/>
      <c r="X18" s="1"/>
      <c r="Y18" s="1"/>
      <c r="Z18" s="1"/>
    </row>
    <row r="19" ht="12.75" customHeight="1">
      <c r="A19" s="1"/>
      <c r="B19" s="18" t="s">
        <v>27</v>
      </c>
      <c r="C19" s="19">
        <f t="shared" ref="C19:G19" si="20">SUM(C15:C18)</f>
        <v>-284636</v>
      </c>
      <c r="D19" s="19">
        <f t="shared" si="20"/>
        <v>-875624</v>
      </c>
      <c r="E19" s="19">
        <f t="shared" si="20"/>
        <v>-746348</v>
      </c>
      <c r="F19" s="19">
        <f t="shared" si="20"/>
        <v>-2209032</v>
      </c>
      <c r="G19" s="19">
        <f t="shared" si="20"/>
        <v>-1508021</v>
      </c>
      <c r="H19" s="1"/>
      <c r="I19" s="1"/>
      <c r="J19" s="1"/>
      <c r="K19" s="1"/>
      <c r="L19" s="1"/>
      <c r="M19" s="1"/>
      <c r="N19" s="1"/>
      <c r="O19" s="1"/>
      <c r="P19" s="1"/>
      <c r="Q19" s="1"/>
      <c r="R19" s="1"/>
      <c r="S19" s="1"/>
      <c r="T19" s="1"/>
      <c r="U19" s="1"/>
      <c r="V19" s="1"/>
      <c r="W19" s="1"/>
      <c r="X19" s="1"/>
      <c r="Y19" s="1"/>
      <c r="Z19" s="1"/>
    </row>
    <row r="20" ht="12.75" customHeight="1">
      <c r="A20" s="1"/>
      <c r="B20" s="13" t="s">
        <v>34</v>
      </c>
      <c r="C20" s="14">
        <v>-9404.0</v>
      </c>
      <c r="D20" s="14">
        <v>-13039.0</v>
      </c>
      <c r="E20" s="14">
        <v>-26698.0</v>
      </c>
      <c r="F20" s="14">
        <v>-31546.0</v>
      </c>
      <c r="G20" s="14">
        <v>-19312.0</v>
      </c>
      <c r="H20" s="1"/>
      <c r="I20" s="1"/>
      <c r="J20" s="31" t="s">
        <v>35</v>
      </c>
      <c r="K20" s="31"/>
      <c r="L20" s="31"/>
      <c r="M20" s="31"/>
      <c r="N20" s="31"/>
      <c r="O20" s="31"/>
      <c r="P20" s="32">
        <f t="shared" ref="P20:T20" si="21">+VLOOKUP($K$4,$J$21:$T$23,COLUMNS(J21:P23),FALSE)</f>
        <v>0.02</v>
      </c>
      <c r="Q20" s="32">
        <f t="shared" si="21"/>
        <v>0.02</v>
      </c>
      <c r="R20" s="32">
        <f t="shared" si="21"/>
        <v>0.02</v>
      </c>
      <c r="S20" s="32">
        <f t="shared" si="21"/>
        <v>0.02</v>
      </c>
      <c r="T20" s="32">
        <f t="shared" si="21"/>
        <v>0.02</v>
      </c>
      <c r="U20" s="1"/>
      <c r="V20" s="1"/>
      <c r="W20" s="1"/>
      <c r="X20" s="1"/>
      <c r="Y20" s="1"/>
      <c r="Z20" s="1"/>
    </row>
    <row r="21" ht="12.75" customHeight="1">
      <c r="A21" s="1"/>
      <c r="B21" s="18" t="s">
        <v>36</v>
      </c>
      <c r="C21" s="19">
        <f t="shared" ref="C21:G21" si="22">SUM(C19:C20)</f>
        <v>-294040</v>
      </c>
      <c r="D21" s="19">
        <f t="shared" si="22"/>
        <v>-888663</v>
      </c>
      <c r="E21" s="19">
        <f t="shared" si="22"/>
        <v>-773046</v>
      </c>
      <c r="F21" s="19">
        <f t="shared" si="22"/>
        <v>-2240578</v>
      </c>
      <c r="G21" s="19">
        <f t="shared" si="22"/>
        <v>-1527333</v>
      </c>
      <c r="H21" s="1"/>
      <c r="I21" s="1"/>
      <c r="J21" s="31" t="s">
        <v>37</v>
      </c>
      <c r="K21" s="31"/>
      <c r="L21" s="31"/>
      <c r="M21" s="31"/>
      <c r="N21" s="31"/>
      <c r="O21" s="31"/>
      <c r="P21" s="33">
        <v>0.03</v>
      </c>
      <c r="Q21" s="33">
        <v>0.03</v>
      </c>
      <c r="R21" s="33">
        <v>0.03</v>
      </c>
      <c r="S21" s="33">
        <v>0.03</v>
      </c>
      <c r="T21" s="33">
        <v>0.03</v>
      </c>
      <c r="U21" s="1"/>
      <c r="V21" s="1"/>
      <c r="W21" s="1"/>
      <c r="X21" s="1"/>
      <c r="Y21" s="1"/>
      <c r="Z21" s="1"/>
    </row>
    <row r="22" ht="12.75" customHeight="1">
      <c r="A22" s="1"/>
      <c r="B22" s="13" t="s">
        <v>38</v>
      </c>
      <c r="C22" s="14">
        <v>0.0</v>
      </c>
      <c r="D22" s="14">
        <v>0.0</v>
      </c>
      <c r="E22" s="14">
        <v>98132.0</v>
      </c>
      <c r="F22" s="14">
        <v>279178.0</v>
      </c>
      <c r="G22" s="14">
        <v>100243.0</v>
      </c>
      <c r="H22" s="1"/>
      <c r="I22" s="1"/>
      <c r="J22" s="31" t="s">
        <v>10</v>
      </c>
      <c r="K22" s="31"/>
      <c r="L22" s="31"/>
      <c r="M22" s="31"/>
      <c r="N22" s="31"/>
      <c r="O22" s="31"/>
      <c r="P22" s="33">
        <v>0.02</v>
      </c>
      <c r="Q22" s="33">
        <v>0.02</v>
      </c>
      <c r="R22" s="33">
        <v>0.02</v>
      </c>
      <c r="S22" s="33">
        <v>0.02</v>
      </c>
      <c r="T22" s="33">
        <v>0.02</v>
      </c>
      <c r="U22" s="1"/>
      <c r="V22" s="1"/>
      <c r="W22" s="1"/>
      <c r="X22" s="1"/>
      <c r="Y22" s="1"/>
      <c r="Z22" s="1"/>
    </row>
    <row r="23" ht="12.75" customHeight="1">
      <c r="A23" s="1"/>
      <c r="B23" s="34" t="s">
        <v>39</v>
      </c>
      <c r="C23" s="35">
        <f t="shared" ref="C23:G23" si="23">SUM(C21:C22)</f>
        <v>-294040</v>
      </c>
      <c r="D23" s="35">
        <f t="shared" si="23"/>
        <v>-888663</v>
      </c>
      <c r="E23" s="35">
        <f t="shared" si="23"/>
        <v>-674914</v>
      </c>
      <c r="F23" s="35">
        <f t="shared" si="23"/>
        <v>-1961400</v>
      </c>
      <c r="G23" s="35">
        <f t="shared" si="23"/>
        <v>-1427090</v>
      </c>
      <c r="H23" s="1"/>
      <c r="I23" s="1"/>
      <c r="J23" s="31" t="s">
        <v>40</v>
      </c>
      <c r="K23" s="31"/>
      <c r="L23" s="31"/>
      <c r="M23" s="31"/>
      <c r="N23" s="31"/>
      <c r="O23" s="31"/>
      <c r="P23" s="33">
        <v>0.01</v>
      </c>
      <c r="Q23" s="33">
        <v>0.01</v>
      </c>
      <c r="R23" s="33">
        <v>0.01</v>
      </c>
      <c r="S23" s="33">
        <v>0.01</v>
      </c>
      <c r="T23" s="33">
        <v>0.01</v>
      </c>
      <c r="U23" s="1"/>
      <c r="V23" s="1"/>
      <c r="W23" s="1"/>
      <c r="X23" s="1"/>
      <c r="Y23" s="1"/>
      <c r="Z23" s="1"/>
    </row>
    <row r="24" ht="12.75" customHeight="1">
      <c r="A24" s="1"/>
      <c r="B24" s="1"/>
      <c r="C24" s="1"/>
      <c r="D24" s="1"/>
      <c r="E24" s="1"/>
      <c r="F24" s="1"/>
      <c r="G24" s="1"/>
      <c r="H24" s="1"/>
      <c r="I24" s="1"/>
      <c r="J24" s="31"/>
      <c r="K24" s="31"/>
      <c r="L24" s="31"/>
      <c r="M24" s="31"/>
      <c r="N24" s="31"/>
      <c r="O24" s="31"/>
      <c r="P24" s="31"/>
      <c r="Q24" s="31"/>
      <c r="R24" s="31"/>
      <c r="S24" s="31"/>
      <c r="T24" s="31"/>
      <c r="U24" s="1"/>
      <c r="V24" s="1"/>
      <c r="W24" s="1"/>
      <c r="X24" s="1"/>
      <c r="Y24" s="1"/>
      <c r="Z24" s="1"/>
    </row>
    <row r="25" ht="12.75" customHeight="1">
      <c r="A25" s="1"/>
      <c r="B25" s="1"/>
      <c r="C25" s="1"/>
      <c r="D25" s="1"/>
      <c r="E25" s="1"/>
      <c r="F25" s="1"/>
      <c r="G25" s="1"/>
      <c r="H25" s="1"/>
      <c r="I25" s="1"/>
      <c r="J25" s="31" t="s">
        <v>41</v>
      </c>
      <c r="K25" s="31"/>
      <c r="L25" s="31"/>
      <c r="M25" s="31"/>
      <c r="N25" s="31"/>
      <c r="O25" s="31"/>
      <c r="P25" s="32">
        <f t="shared" ref="P25:T25" si="24">+VLOOKUP($K$4,$J$26:$T$28,COLUMNS(J26:P28),FALSE)</f>
        <v>0.79</v>
      </c>
      <c r="Q25" s="32">
        <f t="shared" si="24"/>
        <v>0.79</v>
      </c>
      <c r="R25" s="32">
        <f t="shared" si="24"/>
        <v>0.79</v>
      </c>
      <c r="S25" s="32">
        <f t="shared" si="24"/>
        <v>0.79</v>
      </c>
      <c r="T25" s="32">
        <f t="shared" si="24"/>
        <v>0.79</v>
      </c>
      <c r="U25" s="1"/>
      <c r="V25" s="1"/>
      <c r="W25" s="1"/>
      <c r="X25" s="1"/>
      <c r="Y25" s="1"/>
      <c r="Z25" s="1"/>
    </row>
    <row r="26" ht="12.75" customHeight="1">
      <c r="A26" s="1"/>
      <c r="B26" s="1"/>
      <c r="C26" s="1"/>
      <c r="D26" s="1"/>
      <c r="E26" s="1"/>
      <c r="F26" s="1"/>
      <c r="G26" s="1"/>
      <c r="H26" s="1"/>
      <c r="I26" s="1"/>
      <c r="J26" s="31" t="s">
        <v>37</v>
      </c>
      <c r="K26" s="33">
        <f t="shared" ref="K26:K28" si="25">-$K$9/$K$8</f>
        <v>0.7243361902</v>
      </c>
      <c r="L26" s="33">
        <f t="shared" ref="L26:L28" si="26">-$L$9/$L$8</f>
        <v>0.7717505453</v>
      </c>
      <c r="M26" s="33">
        <f t="shared" ref="M26:M28" si="27">-$M$9/$M$8</f>
        <v>0.7715390224</v>
      </c>
      <c r="N26" s="33">
        <f t="shared" ref="N26:N28" si="28">-$N$9/$N$8</f>
        <v>0.8109929362</v>
      </c>
      <c r="O26" s="33">
        <f t="shared" ref="O26:O28" si="29">-$O$9/$O$8</f>
        <v>0.8548834689</v>
      </c>
      <c r="P26" s="33">
        <v>0.72</v>
      </c>
      <c r="Q26" s="33">
        <v>0.72</v>
      </c>
      <c r="R26" s="33">
        <v>0.72</v>
      </c>
      <c r="S26" s="33">
        <v>0.72</v>
      </c>
      <c r="T26" s="33">
        <v>0.72</v>
      </c>
      <c r="U26" s="1"/>
      <c r="V26" s="1"/>
      <c r="W26" s="1"/>
      <c r="X26" s="1"/>
      <c r="Y26" s="1"/>
      <c r="Z26" s="1"/>
    </row>
    <row r="27" ht="12.75" customHeight="1">
      <c r="A27" s="1"/>
      <c r="B27" s="1"/>
      <c r="C27" s="1"/>
      <c r="D27" s="1"/>
      <c r="E27" s="1"/>
      <c r="F27" s="1"/>
      <c r="G27" s="1"/>
      <c r="H27" s="1"/>
      <c r="I27" s="1"/>
      <c r="J27" s="31" t="s">
        <v>10</v>
      </c>
      <c r="K27" s="33">
        <f t="shared" si="25"/>
        <v>0.7243361902</v>
      </c>
      <c r="L27" s="33">
        <f t="shared" si="26"/>
        <v>0.7717505453</v>
      </c>
      <c r="M27" s="33">
        <f t="shared" si="27"/>
        <v>0.7715390224</v>
      </c>
      <c r="N27" s="33">
        <f t="shared" si="28"/>
        <v>0.8109929362</v>
      </c>
      <c r="O27" s="33">
        <f t="shared" si="29"/>
        <v>0.8548834689</v>
      </c>
      <c r="P27" s="33">
        <v>0.79</v>
      </c>
      <c r="Q27" s="33">
        <v>0.79</v>
      </c>
      <c r="R27" s="33">
        <v>0.79</v>
      </c>
      <c r="S27" s="33">
        <v>0.79</v>
      </c>
      <c r="T27" s="33">
        <v>0.79</v>
      </c>
      <c r="U27" s="1"/>
      <c r="V27" s="1"/>
      <c r="W27" s="1"/>
      <c r="X27" s="1"/>
      <c r="Y27" s="1"/>
      <c r="Z27" s="1"/>
    </row>
    <row r="28" ht="12.75" customHeight="1">
      <c r="A28" s="1"/>
      <c r="B28" s="1"/>
      <c r="C28" s="1"/>
      <c r="D28" s="1"/>
      <c r="E28" s="1"/>
      <c r="F28" s="1"/>
      <c r="G28" s="1"/>
      <c r="H28" s="1"/>
      <c r="I28" s="1"/>
      <c r="J28" s="31" t="s">
        <v>40</v>
      </c>
      <c r="K28" s="33">
        <f t="shared" si="25"/>
        <v>0.7243361902</v>
      </c>
      <c r="L28" s="33">
        <f t="shared" si="26"/>
        <v>0.7717505453</v>
      </c>
      <c r="M28" s="33">
        <f t="shared" si="27"/>
        <v>0.7715390224</v>
      </c>
      <c r="N28" s="33">
        <f t="shared" si="28"/>
        <v>0.8109929362</v>
      </c>
      <c r="O28" s="33">
        <f t="shared" si="29"/>
        <v>0.8548834689</v>
      </c>
      <c r="P28" s="33">
        <f t="shared" ref="P28:T28" si="30">-$O$9/$O$8</f>
        <v>0.8548834689</v>
      </c>
      <c r="Q28" s="33">
        <f t="shared" si="30"/>
        <v>0.8548834689</v>
      </c>
      <c r="R28" s="33">
        <f t="shared" si="30"/>
        <v>0.8548834689</v>
      </c>
      <c r="S28" s="33">
        <f t="shared" si="30"/>
        <v>0.8548834689</v>
      </c>
      <c r="T28" s="33">
        <f t="shared" si="30"/>
        <v>0.8548834689</v>
      </c>
      <c r="U28" s="1"/>
      <c r="V28" s="1"/>
      <c r="W28" s="1"/>
      <c r="X28" s="1"/>
      <c r="Y28" s="1"/>
      <c r="Z28" s="1"/>
    </row>
    <row r="29" ht="12.75" customHeight="1">
      <c r="A29" s="1"/>
      <c r="B29" s="1"/>
      <c r="C29" s="1"/>
      <c r="D29" s="1"/>
      <c r="E29" s="1"/>
      <c r="F29" s="1"/>
      <c r="G29" s="1"/>
      <c r="H29" s="1"/>
      <c r="I29" s="1"/>
      <c r="J29" s="31"/>
      <c r="K29" s="31"/>
      <c r="L29" s="31"/>
      <c r="M29" s="31"/>
      <c r="N29" s="31"/>
      <c r="O29" s="31"/>
      <c r="P29" s="31"/>
      <c r="Q29" s="31"/>
      <c r="R29" s="31"/>
      <c r="S29" s="31"/>
      <c r="T29" s="31"/>
      <c r="U29" s="1"/>
      <c r="V29" s="1"/>
      <c r="W29" s="1"/>
      <c r="X29" s="1"/>
      <c r="Y29" s="1"/>
      <c r="Z29" s="1"/>
    </row>
    <row r="30" ht="12.75" customHeight="1">
      <c r="A30" s="1"/>
      <c r="B30" s="1"/>
      <c r="C30" s="1"/>
      <c r="D30" s="1"/>
      <c r="E30" s="1"/>
      <c r="F30" s="1"/>
      <c r="G30" s="1"/>
      <c r="H30" s="1"/>
      <c r="I30" s="1"/>
      <c r="J30" s="31" t="s">
        <v>42</v>
      </c>
      <c r="K30" s="31"/>
      <c r="L30" s="31"/>
      <c r="M30" s="31"/>
      <c r="N30" s="31"/>
      <c r="O30" s="31"/>
      <c r="P30" s="32">
        <f t="shared" ref="P30:T30" si="31">+VLOOKUP($K$4,$J$31:$T$33,COLUMNS(J31:P33),FALSE)</f>
        <v>0.34</v>
      </c>
      <c r="Q30" s="32">
        <f t="shared" si="31"/>
        <v>0.34</v>
      </c>
      <c r="R30" s="32">
        <f t="shared" si="31"/>
        <v>0.34</v>
      </c>
      <c r="S30" s="32">
        <f t="shared" si="31"/>
        <v>0.34</v>
      </c>
      <c r="T30" s="32">
        <f t="shared" si="31"/>
        <v>0.34</v>
      </c>
      <c r="U30" s="1"/>
      <c r="V30" s="1"/>
      <c r="W30" s="1"/>
      <c r="X30" s="1"/>
      <c r="Y30" s="1"/>
      <c r="Z30" s="1"/>
    </row>
    <row r="31" ht="12.75" customHeight="1">
      <c r="A31" s="1"/>
      <c r="B31" s="1"/>
      <c r="C31" s="1"/>
      <c r="D31" s="1"/>
      <c r="E31" s="1"/>
      <c r="F31" s="1"/>
      <c r="G31" s="1"/>
      <c r="H31" s="1"/>
      <c r="I31" s="1"/>
      <c r="J31" s="31" t="s">
        <v>37</v>
      </c>
      <c r="K31" s="33">
        <f t="shared" ref="K31:K33" si="32">-$K$11/$K$8</f>
        <v>0.33403411</v>
      </c>
      <c r="L31" s="33">
        <f t="shared" ref="L31:L33" si="33">-$L$11/$L$8</f>
        <v>0.4053687261</v>
      </c>
      <c r="M31" s="33">
        <f t="shared" ref="M31:M33" si="34">-$M$11/$M$8</f>
        <v>0.3237934656</v>
      </c>
      <c r="N31" s="36">
        <f t="shared" ref="N31:N33" si="35">-$N$11/$N$8</f>
        <v>0.3278046282</v>
      </c>
      <c r="O31" s="36">
        <f t="shared" ref="O31:O33" si="36">-$O$11/$O$8</f>
        <v>0.3095166066</v>
      </c>
      <c r="P31" s="33">
        <v>0.31</v>
      </c>
      <c r="Q31" s="33">
        <v>0.31</v>
      </c>
      <c r="R31" s="33">
        <v>0.31</v>
      </c>
      <c r="S31" s="33">
        <v>0.31</v>
      </c>
      <c r="T31" s="33">
        <v>0.31</v>
      </c>
      <c r="U31" s="1"/>
      <c r="V31" s="1"/>
      <c r="W31" s="1"/>
      <c r="X31" s="1"/>
      <c r="Y31" s="1"/>
      <c r="Z31" s="1"/>
    </row>
    <row r="32" ht="12.75" customHeight="1">
      <c r="A32" s="1"/>
      <c r="B32" s="1"/>
      <c r="C32" s="1"/>
      <c r="D32" s="1"/>
      <c r="E32" s="1"/>
      <c r="F32" s="1"/>
      <c r="G32" s="1"/>
      <c r="H32" s="1"/>
      <c r="I32" s="1"/>
      <c r="J32" s="31" t="s">
        <v>10</v>
      </c>
      <c r="K32" s="33">
        <f t="shared" si="32"/>
        <v>0.33403411</v>
      </c>
      <c r="L32" s="33">
        <f t="shared" si="33"/>
        <v>0.4053687261</v>
      </c>
      <c r="M32" s="33">
        <f t="shared" si="34"/>
        <v>0.3237934656</v>
      </c>
      <c r="N32" s="36">
        <f t="shared" si="35"/>
        <v>0.3278046282</v>
      </c>
      <c r="O32" s="36">
        <f t="shared" si="36"/>
        <v>0.3095166066</v>
      </c>
      <c r="P32" s="33">
        <v>0.34</v>
      </c>
      <c r="Q32" s="33">
        <v>0.34</v>
      </c>
      <c r="R32" s="33">
        <v>0.34</v>
      </c>
      <c r="S32" s="33">
        <v>0.34</v>
      </c>
      <c r="T32" s="33">
        <v>0.34</v>
      </c>
      <c r="U32" s="1"/>
      <c r="V32" s="1"/>
      <c r="W32" s="1"/>
      <c r="X32" s="1"/>
      <c r="Y32" s="1"/>
      <c r="Z32" s="1"/>
    </row>
    <row r="33" ht="12.75" customHeight="1">
      <c r="A33" s="1"/>
      <c r="B33" s="1"/>
      <c r="C33" s="1"/>
      <c r="D33" s="1"/>
      <c r="E33" s="1"/>
      <c r="F33" s="1"/>
      <c r="G33" s="1"/>
      <c r="H33" s="1"/>
      <c r="I33" s="1"/>
      <c r="J33" s="31" t="s">
        <v>40</v>
      </c>
      <c r="K33" s="33">
        <f t="shared" si="32"/>
        <v>0.33403411</v>
      </c>
      <c r="L33" s="33">
        <f t="shared" si="33"/>
        <v>0.4053687261</v>
      </c>
      <c r="M33" s="33">
        <f t="shared" si="34"/>
        <v>0.3237934656</v>
      </c>
      <c r="N33" s="36">
        <f t="shared" si="35"/>
        <v>0.3278046282</v>
      </c>
      <c r="O33" s="36">
        <f t="shared" si="36"/>
        <v>0.3095166066</v>
      </c>
      <c r="P33" s="33">
        <v>0.41</v>
      </c>
      <c r="Q33" s="33">
        <v>0.41</v>
      </c>
      <c r="R33" s="33">
        <v>0.41</v>
      </c>
      <c r="S33" s="33">
        <v>0.41</v>
      </c>
      <c r="T33" s="33">
        <v>0.41</v>
      </c>
      <c r="U33" s="1"/>
      <c r="V33" s="1"/>
      <c r="W33" s="1"/>
      <c r="X33" s="1"/>
      <c r="Y33" s="1"/>
      <c r="Z33" s="1"/>
    </row>
    <row r="34" ht="12.75" customHeight="1">
      <c r="A34" s="1"/>
      <c r="B34" s="1"/>
      <c r="C34" s="1"/>
      <c r="D34" s="1"/>
      <c r="E34" s="1"/>
      <c r="F34" s="1"/>
      <c r="G34" s="1"/>
      <c r="H34" s="1"/>
      <c r="I34" s="1"/>
      <c r="J34" s="31"/>
      <c r="K34" s="31"/>
      <c r="L34" s="31"/>
      <c r="M34" s="31"/>
      <c r="N34" s="31"/>
      <c r="O34" s="31"/>
      <c r="P34" s="31"/>
      <c r="Q34" s="31"/>
      <c r="R34" s="31"/>
      <c r="S34" s="31"/>
      <c r="T34" s="31"/>
      <c r="U34" s="1"/>
      <c r="V34" s="1"/>
      <c r="W34" s="1"/>
      <c r="X34" s="1"/>
      <c r="Y34" s="1"/>
      <c r="Z34" s="1"/>
    </row>
    <row r="35" ht="12.75" customHeight="1">
      <c r="A35" s="1"/>
      <c r="B35" s="1"/>
      <c r="C35" s="1"/>
      <c r="D35" s="1"/>
      <c r="E35" s="1"/>
      <c r="F35" s="1"/>
      <c r="G35" s="1"/>
      <c r="H35" s="1"/>
      <c r="I35" s="1"/>
      <c r="J35" s="31" t="s">
        <v>43</v>
      </c>
      <c r="K35" s="31"/>
      <c r="L35" s="31"/>
      <c r="M35" s="31"/>
      <c r="N35" s="31"/>
      <c r="O35" s="31"/>
      <c r="P35" s="32">
        <v>0.1</v>
      </c>
      <c r="Q35" s="32">
        <v>0.1</v>
      </c>
      <c r="R35" s="32">
        <v>0.1</v>
      </c>
      <c r="S35" s="32">
        <v>0.1</v>
      </c>
      <c r="T35" s="32">
        <v>0.1</v>
      </c>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I1:R3"/>
    <mergeCell ref="P6:T6"/>
  </mergeCells>
  <dataValidations>
    <dataValidation type="list" allowBlank="1" showErrorMessage="1" sqref="K4">
      <formula1>$J$21:$J$23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
    <col customWidth="1" min="2" max="2" width="42.13"/>
    <col customWidth="1" min="3" max="4" width="10.0"/>
    <col customWidth="1" min="5" max="7" width="11.0"/>
    <col customWidth="1" min="8" max="8" width="9.13"/>
    <col customWidth="1" min="9" max="9" width="16.88"/>
    <col customWidth="1" min="10" max="11" width="8.0"/>
    <col customWidth="1" min="12" max="14" width="9.0"/>
    <col customWidth="1" min="15" max="17" width="10.25"/>
    <col customWidth="1" min="18" max="19" width="10.0"/>
    <col customWidth="1" min="20" max="26" width="9.13"/>
  </cols>
  <sheetData>
    <row r="1" ht="12.0" customHeight="1">
      <c r="A1" s="13"/>
      <c r="B1" s="2" t="s">
        <v>44</v>
      </c>
      <c r="C1" s="13"/>
      <c r="D1" s="13"/>
      <c r="E1" s="13"/>
      <c r="F1" s="13"/>
      <c r="G1" s="13"/>
      <c r="H1" s="3" t="s">
        <v>45</v>
      </c>
      <c r="I1" s="4"/>
      <c r="J1" s="4"/>
      <c r="K1" s="4"/>
      <c r="L1" s="4"/>
      <c r="M1" s="4"/>
      <c r="N1" s="4"/>
      <c r="O1" s="5"/>
      <c r="P1" s="13"/>
      <c r="Q1" s="13"/>
      <c r="R1" s="13"/>
      <c r="S1" s="13"/>
      <c r="T1" s="13"/>
      <c r="U1" s="13"/>
      <c r="V1" s="13"/>
      <c r="W1" s="13"/>
      <c r="X1" s="13"/>
      <c r="Y1" s="13"/>
      <c r="Z1" s="13"/>
    </row>
    <row r="2" ht="12.0" customHeight="1">
      <c r="A2" s="13"/>
      <c r="B2" s="13"/>
      <c r="C2" s="13"/>
      <c r="D2" s="13"/>
      <c r="E2" s="13"/>
      <c r="F2" s="13"/>
      <c r="G2" s="13"/>
      <c r="H2" s="10"/>
      <c r="I2" s="11"/>
      <c r="J2" s="11"/>
      <c r="K2" s="11"/>
      <c r="L2" s="11"/>
      <c r="M2" s="11"/>
      <c r="N2" s="11"/>
      <c r="O2" s="12"/>
      <c r="P2" s="13"/>
      <c r="Q2" s="13"/>
      <c r="R2" s="13"/>
      <c r="S2" s="13"/>
      <c r="T2" s="13"/>
      <c r="U2" s="13"/>
      <c r="V2" s="13"/>
      <c r="W2" s="13"/>
      <c r="X2" s="13"/>
      <c r="Y2" s="13"/>
      <c r="Z2" s="13"/>
    </row>
    <row r="3" ht="12.0" customHeight="1">
      <c r="A3" s="13"/>
      <c r="B3" s="8" t="s">
        <v>2</v>
      </c>
      <c r="C3" s="37" t="s">
        <v>46</v>
      </c>
      <c r="D3" s="37" t="s">
        <v>47</v>
      </c>
      <c r="E3" s="37" t="s">
        <v>48</v>
      </c>
      <c r="F3" s="37" t="s">
        <v>49</v>
      </c>
      <c r="G3" s="37" t="s">
        <v>50</v>
      </c>
      <c r="H3" s="13"/>
      <c r="I3" s="13"/>
      <c r="J3" s="13"/>
      <c r="K3" s="13"/>
      <c r="L3" s="13"/>
      <c r="M3" s="13"/>
      <c r="N3" s="13"/>
      <c r="O3" s="13"/>
      <c r="P3" s="13"/>
      <c r="Q3" s="13"/>
      <c r="R3" s="13"/>
      <c r="S3" s="13"/>
      <c r="T3" s="13"/>
      <c r="U3" s="13"/>
      <c r="V3" s="13"/>
      <c r="W3" s="13"/>
      <c r="X3" s="13"/>
      <c r="Y3" s="13"/>
      <c r="Z3" s="13"/>
    </row>
    <row r="4" ht="12.0" customHeight="1">
      <c r="A4" s="13"/>
      <c r="B4" s="13" t="s">
        <v>51</v>
      </c>
      <c r="C4" s="14">
        <v>1905713.0</v>
      </c>
      <c r="D4" s="14">
        <v>1196908.0</v>
      </c>
      <c r="E4" s="14">
        <v>3393216.0</v>
      </c>
      <c r="F4" s="14">
        <v>3367914.0</v>
      </c>
      <c r="G4" s="14">
        <v>2236424.0</v>
      </c>
      <c r="H4" s="13"/>
      <c r="I4" s="13"/>
      <c r="J4" s="13"/>
      <c r="K4" s="13"/>
      <c r="L4" s="13"/>
      <c r="M4" s="13"/>
      <c r="N4" s="13"/>
      <c r="O4" s="13"/>
      <c r="P4" s="13"/>
      <c r="Q4" s="13"/>
      <c r="R4" s="13"/>
      <c r="S4" s="13"/>
      <c r="T4" s="13"/>
      <c r="U4" s="13"/>
      <c r="V4" s="13"/>
      <c r="W4" s="13"/>
      <c r="X4" s="13"/>
      <c r="Y4" s="13"/>
      <c r="Z4" s="13"/>
    </row>
    <row r="5" ht="12.0" customHeight="1">
      <c r="A5" s="13"/>
      <c r="B5" s="13" t="s">
        <v>52</v>
      </c>
      <c r="C5" s="14">
        <v>17947.0</v>
      </c>
      <c r="D5" s="14">
        <v>22628.0</v>
      </c>
      <c r="E5" s="14">
        <v>105519.0</v>
      </c>
      <c r="F5" s="14">
        <v>155323.0</v>
      </c>
      <c r="G5" s="14">
        <v>146822.0</v>
      </c>
      <c r="H5" s="13"/>
      <c r="I5" s="13"/>
      <c r="J5" s="13"/>
      <c r="K5" s="13"/>
      <c r="L5" s="13"/>
      <c r="M5" s="13"/>
      <c r="N5" s="13"/>
      <c r="O5" s="13"/>
      <c r="P5" s="13"/>
      <c r="Q5" s="13"/>
      <c r="R5" s="13"/>
      <c r="S5" s="13"/>
      <c r="T5" s="13"/>
      <c r="U5" s="13"/>
      <c r="V5" s="13"/>
      <c r="W5" s="13"/>
      <c r="X5" s="13"/>
      <c r="Y5" s="13"/>
      <c r="Z5" s="13"/>
    </row>
    <row r="6" ht="12.0" customHeight="1">
      <c r="A6" s="13"/>
      <c r="B6" s="13" t="s">
        <v>53</v>
      </c>
      <c r="C6" s="14">
        <v>226604.0</v>
      </c>
      <c r="D6" s="14">
        <v>168965.0</v>
      </c>
      <c r="E6" s="14">
        <v>499142.0</v>
      </c>
      <c r="F6" s="14">
        <v>515381.0</v>
      </c>
      <c r="G6" s="14">
        <v>569874.0</v>
      </c>
      <c r="H6" s="13"/>
      <c r="I6" s="13"/>
      <c r="J6" s="13"/>
      <c r="K6" s="13"/>
      <c r="L6" s="13"/>
      <c r="M6" s="13"/>
      <c r="N6" s="13"/>
      <c r="O6" s="15" t="s">
        <v>13</v>
      </c>
      <c r="P6" s="16"/>
      <c r="Q6" s="16"/>
      <c r="R6" s="16"/>
      <c r="S6" s="17"/>
      <c r="T6" s="13"/>
      <c r="U6" s="13"/>
      <c r="V6" s="13"/>
      <c r="W6" s="13"/>
      <c r="X6" s="13"/>
      <c r="Y6" s="13"/>
      <c r="Z6" s="13"/>
    </row>
    <row r="7" ht="12.0" customHeight="1">
      <c r="A7" s="13"/>
      <c r="B7" s="13" t="s">
        <v>54</v>
      </c>
      <c r="C7" s="14">
        <v>953675.0</v>
      </c>
      <c r="D7" s="14">
        <v>1277838.0</v>
      </c>
      <c r="E7" s="14">
        <v>2067454.0</v>
      </c>
      <c r="F7" s="14">
        <v>2263537.0</v>
      </c>
      <c r="G7" s="14">
        <v>3324643.0</v>
      </c>
      <c r="H7" s="13"/>
      <c r="I7" s="13"/>
      <c r="J7" s="9">
        <v>2014.0</v>
      </c>
      <c r="K7" s="9">
        <v>2015.0</v>
      </c>
      <c r="L7" s="9">
        <v>2016.0</v>
      </c>
      <c r="M7" s="9">
        <v>2017.0</v>
      </c>
      <c r="N7" s="9">
        <v>2018.0</v>
      </c>
      <c r="O7" s="21">
        <v>2019.0</v>
      </c>
      <c r="P7" s="21">
        <v>2020.0</v>
      </c>
      <c r="Q7" s="21">
        <v>2021.0</v>
      </c>
      <c r="R7" s="21">
        <v>2022.0</v>
      </c>
      <c r="S7" s="21">
        <v>2023.0</v>
      </c>
      <c r="T7" s="13"/>
      <c r="U7" s="13"/>
      <c r="V7" s="13"/>
      <c r="W7" s="13"/>
      <c r="X7" s="13"/>
      <c r="Y7" s="13"/>
      <c r="Z7" s="13"/>
    </row>
    <row r="8" ht="12.0" customHeight="1">
      <c r="A8" s="13"/>
      <c r="B8" s="13" t="s">
        <v>55</v>
      </c>
      <c r="C8" s="14">
        <v>76134.0</v>
      </c>
      <c r="D8" s="14">
        <v>115667.0</v>
      </c>
      <c r="E8" s="14">
        <v>194465.0</v>
      </c>
      <c r="F8" s="14">
        <v>268365.0</v>
      </c>
      <c r="G8" s="14">
        <v>422034.0</v>
      </c>
      <c r="H8" s="13"/>
      <c r="I8" s="31" t="s">
        <v>56</v>
      </c>
      <c r="J8" s="38">
        <f t="shared" ref="J8:N8" si="1">+C6/1000</f>
        <v>226.604</v>
      </c>
      <c r="K8" s="38">
        <f t="shared" si="1"/>
        <v>168.965</v>
      </c>
      <c r="L8" s="38">
        <f t="shared" si="1"/>
        <v>499.142</v>
      </c>
      <c r="M8" s="38">
        <f t="shared" si="1"/>
        <v>515.381</v>
      </c>
      <c r="N8" s="38">
        <f t="shared" si="1"/>
        <v>569.874</v>
      </c>
      <c r="O8" s="39">
        <f t="shared" ref="O8:S8" si="2">+N8*(1+O24)</f>
        <v>604.5953968</v>
      </c>
      <c r="P8" s="39">
        <f t="shared" si="2"/>
        <v>641.4323057</v>
      </c>
      <c r="Q8" s="39">
        <f t="shared" si="2"/>
        <v>680.5136212</v>
      </c>
      <c r="R8" s="39">
        <f t="shared" si="2"/>
        <v>721.9760909</v>
      </c>
      <c r="S8" s="39">
        <f t="shared" si="2"/>
        <v>765.9647942</v>
      </c>
      <c r="T8" s="13"/>
      <c r="U8" s="13"/>
      <c r="V8" s="13"/>
      <c r="W8" s="13"/>
      <c r="X8" s="13"/>
      <c r="Y8" s="13"/>
      <c r="Z8" s="13"/>
    </row>
    <row r="9" ht="12.0" customHeight="1">
      <c r="A9" s="13"/>
      <c r="B9" s="18" t="s">
        <v>57</v>
      </c>
      <c r="C9" s="19">
        <f t="shared" ref="C9:G9" si="3">SUM(C4:C8)</f>
        <v>3180073</v>
      </c>
      <c r="D9" s="19">
        <f t="shared" si="3"/>
        <v>2782006</v>
      </c>
      <c r="E9" s="19">
        <f t="shared" si="3"/>
        <v>6259796</v>
      </c>
      <c r="F9" s="19">
        <f t="shared" si="3"/>
        <v>6570520</v>
      </c>
      <c r="G9" s="19">
        <f t="shared" si="3"/>
        <v>6699797</v>
      </c>
      <c r="H9" s="13"/>
      <c r="I9" s="31" t="s">
        <v>54</v>
      </c>
      <c r="J9" s="38">
        <f t="shared" ref="J9:N9" si="4">+C7/1000</f>
        <v>953.675</v>
      </c>
      <c r="K9" s="38">
        <f t="shared" si="4"/>
        <v>1277.838</v>
      </c>
      <c r="L9" s="38">
        <f t="shared" si="4"/>
        <v>2067.454</v>
      </c>
      <c r="M9" s="38">
        <f t="shared" si="4"/>
        <v>2263.537</v>
      </c>
      <c r="N9" s="38">
        <f t="shared" si="4"/>
        <v>3324.643</v>
      </c>
      <c r="O9" s="39">
        <f t="shared" ref="O9:S9" si="5">+N9*(1+O26)</f>
        <v>4631.766585</v>
      </c>
      <c r="P9" s="39">
        <f t="shared" si="5"/>
        <v>6452.801608</v>
      </c>
      <c r="Q9" s="39">
        <f t="shared" si="5"/>
        <v>8989.798564</v>
      </c>
      <c r="R9" s="39">
        <f t="shared" si="5"/>
        <v>12524.24654</v>
      </c>
      <c r="S9" s="39">
        <f t="shared" si="5"/>
        <v>17448.30547</v>
      </c>
      <c r="T9" s="13"/>
      <c r="U9" s="13"/>
      <c r="V9" s="13"/>
      <c r="W9" s="13"/>
      <c r="X9" s="13"/>
      <c r="Y9" s="13"/>
      <c r="Z9" s="13"/>
    </row>
    <row r="10" ht="12.0" customHeight="1">
      <c r="A10" s="13"/>
      <c r="B10" s="13" t="s">
        <v>58</v>
      </c>
      <c r="C10" s="14">
        <v>766744.0</v>
      </c>
      <c r="D10" s="14">
        <v>1791403.0</v>
      </c>
      <c r="E10" s="14">
        <v>3134080.0</v>
      </c>
      <c r="F10" s="14">
        <v>4116604.0</v>
      </c>
      <c r="G10" s="14">
        <v>2282047.0</v>
      </c>
      <c r="H10" s="13"/>
      <c r="I10" s="31" t="s">
        <v>59</v>
      </c>
      <c r="J10" s="38">
        <f t="shared" ref="J10:N10" si="6">+C12/1000</f>
        <v>1829.267</v>
      </c>
      <c r="K10" s="38">
        <f t="shared" si="6"/>
        <v>3403.334</v>
      </c>
      <c r="L10" s="38">
        <f t="shared" si="6"/>
        <v>5982.957</v>
      </c>
      <c r="M10" s="38">
        <f t="shared" si="6"/>
        <v>10027.522</v>
      </c>
      <c r="N10" s="38">
        <f t="shared" si="6"/>
        <v>10969.348</v>
      </c>
      <c r="O10" s="40">
        <f>+'activos fijos'!H5</f>
        <v>17519.14143</v>
      </c>
      <c r="P10" s="40">
        <f>+'activos fijos'!I5</f>
        <v>27979.81398</v>
      </c>
      <c r="Q10" s="40">
        <f>+'activos fijos'!J5</f>
        <v>44686.55004</v>
      </c>
      <c r="R10" s="40">
        <f>+'activos fijos'!K5</f>
        <v>71368.87172</v>
      </c>
      <c r="S10" s="40">
        <f>+'activos fijos'!L5</f>
        <v>113983.1973</v>
      </c>
      <c r="T10" s="13"/>
      <c r="U10" s="13"/>
      <c r="V10" s="13"/>
      <c r="W10" s="13"/>
      <c r="X10" s="13"/>
      <c r="Y10" s="13"/>
      <c r="Z10" s="13"/>
    </row>
    <row r="11" ht="12.0" customHeight="1">
      <c r="A11" s="13"/>
      <c r="B11" s="13" t="s">
        <v>60</v>
      </c>
      <c r="C11" s="14">
        <v>0.0</v>
      </c>
      <c r="D11" s="14">
        <v>0.0</v>
      </c>
      <c r="E11" s="14">
        <v>5919880.0</v>
      </c>
      <c r="F11" s="14">
        <v>6347490.0</v>
      </c>
      <c r="G11" s="14">
        <v>6340031.0</v>
      </c>
      <c r="H11" s="13"/>
      <c r="I11" s="31" t="s">
        <v>61</v>
      </c>
      <c r="J11" s="38">
        <f t="shared" ref="J11:N11" si="7">+C4/1000</f>
        <v>1905.713</v>
      </c>
      <c r="K11" s="38">
        <f t="shared" si="7"/>
        <v>1196.908</v>
      </c>
      <c r="L11" s="38">
        <f t="shared" si="7"/>
        <v>3393.216</v>
      </c>
      <c r="M11" s="38">
        <f t="shared" si="7"/>
        <v>3367.914</v>
      </c>
      <c r="N11" s="38">
        <f t="shared" si="7"/>
        <v>2236.424</v>
      </c>
      <c r="O11" s="40">
        <f>+N11+FCF!H18</f>
        <v>9007.635705</v>
      </c>
      <c r="P11" s="40">
        <f>+O11+FCF!I18</f>
        <v>15933.28109</v>
      </c>
      <c r="Q11" s="40">
        <f>+P11+FCF!J18</f>
        <v>28380.99427</v>
      </c>
      <c r="R11" s="40">
        <f>+Q11+FCF!K18</f>
        <v>49799.18632</v>
      </c>
      <c r="S11" s="40">
        <f>+R11+FCF!L18</f>
        <v>85752.53362</v>
      </c>
      <c r="T11" s="13"/>
      <c r="U11" s="13"/>
      <c r="V11" s="13"/>
      <c r="W11" s="13"/>
      <c r="X11" s="13"/>
      <c r="Y11" s="13"/>
      <c r="Z11" s="13"/>
    </row>
    <row r="12" ht="12.0" customHeight="1">
      <c r="A12" s="13"/>
      <c r="B12" s="13" t="s">
        <v>62</v>
      </c>
      <c r="C12" s="14">
        <v>1829267.0</v>
      </c>
      <c r="D12" s="14">
        <v>3403334.0</v>
      </c>
      <c r="E12" s="14">
        <v>5982957.0</v>
      </c>
      <c r="F12" s="14">
        <v>1.0027522E7</v>
      </c>
      <c r="G12" s="14">
        <v>1.0969348E7</v>
      </c>
      <c r="H12" s="13"/>
      <c r="I12" s="31" t="s">
        <v>63</v>
      </c>
      <c r="J12" s="38">
        <f t="shared" ref="J12:N12" si="8">+(C5+C8+C10+C11+C13+C14+C15+C16)/1000</f>
        <v>915.408</v>
      </c>
      <c r="K12" s="38">
        <f t="shared" si="8"/>
        <v>2020.894</v>
      </c>
      <c r="L12" s="38">
        <f t="shared" si="8"/>
        <v>10721.307</v>
      </c>
      <c r="M12" s="38">
        <f t="shared" si="8"/>
        <v>12481.018</v>
      </c>
      <c r="N12" s="38">
        <f t="shared" si="8"/>
        <v>10809.711</v>
      </c>
      <c r="O12" s="39">
        <f>+O27*'P&amp;L Input'!P8</f>
        <v>7313.233891</v>
      </c>
      <c r="P12" s="39">
        <f>+P27*'P&amp;L Input'!Q8</f>
        <v>7459.498568</v>
      </c>
      <c r="Q12" s="39">
        <f>+Q27*'P&amp;L Input'!R8</f>
        <v>7608.68854</v>
      </c>
      <c r="R12" s="39">
        <f>+R27*'P&amp;L Input'!S8</f>
        <v>7760.862311</v>
      </c>
      <c r="S12" s="39">
        <f>+S27*'P&amp;L Input'!T8</f>
        <v>7916.079557</v>
      </c>
      <c r="T12" s="13"/>
      <c r="U12" s="13"/>
      <c r="V12" s="13"/>
      <c r="W12" s="13"/>
      <c r="X12" s="13"/>
      <c r="Y12" s="13"/>
      <c r="Z12" s="13"/>
    </row>
    <row r="13" ht="12.0" customHeight="1">
      <c r="A13" s="13"/>
      <c r="B13" s="13" t="s">
        <v>64</v>
      </c>
      <c r="C13" s="14">
        <v>0.0</v>
      </c>
      <c r="D13" s="14">
        <v>12816.0</v>
      </c>
      <c r="E13" s="14">
        <v>376145.0</v>
      </c>
      <c r="F13" s="14">
        <v>361502.0</v>
      </c>
      <c r="G13" s="14">
        <v>364690.0</v>
      </c>
      <c r="H13" s="13"/>
      <c r="I13" s="41" t="s">
        <v>65</v>
      </c>
      <c r="J13" s="42">
        <f t="shared" ref="J13:S13" si="9">+SUM(J8:J12)</f>
        <v>5830.667</v>
      </c>
      <c r="K13" s="42">
        <f t="shared" si="9"/>
        <v>8067.939</v>
      </c>
      <c r="L13" s="42">
        <f t="shared" si="9"/>
        <v>22664.076</v>
      </c>
      <c r="M13" s="42">
        <f t="shared" si="9"/>
        <v>28655.372</v>
      </c>
      <c r="N13" s="42">
        <f t="shared" si="9"/>
        <v>27910</v>
      </c>
      <c r="O13" s="43">
        <f t="shared" si="9"/>
        <v>39076.37301</v>
      </c>
      <c r="P13" s="43">
        <f t="shared" si="9"/>
        <v>58466.82755</v>
      </c>
      <c r="Q13" s="43">
        <f t="shared" si="9"/>
        <v>90346.54504</v>
      </c>
      <c r="R13" s="43">
        <f t="shared" si="9"/>
        <v>142175.143</v>
      </c>
      <c r="S13" s="43">
        <f t="shared" si="9"/>
        <v>225866.0807</v>
      </c>
      <c r="T13" s="13"/>
      <c r="U13" s="13"/>
      <c r="V13" s="13"/>
      <c r="W13" s="13"/>
      <c r="X13" s="13"/>
      <c r="Y13" s="13"/>
      <c r="Z13" s="13"/>
    </row>
    <row r="14" ht="12.0" customHeight="1">
      <c r="A14" s="13"/>
      <c r="B14" s="13" t="s">
        <v>66</v>
      </c>
      <c r="C14" s="14">
        <v>0.0</v>
      </c>
      <c r="D14" s="14">
        <v>0.0</v>
      </c>
      <c r="E14" s="14">
        <v>506302.0</v>
      </c>
      <c r="F14" s="14">
        <f>456652+60237</f>
        <v>516889</v>
      </c>
      <c r="G14" s="14">
        <v>434841.0</v>
      </c>
      <c r="H14" s="13"/>
      <c r="I14" s="31" t="s">
        <v>67</v>
      </c>
      <c r="J14" s="38">
        <f t="shared" ref="J14:N14" si="10">+C18/1000</f>
        <v>777.946</v>
      </c>
      <c r="K14" s="38">
        <f t="shared" si="10"/>
        <v>916.148</v>
      </c>
      <c r="L14" s="38">
        <f t="shared" si="10"/>
        <v>1860.341</v>
      </c>
      <c r="M14" s="38">
        <f t="shared" si="10"/>
        <v>2390.25</v>
      </c>
      <c r="N14" s="38">
        <f t="shared" si="10"/>
        <v>3030.493</v>
      </c>
      <c r="O14" s="39">
        <f t="shared" ref="O14:S14" si="11">+N14*(1+O25)</f>
        <v>4062.457646</v>
      </c>
      <c r="P14" s="39">
        <f t="shared" si="11"/>
        <v>4309.975876</v>
      </c>
      <c r="Q14" s="39">
        <f t="shared" si="11"/>
        <v>4572.574946</v>
      </c>
      <c r="R14" s="39">
        <f t="shared" si="11"/>
        <v>4851.173704</v>
      </c>
      <c r="S14" s="39">
        <f t="shared" si="11"/>
        <v>5146.746983</v>
      </c>
      <c r="T14" s="13"/>
      <c r="U14" s="13"/>
      <c r="V14" s="13"/>
      <c r="W14" s="13"/>
      <c r="X14" s="13"/>
      <c r="Y14" s="13"/>
      <c r="Z14" s="13"/>
    </row>
    <row r="15" ht="12.0" customHeight="1">
      <c r="A15" s="13"/>
      <c r="B15" s="13" t="s">
        <v>68</v>
      </c>
      <c r="C15" s="14">
        <v>11374.0</v>
      </c>
      <c r="D15" s="14">
        <v>31522.0</v>
      </c>
      <c r="E15" s="14">
        <v>268165.0</v>
      </c>
      <c r="F15" s="14">
        <v>441722.0</v>
      </c>
      <c r="G15" s="14">
        <v>399992.0</v>
      </c>
      <c r="H15" s="13"/>
      <c r="I15" s="31" t="s">
        <v>69</v>
      </c>
      <c r="J15" s="38">
        <v>0.0</v>
      </c>
      <c r="K15" s="38">
        <v>0.0</v>
      </c>
      <c r="L15" s="38">
        <v>0.0</v>
      </c>
      <c r="M15" s="38">
        <v>0.0</v>
      </c>
      <c r="N15" s="38">
        <v>0.0</v>
      </c>
      <c r="O15" s="39">
        <v>0.0</v>
      </c>
      <c r="P15" s="39">
        <v>0.0</v>
      </c>
      <c r="Q15" s="39">
        <v>0.0</v>
      </c>
      <c r="R15" s="39">
        <v>0.0</v>
      </c>
      <c r="S15" s="39">
        <v>0.0</v>
      </c>
      <c r="T15" s="13"/>
      <c r="U15" s="13"/>
      <c r="V15" s="13"/>
      <c r="W15" s="13"/>
      <c r="X15" s="13"/>
      <c r="Y15" s="13"/>
      <c r="Z15" s="13"/>
    </row>
    <row r="16" ht="12.0" customHeight="1">
      <c r="A16" s="13"/>
      <c r="B16" s="13" t="s">
        <v>63</v>
      </c>
      <c r="C16" s="14">
        <v>43209.0</v>
      </c>
      <c r="D16" s="14">
        <v>46858.0</v>
      </c>
      <c r="E16" s="14">
        <v>216751.0</v>
      </c>
      <c r="F16" s="14">
        <v>273123.0</v>
      </c>
      <c r="G16" s="14">
        <v>419254.0</v>
      </c>
      <c r="H16" s="13"/>
      <c r="I16" s="31" t="s">
        <v>70</v>
      </c>
      <c r="J16" s="38">
        <f t="shared" ref="J16:N16" si="12">+(+C23+C28)/1000</f>
        <v>2429.884</v>
      </c>
      <c r="K16" s="38">
        <f t="shared" si="12"/>
        <v>2649.02</v>
      </c>
      <c r="L16" s="38">
        <f t="shared" si="12"/>
        <v>6844.26</v>
      </c>
      <c r="M16" s="38">
        <f t="shared" si="12"/>
        <v>10212.249</v>
      </c>
      <c r="N16" s="38">
        <f t="shared" si="12"/>
        <v>11616.575</v>
      </c>
      <c r="O16" s="44">
        <f>+'pasivo financiero'!C21</f>
        <v>11184.25594</v>
      </c>
      <c r="P16" s="44">
        <f>+'pasivo financiero'!D21</f>
        <v>10738.96731</v>
      </c>
      <c r="Q16" s="44">
        <f>+'pasivo financiero'!E21</f>
        <v>10280.32002</v>
      </c>
      <c r="R16" s="44">
        <f>+'pasivo financiero'!F21</f>
        <v>9807.913314</v>
      </c>
      <c r="S16" s="44">
        <f>+'pasivo financiero'!G21</f>
        <v>9321.334405</v>
      </c>
      <c r="T16" s="13"/>
      <c r="U16" s="13"/>
      <c r="V16" s="13"/>
      <c r="W16" s="13"/>
      <c r="X16" s="13"/>
      <c r="Y16" s="13"/>
      <c r="Z16" s="13"/>
    </row>
    <row r="17" ht="12.0" customHeight="1">
      <c r="A17" s="13"/>
      <c r="B17" s="34" t="s">
        <v>71</v>
      </c>
      <c r="C17" s="35">
        <f t="shared" ref="C17:G17" si="13">SUM(C9:C16)</f>
        <v>5830667</v>
      </c>
      <c r="D17" s="35">
        <f t="shared" si="13"/>
        <v>8067939</v>
      </c>
      <c r="E17" s="35">
        <f t="shared" si="13"/>
        <v>22664076</v>
      </c>
      <c r="F17" s="35">
        <f t="shared" si="13"/>
        <v>28655372</v>
      </c>
      <c r="G17" s="35">
        <f t="shared" si="13"/>
        <v>27910000</v>
      </c>
      <c r="H17" s="13"/>
      <c r="I17" s="31" t="s">
        <v>72</v>
      </c>
      <c r="J17" s="38">
        <f t="shared" ref="J17:N17" si="14">+(C19+C20+C21+C22+C25+C29)/1000</f>
        <v>1711.127</v>
      </c>
      <c r="K17" s="38">
        <f t="shared" si="14"/>
        <v>3419.067</v>
      </c>
      <c r="L17" s="38">
        <f t="shared" si="14"/>
        <v>8421.389</v>
      </c>
      <c r="M17" s="38">
        <f t="shared" si="14"/>
        <v>10818.285</v>
      </c>
      <c r="N17" s="38">
        <f t="shared" si="14"/>
        <v>7995.819</v>
      </c>
      <c r="O17" s="39">
        <f>+O28*'P&amp;L Input'!P8</f>
        <v>6927.272368</v>
      </c>
      <c r="P17" s="39">
        <f>+P28*'P&amp;L Input'!Q8</f>
        <v>7065.817815</v>
      </c>
      <c r="Q17" s="39">
        <f>+Q28*'P&amp;L Input'!R8</f>
        <v>7207.134172</v>
      </c>
      <c r="R17" s="39">
        <f>+R28*'P&amp;L Input'!S8</f>
        <v>7351.276855</v>
      </c>
      <c r="S17" s="39">
        <f>+S28*'P&amp;L Input'!T8</f>
        <v>7498.302392</v>
      </c>
      <c r="T17" s="13"/>
      <c r="U17" s="13"/>
      <c r="V17" s="13"/>
      <c r="W17" s="13"/>
      <c r="X17" s="13"/>
      <c r="Y17" s="13"/>
      <c r="Z17" s="13"/>
    </row>
    <row r="18" ht="12.0" customHeight="1">
      <c r="A18" s="13"/>
      <c r="B18" s="13" t="s">
        <v>73</v>
      </c>
      <c r="C18" s="14">
        <v>777946.0</v>
      </c>
      <c r="D18" s="14">
        <v>916148.0</v>
      </c>
      <c r="E18" s="14">
        <v>1860341.0</v>
      </c>
      <c r="F18" s="14">
        <v>2390250.0</v>
      </c>
      <c r="G18" s="14">
        <v>3030493.0</v>
      </c>
      <c r="H18" s="13"/>
      <c r="I18" s="41" t="s">
        <v>74</v>
      </c>
      <c r="J18" s="42">
        <f t="shared" ref="J18:S18" si="15">+SUM(J14:J17)</f>
        <v>4918.957</v>
      </c>
      <c r="K18" s="42">
        <f t="shared" si="15"/>
        <v>6984.235</v>
      </c>
      <c r="L18" s="42">
        <f t="shared" si="15"/>
        <v>17125.99</v>
      </c>
      <c r="M18" s="42">
        <f t="shared" si="15"/>
        <v>23420.784</v>
      </c>
      <c r="N18" s="42">
        <f t="shared" si="15"/>
        <v>22642.887</v>
      </c>
      <c r="O18" s="43">
        <f t="shared" si="15"/>
        <v>22173.98596</v>
      </c>
      <c r="P18" s="43">
        <f t="shared" si="15"/>
        <v>22114.761</v>
      </c>
      <c r="Q18" s="43">
        <f t="shared" si="15"/>
        <v>22060.02914</v>
      </c>
      <c r="R18" s="43">
        <f t="shared" si="15"/>
        <v>22010.36387</v>
      </c>
      <c r="S18" s="43">
        <f t="shared" si="15"/>
        <v>21966.38378</v>
      </c>
      <c r="T18" s="13"/>
      <c r="U18" s="13"/>
      <c r="V18" s="13"/>
      <c r="W18" s="13"/>
      <c r="X18" s="13"/>
      <c r="Y18" s="13"/>
      <c r="Z18" s="13"/>
    </row>
    <row r="19" ht="12.0" customHeight="1">
      <c r="A19" s="13"/>
      <c r="B19" s="13" t="s">
        <v>75</v>
      </c>
      <c r="C19" s="14">
        <v>268883.0</v>
      </c>
      <c r="D19" s="14">
        <v>422798.0</v>
      </c>
      <c r="E19" s="14">
        <v>1210028.0</v>
      </c>
      <c r="F19" s="14">
        <v>1731366.0</v>
      </c>
      <c r="G19" s="14">
        <v>1814979.0</v>
      </c>
      <c r="H19" s="13"/>
      <c r="I19" s="41" t="s">
        <v>76</v>
      </c>
      <c r="J19" s="42">
        <f t="shared" ref="J19:N19" si="16">+(C31+C32)/1000</f>
        <v>911.71</v>
      </c>
      <c r="K19" s="42">
        <f t="shared" si="16"/>
        <v>1083.704</v>
      </c>
      <c r="L19" s="42">
        <f t="shared" si="16"/>
        <v>5538.086</v>
      </c>
      <c r="M19" s="42">
        <f t="shared" si="16"/>
        <v>5234.588</v>
      </c>
      <c r="N19" s="42">
        <f t="shared" si="16"/>
        <v>5267.113</v>
      </c>
      <c r="O19" s="45">
        <f>+'variacion en capital'!H8</f>
        <v>16902.04319</v>
      </c>
      <c r="P19" s="45">
        <f>+'variacion en capital'!I8</f>
        <v>36351.62059</v>
      </c>
      <c r="Q19" s="45">
        <f>+'variacion en capital'!J8</f>
        <v>68286.84082</v>
      </c>
      <c r="R19" s="45">
        <f>+'variacion en capital'!K8</f>
        <v>120164.7037</v>
      </c>
      <c r="S19" s="45">
        <f>+'variacion en capital'!L8</f>
        <v>203899.2133</v>
      </c>
      <c r="T19" s="13"/>
      <c r="U19" s="13"/>
      <c r="V19" s="13"/>
      <c r="W19" s="13"/>
      <c r="X19" s="13"/>
      <c r="Y19" s="13"/>
      <c r="Z19" s="13"/>
    </row>
    <row r="20" ht="12.0" customHeight="1">
      <c r="A20" s="13"/>
      <c r="B20" s="13" t="s">
        <v>77</v>
      </c>
      <c r="C20" s="14">
        <v>191651.0</v>
      </c>
      <c r="D20" s="14">
        <v>423961.0</v>
      </c>
      <c r="E20" s="14">
        <v>763126.0</v>
      </c>
      <c r="F20" s="14">
        <v>1015253.0</v>
      </c>
      <c r="G20" s="14">
        <v>576321.0</v>
      </c>
      <c r="H20" s="13"/>
      <c r="I20" s="41" t="s">
        <v>78</v>
      </c>
      <c r="J20" s="38">
        <f t="shared" ref="J20:N20" si="17">+SUM(J18:J19)</f>
        <v>5830.667</v>
      </c>
      <c r="K20" s="38">
        <f t="shared" si="17"/>
        <v>8067.939</v>
      </c>
      <c r="L20" s="38">
        <f t="shared" si="17"/>
        <v>22664.076</v>
      </c>
      <c r="M20" s="38">
        <f t="shared" si="17"/>
        <v>28655.372</v>
      </c>
      <c r="N20" s="38">
        <f t="shared" si="17"/>
        <v>27910</v>
      </c>
      <c r="O20" s="39">
        <f t="shared" ref="O20:S20" si="18">+O18+O19</f>
        <v>39076.02915</v>
      </c>
      <c r="P20" s="39">
        <f t="shared" si="18"/>
        <v>58466.3816</v>
      </c>
      <c r="Q20" s="39">
        <f t="shared" si="18"/>
        <v>90346.86996</v>
      </c>
      <c r="R20" s="39">
        <f t="shared" si="18"/>
        <v>142175.0675</v>
      </c>
      <c r="S20" s="39">
        <f t="shared" si="18"/>
        <v>225865.5971</v>
      </c>
      <c r="T20" s="13"/>
      <c r="U20" s="13"/>
      <c r="V20" s="13"/>
      <c r="W20" s="13"/>
      <c r="X20" s="13"/>
      <c r="Y20" s="13"/>
      <c r="Z20" s="13"/>
    </row>
    <row r="21" ht="12.0" customHeight="1">
      <c r="A21" s="13"/>
      <c r="B21" s="13" t="s">
        <v>79</v>
      </c>
      <c r="C21" s="14">
        <v>0.0</v>
      </c>
      <c r="D21" s="14">
        <v>136831.0</v>
      </c>
      <c r="E21" s="14">
        <v>179504.0</v>
      </c>
      <c r="F21" s="14">
        <v>787333.0</v>
      </c>
      <c r="G21" s="14">
        <v>674255.0</v>
      </c>
      <c r="H21" s="13"/>
      <c r="I21" s="13"/>
      <c r="J21" s="38"/>
      <c r="K21" s="38"/>
      <c r="L21" s="38"/>
      <c r="M21" s="38"/>
      <c r="N21" s="38"/>
      <c r="O21" s="46"/>
      <c r="P21" s="46"/>
      <c r="Q21" s="46"/>
      <c r="R21" s="46"/>
      <c r="S21" s="46"/>
      <c r="T21" s="13"/>
      <c r="U21" s="13"/>
      <c r="V21" s="13"/>
      <c r="W21" s="13"/>
      <c r="X21" s="13"/>
      <c r="Y21" s="13"/>
      <c r="Z21" s="13"/>
    </row>
    <row r="22" ht="12.0" customHeight="1">
      <c r="A22" s="13"/>
      <c r="B22" s="13" t="s">
        <v>80</v>
      </c>
      <c r="C22" s="14">
        <v>257587.0</v>
      </c>
      <c r="D22" s="14">
        <v>283370.0</v>
      </c>
      <c r="E22" s="14">
        <v>663859.0</v>
      </c>
      <c r="F22" s="14">
        <v>853919.0</v>
      </c>
      <c r="G22" s="14">
        <v>942129.0</v>
      </c>
      <c r="H22" s="13"/>
      <c r="I22" s="13" t="s">
        <v>81</v>
      </c>
      <c r="J22" s="38">
        <f t="shared" ref="J22:S22" si="19">+J13-J20</f>
        <v>0</v>
      </c>
      <c r="K22" s="38">
        <f t="shared" si="19"/>
        <v>0</v>
      </c>
      <c r="L22" s="38">
        <f t="shared" si="19"/>
        <v>0</v>
      </c>
      <c r="M22" s="38">
        <f t="shared" si="19"/>
        <v>0</v>
      </c>
      <c r="N22" s="38">
        <f t="shared" si="19"/>
        <v>0</v>
      </c>
      <c r="O22" s="39">
        <f t="shared" si="19"/>
        <v>0.3438632766</v>
      </c>
      <c r="P22" s="39">
        <f t="shared" si="19"/>
        <v>0.4459563281</v>
      </c>
      <c r="Q22" s="39">
        <f t="shared" si="19"/>
        <v>-0.3249188672</v>
      </c>
      <c r="R22" s="39">
        <f t="shared" si="19"/>
        <v>0.07543792637</v>
      </c>
      <c r="S22" s="39">
        <f t="shared" si="19"/>
        <v>0.4836227192</v>
      </c>
      <c r="T22" s="13"/>
      <c r="U22" s="13"/>
      <c r="V22" s="13"/>
      <c r="W22" s="13"/>
      <c r="X22" s="13"/>
      <c r="Y22" s="13"/>
      <c r="Z22" s="13"/>
    </row>
    <row r="23" ht="12.0" customHeight="1">
      <c r="A23" s="13"/>
      <c r="B23" s="13" t="s">
        <v>82</v>
      </c>
      <c r="C23" s="14">
        <v>611099.0</v>
      </c>
      <c r="D23" s="14">
        <v>627927.0</v>
      </c>
      <c r="E23" s="14">
        <v>984211.0</v>
      </c>
      <c r="F23" s="14">
        <v>796549.0</v>
      </c>
      <c r="G23" s="14">
        <v>2103185.0</v>
      </c>
      <c r="H23" s="13"/>
      <c r="I23" s="13"/>
      <c r="J23" s="13"/>
      <c r="K23" s="13"/>
      <c r="L23" s="13"/>
      <c r="M23" s="13"/>
      <c r="N23" s="13"/>
      <c r="O23" s="13"/>
      <c r="P23" s="13"/>
      <c r="Q23" s="13"/>
      <c r="R23" s="13"/>
      <c r="S23" s="13"/>
      <c r="T23" s="13"/>
      <c r="U23" s="13"/>
      <c r="V23" s="13"/>
      <c r="W23" s="13"/>
      <c r="X23" s="13"/>
      <c r="Y23" s="13"/>
      <c r="Z23" s="13"/>
    </row>
    <row r="24" ht="12.0" customHeight="1">
      <c r="A24" s="13"/>
      <c r="B24" s="13" t="s">
        <v>83</v>
      </c>
      <c r="C24" s="14">
        <v>0.0</v>
      </c>
      <c r="D24" s="14"/>
      <c r="E24" s="14"/>
      <c r="F24" s="14"/>
      <c r="G24" s="14"/>
      <c r="H24" s="13"/>
      <c r="I24" s="47" t="s">
        <v>84</v>
      </c>
      <c r="J24" s="48">
        <f>+J8/'P&amp;L Input'!K8</f>
        <v>0.07085014926</v>
      </c>
      <c r="K24" s="48">
        <f>+K8/'P&amp;L Input'!L8</f>
        <v>0.04176074048</v>
      </c>
      <c r="L24" s="48">
        <f>+L8/'P&amp;L Input'!M8</f>
        <v>0.0713046554</v>
      </c>
      <c r="M24" s="48">
        <f>+M8/'P&amp;L Input'!N8</f>
        <v>0.04382956999</v>
      </c>
      <c r="N24" s="48">
        <f>+N8/'P&amp;L Input'!O8</f>
        <v>0.07689588235</v>
      </c>
      <c r="O24" s="48">
        <f t="shared" ref="O24:S24" si="20">+AVERAGE($J$24:$N$24)</f>
        <v>0.0609281995</v>
      </c>
      <c r="P24" s="48">
        <f t="shared" si="20"/>
        <v>0.0609281995</v>
      </c>
      <c r="Q24" s="48">
        <f t="shared" si="20"/>
        <v>0.0609281995</v>
      </c>
      <c r="R24" s="48">
        <f t="shared" si="20"/>
        <v>0.0609281995</v>
      </c>
      <c r="S24" s="48">
        <f t="shared" si="20"/>
        <v>0.0609281995</v>
      </c>
      <c r="T24" s="13"/>
      <c r="U24" s="13"/>
      <c r="V24" s="13"/>
      <c r="W24" s="13"/>
      <c r="X24" s="13"/>
      <c r="Y24" s="13"/>
      <c r="Z24" s="13"/>
    </row>
    <row r="25" ht="12.0" customHeight="1">
      <c r="A25" s="13"/>
      <c r="B25" s="13" t="s">
        <v>85</v>
      </c>
      <c r="C25" s="14">
        <v>0.0</v>
      </c>
      <c r="D25" s="14">
        <v>0.0</v>
      </c>
      <c r="E25" s="14">
        <v>165936.0</v>
      </c>
      <c r="F25" s="14">
        <v>100000.0</v>
      </c>
      <c r="G25" s="14">
        <v>0.0</v>
      </c>
      <c r="H25" s="13"/>
      <c r="I25" s="47" t="s">
        <v>86</v>
      </c>
      <c r="J25" s="48">
        <f>-J14/'P&amp;L Input'!K9</f>
        <v>0.3358013714</v>
      </c>
      <c r="K25" s="48">
        <f>-K14/'P&amp;L Input'!L9</f>
        <v>0.2934000145</v>
      </c>
      <c r="L25" s="48">
        <f>-L14/'P&amp;L Input'!M9</f>
        <v>0.3444517786</v>
      </c>
      <c r="M25" s="48">
        <f>-M14/'P&amp;L Input'!N9</f>
        <v>0.250648472</v>
      </c>
      <c r="N25" s="48">
        <f>-N14/'P&amp;L Input'!O9</f>
        <v>0.4783332907</v>
      </c>
      <c r="O25" s="48">
        <f>+AVERAGE($J$25:$N$25)</f>
        <v>0.3405269854</v>
      </c>
      <c r="P25" s="48">
        <f t="shared" ref="P25:S25" si="21">+AVERAGE($J$24:$N$24)</f>
        <v>0.0609281995</v>
      </c>
      <c r="Q25" s="48">
        <f t="shared" si="21"/>
        <v>0.0609281995</v>
      </c>
      <c r="R25" s="48">
        <f t="shared" si="21"/>
        <v>0.0609281995</v>
      </c>
      <c r="S25" s="48">
        <f t="shared" si="21"/>
        <v>0.0609281995</v>
      </c>
      <c r="T25" s="13"/>
      <c r="U25" s="13"/>
      <c r="V25" s="13"/>
      <c r="W25" s="13"/>
      <c r="X25" s="13"/>
      <c r="Y25" s="13"/>
      <c r="Z25" s="13"/>
    </row>
    <row r="26" ht="12.0" customHeight="1">
      <c r="A26" s="13"/>
      <c r="B26" s="18" t="s">
        <v>87</v>
      </c>
      <c r="C26" s="19">
        <v>2107166.0</v>
      </c>
      <c r="D26" s="19">
        <v>2811035.0</v>
      </c>
      <c r="E26" s="19">
        <v>5827005.0</v>
      </c>
      <c r="F26" s="19">
        <f t="shared" ref="F26:G26" si="22">SUM(F18:F25)</f>
        <v>7674670</v>
      </c>
      <c r="G26" s="19">
        <f t="shared" si="22"/>
        <v>9141362</v>
      </c>
      <c r="H26" s="13"/>
      <c r="I26" s="47" t="s">
        <v>88</v>
      </c>
      <c r="J26" s="48">
        <f>-J9/'P&amp;L Input'!K9</f>
        <v>0.4116550157</v>
      </c>
      <c r="K26" s="48">
        <f>-K9/'P&amp;L Input'!L9</f>
        <v>0.4092326651</v>
      </c>
      <c r="L26" s="48">
        <f>-L9/'P&amp;L Input'!M9</f>
        <v>0.3827998241</v>
      </c>
      <c r="M26" s="48">
        <f>-M9/'P&amp;L Input'!N9</f>
        <v>0.2373609833</v>
      </c>
      <c r="N26" s="48">
        <f>-N9/'P&amp;L Input'!O9</f>
        <v>0.5247619535</v>
      </c>
      <c r="O26" s="48">
        <f t="shared" ref="O26:S26" si="23">+AVERAGE($J$26:$N$26)</f>
        <v>0.3931620883</v>
      </c>
      <c r="P26" s="48">
        <f t="shared" si="23"/>
        <v>0.3931620883</v>
      </c>
      <c r="Q26" s="48">
        <f t="shared" si="23"/>
        <v>0.3931620883</v>
      </c>
      <c r="R26" s="48">
        <f t="shared" si="23"/>
        <v>0.3931620883</v>
      </c>
      <c r="S26" s="48">
        <f t="shared" si="23"/>
        <v>0.3931620883</v>
      </c>
      <c r="T26" s="13"/>
      <c r="U26" s="13"/>
      <c r="V26" s="13"/>
      <c r="W26" s="13"/>
      <c r="X26" s="13"/>
      <c r="Y26" s="13"/>
      <c r="Z26" s="13"/>
    </row>
    <row r="27" ht="12.0" customHeight="1">
      <c r="A27" s="13"/>
      <c r="B27" s="13" t="s">
        <v>89</v>
      </c>
      <c r="C27" s="14"/>
      <c r="D27" s="14"/>
      <c r="E27" s="14"/>
      <c r="F27" s="14"/>
      <c r="G27" s="14"/>
      <c r="H27" s="13"/>
      <c r="I27" s="47" t="s">
        <v>90</v>
      </c>
      <c r="J27" s="49">
        <f>+J12/'P&amp;L Input'!K8</f>
        <v>0.2862120414</v>
      </c>
      <c r="K27" s="49">
        <f>+K12/'P&amp;L Input'!L8</f>
        <v>0.4994763997</v>
      </c>
      <c r="L27" s="49">
        <f>+L12/'P&amp;L Input'!M8</f>
        <v>1.531586404</v>
      </c>
      <c r="M27" s="49">
        <f>+M12/'P&amp;L Input'!N8</f>
        <v>1.061423786</v>
      </c>
      <c r="N27" s="49">
        <f>+N12/'P&amp;L Input'!O8</f>
        <v>1.458607105</v>
      </c>
      <c r="O27" s="49">
        <f t="shared" ref="O27:S27" si="24">+AVERAGE($J$27:$N$27)</f>
        <v>0.9674611472</v>
      </c>
      <c r="P27" s="49">
        <f t="shared" si="24"/>
        <v>0.9674611472</v>
      </c>
      <c r="Q27" s="49">
        <f t="shared" si="24"/>
        <v>0.9674611472</v>
      </c>
      <c r="R27" s="49">
        <f t="shared" si="24"/>
        <v>0.9674611472</v>
      </c>
      <c r="S27" s="49">
        <f t="shared" si="24"/>
        <v>0.9674611472</v>
      </c>
      <c r="T27" s="13"/>
      <c r="U27" s="13"/>
      <c r="V27" s="13"/>
      <c r="W27" s="13"/>
      <c r="X27" s="13"/>
      <c r="Y27" s="13"/>
      <c r="Z27" s="13"/>
    </row>
    <row r="28" ht="12.0" customHeight="1">
      <c r="A28" s="13"/>
      <c r="B28" s="13" t="s">
        <v>66</v>
      </c>
      <c r="C28" s="14">
        <v>1818785.0</v>
      </c>
      <c r="D28" s="14">
        <v>2021093.0</v>
      </c>
      <c r="E28" s="14">
        <v>5860049.0</v>
      </c>
      <c r="F28" s="14">
        <v>9415700.0</v>
      </c>
      <c r="G28" s="14">
        <v>9513390.0</v>
      </c>
      <c r="H28" s="13"/>
      <c r="I28" s="47" t="s">
        <v>91</v>
      </c>
      <c r="J28" s="49">
        <f>+J17/'P&amp;L Input'!K8</f>
        <v>0.5350020448</v>
      </c>
      <c r="K28" s="49">
        <f>+K17/'P&amp;L Input'!L8</f>
        <v>0.8450434686</v>
      </c>
      <c r="L28" s="49">
        <f>+L17/'P&amp;L Input'!M8</f>
        <v>1.203032886</v>
      </c>
      <c r="M28" s="49">
        <f>+M17/'P&amp;L Input'!N8</f>
        <v>0.9200199069</v>
      </c>
      <c r="N28" s="49">
        <f>+N17/'P&amp;L Input'!O8</f>
        <v>1.078914913</v>
      </c>
      <c r="O28" s="49">
        <f t="shared" ref="O28:S28" si="25">+AVERAGE($J$28:$N$28)</f>
        <v>0.9164026438</v>
      </c>
      <c r="P28" s="49">
        <f t="shared" si="25"/>
        <v>0.9164026438</v>
      </c>
      <c r="Q28" s="49">
        <f t="shared" si="25"/>
        <v>0.9164026438</v>
      </c>
      <c r="R28" s="49">
        <f t="shared" si="25"/>
        <v>0.9164026438</v>
      </c>
      <c r="S28" s="49">
        <f t="shared" si="25"/>
        <v>0.9164026438</v>
      </c>
      <c r="T28" s="13"/>
      <c r="U28" s="13"/>
      <c r="V28" s="13"/>
      <c r="W28" s="13"/>
      <c r="X28" s="13"/>
      <c r="Y28" s="13"/>
      <c r="Z28" s="13"/>
    </row>
    <row r="29" ht="12.0" customHeight="1">
      <c r="A29" s="13"/>
      <c r="B29" s="13" t="s">
        <v>72</v>
      </c>
      <c r="C29" s="14">
        <v>993006.0</v>
      </c>
      <c r="D29" s="14">
        <v>2152107.0</v>
      </c>
      <c r="E29" s="14">
        <v>5438936.0</v>
      </c>
      <c r="F29" s="14">
        <v>6330414.0</v>
      </c>
      <c r="G29" s="14">
        <f>795820+584857+2607458</f>
        <v>3988135</v>
      </c>
      <c r="H29" s="13"/>
      <c r="I29" s="13"/>
      <c r="J29" s="13"/>
      <c r="K29" s="13"/>
      <c r="L29" s="13"/>
      <c r="M29" s="13"/>
      <c r="N29" s="13"/>
      <c r="O29" s="13"/>
      <c r="P29" s="13"/>
      <c r="Q29" s="13"/>
      <c r="R29" s="13"/>
      <c r="S29" s="13"/>
      <c r="T29" s="13"/>
      <c r="U29" s="13"/>
      <c r="V29" s="13"/>
      <c r="W29" s="13"/>
      <c r="X29" s="13"/>
      <c r="Y29" s="13"/>
      <c r="Z29" s="13"/>
    </row>
    <row r="30" ht="12.0" customHeight="1">
      <c r="A30" s="13"/>
      <c r="B30" s="50" t="s">
        <v>92</v>
      </c>
      <c r="C30" s="51">
        <f t="shared" ref="C30:G30" si="26">SUM(C26:C29)</f>
        <v>4918957</v>
      </c>
      <c r="D30" s="51">
        <f t="shared" si="26"/>
        <v>6984235</v>
      </c>
      <c r="E30" s="51">
        <f t="shared" si="26"/>
        <v>17125990</v>
      </c>
      <c r="F30" s="51">
        <f t="shared" si="26"/>
        <v>23420784</v>
      </c>
      <c r="G30" s="51">
        <f t="shared" si="26"/>
        <v>22642887</v>
      </c>
      <c r="H30" s="13"/>
      <c r="I30" s="13"/>
      <c r="J30" s="13"/>
      <c r="K30" s="13"/>
      <c r="L30" s="13"/>
      <c r="M30" s="13"/>
      <c r="N30" s="13"/>
      <c r="O30" s="13"/>
      <c r="P30" s="13"/>
      <c r="Q30" s="13"/>
      <c r="R30" s="13"/>
      <c r="S30" s="13"/>
      <c r="T30" s="13"/>
      <c r="U30" s="13"/>
      <c r="V30" s="13"/>
      <c r="W30" s="13"/>
      <c r="X30" s="13"/>
      <c r="Y30" s="13"/>
      <c r="Z30" s="13"/>
    </row>
    <row r="31" ht="12.0" customHeight="1">
      <c r="A31" s="13"/>
      <c r="B31" s="50" t="s">
        <v>93</v>
      </c>
      <c r="C31" s="51">
        <v>911710.0</v>
      </c>
      <c r="D31" s="51">
        <v>1083704.0</v>
      </c>
      <c r="E31" s="51">
        <v>4752911.0</v>
      </c>
      <c r="F31" s="51">
        <v>4237242.0</v>
      </c>
      <c r="G31" s="51">
        <f>3906421+539536</f>
        <v>4445957</v>
      </c>
      <c r="H31" s="13"/>
      <c r="I31" s="13"/>
      <c r="J31" s="13"/>
      <c r="K31" s="13"/>
      <c r="L31" s="13"/>
      <c r="M31" s="13"/>
      <c r="N31" s="13"/>
      <c r="O31" s="13"/>
      <c r="P31" s="13"/>
      <c r="Q31" s="13"/>
      <c r="R31" s="13"/>
      <c r="S31" s="13"/>
      <c r="T31" s="13"/>
      <c r="U31" s="13"/>
      <c r="V31" s="13"/>
      <c r="W31" s="13"/>
      <c r="X31" s="13"/>
      <c r="Y31" s="13"/>
      <c r="Z31" s="13"/>
    </row>
    <row r="32" ht="12.0" customHeight="1">
      <c r="A32" s="13"/>
      <c r="B32" s="13" t="s">
        <v>94</v>
      </c>
      <c r="C32" s="14">
        <v>0.0</v>
      </c>
      <c r="D32" s="14">
        <v>0.0</v>
      </c>
      <c r="E32" s="14">
        <v>785175.0</v>
      </c>
      <c r="F32" s="14">
        <v>997346.0</v>
      </c>
      <c r="G32" s="14">
        <v>821156.0</v>
      </c>
      <c r="H32" s="13"/>
      <c r="I32" s="13"/>
      <c r="J32" s="13"/>
      <c r="K32" s="13"/>
      <c r="L32" s="13"/>
      <c r="M32" s="13"/>
      <c r="N32" s="13"/>
      <c r="O32" s="13"/>
      <c r="P32" s="13"/>
      <c r="Q32" s="13"/>
      <c r="R32" s="13"/>
      <c r="S32" s="13"/>
      <c r="T32" s="13"/>
      <c r="U32" s="13"/>
      <c r="V32" s="13"/>
      <c r="W32" s="13"/>
      <c r="X32" s="13"/>
      <c r="Y32" s="13"/>
      <c r="Z32" s="13"/>
    </row>
    <row r="33" ht="12.0" customHeight="1">
      <c r="A33" s="13"/>
      <c r="B33" s="34" t="s">
        <v>95</v>
      </c>
      <c r="C33" s="35">
        <f t="shared" ref="C33:G33" si="27">C30+C31+C32</f>
        <v>5830667</v>
      </c>
      <c r="D33" s="35">
        <f t="shared" si="27"/>
        <v>8067939</v>
      </c>
      <c r="E33" s="35">
        <f t="shared" si="27"/>
        <v>22664076</v>
      </c>
      <c r="F33" s="35">
        <f t="shared" si="27"/>
        <v>28655372</v>
      </c>
      <c r="G33" s="35">
        <f t="shared" si="27"/>
        <v>27910000</v>
      </c>
      <c r="H33" s="13"/>
      <c r="I33" s="13"/>
      <c r="J33" s="13"/>
      <c r="K33" s="13"/>
      <c r="L33" s="13"/>
      <c r="M33" s="13"/>
      <c r="N33" s="13"/>
      <c r="O33" s="13"/>
      <c r="P33" s="13"/>
      <c r="Q33" s="13"/>
      <c r="R33" s="13"/>
      <c r="S33" s="13"/>
      <c r="T33" s="13"/>
      <c r="U33" s="13"/>
      <c r="V33" s="13"/>
      <c r="W33" s="13"/>
      <c r="X33" s="13"/>
      <c r="Y33" s="13"/>
      <c r="Z33" s="13"/>
    </row>
    <row r="34" ht="12.0" customHeight="1">
      <c r="A34" s="13"/>
      <c r="B34" s="13"/>
      <c r="C34" s="13"/>
      <c r="D34" s="13"/>
      <c r="E34" s="13"/>
      <c r="F34" s="52"/>
      <c r="G34" s="52"/>
      <c r="H34" s="13"/>
      <c r="I34" s="13"/>
      <c r="J34" s="13"/>
      <c r="K34" s="13"/>
      <c r="L34" s="13"/>
      <c r="M34" s="13"/>
      <c r="N34" s="13"/>
      <c r="O34" s="13"/>
      <c r="P34" s="13"/>
      <c r="Q34" s="13"/>
      <c r="R34" s="13"/>
      <c r="S34" s="13"/>
      <c r="T34" s="13"/>
      <c r="U34" s="13"/>
      <c r="V34" s="13"/>
      <c r="W34" s="13"/>
      <c r="X34" s="13"/>
      <c r="Y34" s="13"/>
      <c r="Z34" s="13"/>
    </row>
    <row r="35" ht="12.0"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0"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0"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0"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0"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0"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0"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0"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0"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0"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0"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0"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0"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0"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0"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0"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0"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0"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0"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0"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0"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0"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0"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0"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0"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0"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0"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0"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0"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0"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0"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0"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0"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0"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0"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0"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0"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0"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0"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0"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0"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0"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0"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0"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0"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0"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0"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0"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0"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0"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0"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0"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0"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0"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0"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0"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0"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0"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0"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0"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0"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0"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0"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0"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0"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0"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0"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0"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0"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0"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0"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0"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0"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0"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0"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0"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0"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0"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0"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0"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0"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0"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0"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0"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0"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0"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0"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0"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0"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0"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0"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0"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0"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0"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0"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0"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0"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0"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0"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0"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0"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0"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0"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0"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0"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0"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0"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0"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0"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0"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0"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0"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0"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0"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0"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0"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0"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0"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0"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0"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0"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0"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0"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0"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0"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0"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0"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0"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0"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0"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0"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0"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0"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0"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0"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0"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0"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0"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0"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0"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0"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0"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0"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0"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0"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0"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0"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0"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0"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0"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0"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0"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0"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0"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0"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0"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0"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0"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0"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0"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0"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0"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0"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0"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0"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0"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0"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0"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0"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0"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0"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0"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0"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0"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0"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0"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0"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0"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0"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0"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0"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0"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0"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0"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0"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0"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0"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0"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0"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0"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0"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0"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0"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0"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0"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0"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0"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0"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0"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0"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0"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0"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0"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0"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0"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0"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0"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0"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0"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0"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0"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0"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0"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0"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0"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0"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0"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0"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0"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0"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0"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0"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0"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0"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0"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0"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0"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0"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0"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0"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0"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0"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0"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0"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0"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0"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0"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0"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0"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0"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0"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0"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0"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0"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0"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0"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0"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0"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0"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0"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0"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0"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0"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0"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0"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0"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0"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0"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0"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0"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0"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0"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0"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0"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0"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0"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0"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0"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0"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0"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0"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0"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0"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0"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0"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0"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0"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0"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0"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0"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0"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0"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0"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0"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0"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0"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0"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0"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0"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0"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0"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0"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0"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0"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0"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0"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0"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0"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0"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0"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0"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0"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0"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0"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0"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0"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0"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0"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0"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0"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0"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0"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0"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0"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0"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0"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0"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0"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0"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0"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0"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0"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0"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0"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0"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0"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0"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0"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0"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0"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0"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0"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0"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0"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0"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0"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0"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0"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0"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0"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0"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0"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0"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0"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0"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0"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0"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0"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0"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0"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0"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0"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0"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0"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0"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0"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0"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0"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0"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0"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0"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0"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0"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0"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0"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0"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0"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0"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0"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0"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0"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0"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0"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0"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0"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0"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0"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0"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0"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0"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0"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0"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0"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0"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0"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0"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0"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0"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0"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0"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0"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0"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0"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0"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0"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0"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0"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0"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0"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0"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0"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0"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0"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0"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0"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0"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0"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0"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0"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0"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0"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0"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0"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0"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0"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0"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0"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0"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0"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0"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0"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0"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0"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0"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0"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0"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0"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0"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0"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0"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0"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0"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0"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0"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0"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0"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0"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0"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0"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0"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0"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0"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0"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0"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0"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0"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0"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0"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0"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0"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0"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0"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0"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0"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0"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0"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0"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0"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0"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0"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0"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0"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0"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0"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0"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0"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0"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0"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0"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0"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0"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0"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0"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0"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0"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0"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0"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0"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0"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0"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0"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0"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0"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0"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0"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0"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0"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0"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0"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0"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0"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0"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0"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0"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0"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0"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0"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0"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0"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0"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0"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0"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0"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0"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0"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0"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0"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0"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0"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0"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0"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0"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0"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0"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0"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0"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0"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0"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0"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0"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0"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0"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0"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0"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0"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0"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0"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0"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0"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0"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0"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0"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0"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0"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0"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0"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0"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0"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0"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0"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0"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0"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0"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0"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0"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0"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0"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0"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0"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0"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0"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0"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0"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0"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0"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0"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0"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0"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0"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0"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0"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0"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0"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0"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0"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0"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0"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0"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0"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0"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0"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0"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0"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0"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0"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0"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0"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0"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0"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0"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0"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0"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0"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0"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0"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0"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0"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0"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0"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0"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0"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0"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0"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0"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0"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0"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0"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0"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0"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0"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0"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0"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0"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0"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0"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0"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0"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0"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0"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0"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0"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0"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0"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0"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0"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0"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0"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0"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0"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0"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0"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0"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0"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0"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0"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0"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0"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0"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0"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0"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0"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0"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0"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0"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0"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0"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0"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0"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0"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0"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0"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0"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0"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0"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0"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0"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0"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0"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0"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0"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0"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0"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0"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0"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0"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0"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0"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0"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0"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0"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0"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0"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0"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0"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0"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0"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0"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0"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0"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0"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0"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0"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0"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0"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0"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0"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0"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0"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0"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0"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0"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0"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0"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0"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0"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0"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0"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0"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0"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0"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0"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0"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0"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0"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0"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0"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0"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0"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0"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0"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0"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0"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0"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0"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0"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0"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0"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0"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0"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0"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0"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0"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0"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0"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0"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0"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0"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0"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0"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0"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0"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0"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0"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0"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0"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0"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0"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0"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0"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0"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0"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0"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0"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0"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0"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0"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0"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0"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0"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0"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0"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0"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0"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0"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0"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0"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0"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0"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0"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0"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0"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0"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0"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0"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0"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0"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0"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0"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0"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0"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0"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0"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0"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0"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0"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0"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0"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0"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0"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0"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0"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0"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0"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0"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0"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0"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0"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0"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0"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0"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
    <mergeCell ref="H1:O2"/>
    <mergeCell ref="O6:S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3.88"/>
    <col customWidth="1" min="3" max="3" width="10.63"/>
    <col customWidth="1" min="4" max="4" width="12.25"/>
    <col customWidth="1" min="5" max="7" width="11.88"/>
    <col customWidth="1" min="8" max="26" width="10.63"/>
  </cols>
  <sheetData>
    <row r="1" ht="12.75" customHeight="1">
      <c r="B1" s="53" t="s">
        <v>96</v>
      </c>
      <c r="H1" s="54" t="s">
        <v>13</v>
      </c>
      <c r="I1" s="4"/>
      <c r="J1" s="4"/>
      <c r="K1" s="4"/>
      <c r="L1" s="5"/>
    </row>
    <row r="2" ht="12.75" customHeight="1">
      <c r="H2" s="10"/>
      <c r="I2" s="11"/>
      <c r="J2" s="11"/>
      <c r="K2" s="11"/>
      <c r="L2" s="12"/>
    </row>
    <row r="3" ht="12.75" customHeight="1">
      <c r="B3" s="55"/>
      <c r="C3" s="9">
        <v>2014.0</v>
      </c>
      <c r="D3" s="9">
        <v>2015.0</v>
      </c>
      <c r="E3" s="9">
        <v>2016.0</v>
      </c>
      <c r="F3" s="9">
        <v>2017.0</v>
      </c>
      <c r="G3" s="9">
        <v>2018.0</v>
      </c>
      <c r="H3" s="56">
        <v>2019.0</v>
      </c>
      <c r="I3" s="56">
        <v>2020.0</v>
      </c>
      <c r="J3" s="56">
        <v>2021.0</v>
      </c>
      <c r="K3" s="56">
        <v>2022.0</v>
      </c>
      <c r="L3" s="56">
        <v>2023.0</v>
      </c>
    </row>
    <row r="4" ht="12.75" customHeight="1">
      <c r="B4" s="31" t="str">
        <f>+'P&amp;L Input'!B15</f>
        <v>EBIT</v>
      </c>
      <c r="D4" s="57">
        <f>+'P&amp;L Input'!L12</f>
        <v>-716.629</v>
      </c>
      <c r="E4" s="57">
        <f>+'P&amp;L Input'!M12</f>
        <v>-667.34</v>
      </c>
      <c r="F4" s="57">
        <f>+'P&amp;L Input'!N12</f>
        <v>-1632.086</v>
      </c>
      <c r="G4" s="57">
        <f>+'P&amp;L Input'!O12</f>
        <v>-1218.366</v>
      </c>
      <c r="H4" s="58">
        <f>+'P&amp;L Input'!P12</f>
        <v>-982.6962132</v>
      </c>
      <c r="I4" s="58">
        <f>+'P&amp;L Input'!Q12</f>
        <v>-1002.350137</v>
      </c>
      <c r="J4" s="58">
        <f>+'P&amp;L Input'!R12</f>
        <v>-1022.39714</v>
      </c>
      <c r="K4" s="58">
        <f>+'P&amp;L Input'!S12</f>
        <v>-1042.845083</v>
      </c>
      <c r="L4" s="58">
        <f>+'P&amp;L Input'!T12</f>
        <v>-1063.701985</v>
      </c>
    </row>
    <row r="5" ht="12.75" customHeight="1">
      <c r="B5" s="31" t="s">
        <v>97</v>
      </c>
      <c r="D5" s="57">
        <f>+'P&amp;L Input'!L13</f>
        <v>-158.995</v>
      </c>
      <c r="E5" s="57">
        <f>+'P&amp;L Input'!M13</f>
        <v>-79.008</v>
      </c>
      <c r="F5" s="57">
        <f>+'P&amp;L Input'!N13</f>
        <v>-576.946</v>
      </c>
      <c r="G5" s="57">
        <f>+'P&amp;L Input'!O13</f>
        <v>-289.655</v>
      </c>
      <c r="H5" s="59">
        <f>+'pasivo financiero'!C19</f>
        <v>-348.49725</v>
      </c>
      <c r="I5" s="59">
        <f>+'pasivo financiero'!D19</f>
        <v>-335.5276782</v>
      </c>
      <c r="J5" s="59">
        <f>+'pasivo financiero'!E19</f>
        <v>-322.1690193</v>
      </c>
      <c r="K5" s="59">
        <f>+'pasivo financiero'!F19</f>
        <v>-308.4096007</v>
      </c>
      <c r="L5" s="59">
        <f>+'pasivo financiero'!G19</f>
        <v>-294.2373994</v>
      </c>
    </row>
    <row r="6" ht="12.75" customHeight="1">
      <c r="B6" s="31" t="s">
        <v>43</v>
      </c>
      <c r="D6" s="57">
        <f>+'P&amp;L Input'!L15</f>
        <v>-13.039</v>
      </c>
      <c r="E6" s="57">
        <f>+'P&amp;L Input'!M15</f>
        <v>-26.698</v>
      </c>
      <c r="F6" s="57">
        <f>+'P&amp;L Input'!N15</f>
        <v>-31.546</v>
      </c>
      <c r="G6" s="57">
        <f>+'P&amp;L Input'!O15</f>
        <v>-19.312</v>
      </c>
      <c r="H6" s="58">
        <f>+'P&amp;L Input'!P15</f>
        <v>-133.1193463</v>
      </c>
      <c r="I6" s="58">
        <f>+'P&amp;L Input'!Q15</f>
        <v>-133.7877816</v>
      </c>
      <c r="J6" s="58">
        <f>+'P&amp;L Input'!R15</f>
        <v>-134.456616</v>
      </c>
      <c r="K6" s="58">
        <f>+'P&amp;L Input'!S15</f>
        <v>-135.1254684</v>
      </c>
      <c r="L6" s="58">
        <f>+'P&amp;L Input'!T15</f>
        <v>-135.7939384</v>
      </c>
    </row>
    <row r="7" ht="12.75" customHeight="1">
      <c r="B7" s="31" t="s">
        <v>98</v>
      </c>
      <c r="D7" s="57">
        <f>-('Balance Sheet Input'!K8-'Balance Sheet Input'!J8)</f>
        <v>57.639</v>
      </c>
      <c r="E7" s="57">
        <f>-('Balance Sheet Input'!L8-'Balance Sheet Input'!K8)</f>
        <v>-330.177</v>
      </c>
      <c r="F7" s="57">
        <f>-('Balance Sheet Input'!M8-'Balance Sheet Input'!L8)</f>
        <v>-16.239</v>
      </c>
      <c r="G7" s="57">
        <f>-('Balance Sheet Input'!N8-'Balance Sheet Input'!M8)</f>
        <v>-54.493</v>
      </c>
      <c r="H7" s="58">
        <f>-('Balance Sheet Input'!O8-'Balance Sheet Input'!N8)</f>
        <v>-34.72139676</v>
      </c>
      <c r="I7" s="58">
        <f>-('Balance Sheet Input'!P8-'Balance Sheet Input'!O8)</f>
        <v>-36.83690895</v>
      </c>
      <c r="J7" s="58">
        <f>-('Balance Sheet Input'!Q8-'Balance Sheet Input'!P8)</f>
        <v>-39.08131549</v>
      </c>
      <c r="K7" s="58">
        <f>-('Balance Sheet Input'!R8-'Balance Sheet Input'!Q8)</f>
        <v>-41.46246967</v>
      </c>
      <c r="L7" s="58">
        <f>-('Balance Sheet Input'!S8-'Balance Sheet Input'!R8)</f>
        <v>-43.9887033</v>
      </c>
    </row>
    <row r="8" ht="12.75" customHeight="1">
      <c r="B8" s="31" t="s">
        <v>99</v>
      </c>
      <c r="D8" s="57">
        <f>-('Balance Sheet Input'!K9-'Balance Sheet Input'!J9)</f>
        <v>-324.163</v>
      </c>
      <c r="E8" s="57">
        <f>-('Balance Sheet Input'!L9-'Balance Sheet Input'!K9)</f>
        <v>-789.616</v>
      </c>
      <c r="F8" s="57">
        <f>-('Balance Sheet Input'!M9-'Balance Sheet Input'!L9)</f>
        <v>-196.083</v>
      </c>
      <c r="G8" s="57">
        <f>-('Balance Sheet Input'!N9-'Balance Sheet Input'!M9)</f>
        <v>-1061.106</v>
      </c>
      <c r="H8" s="58">
        <f>-('Balance Sheet Input'!O9-'Balance Sheet Input'!N9)</f>
        <v>-1307.123585</v>
      </c>
      <c r="I8" s="58">
        <f>-('Balance Sheet Input'!P9-'Balance Sheet Input'!O9)</f>
        <v>-1821.035023</v>
      </c>
      <c r="J8" s="58">
        <f>-('Balance Sheet Input'!Q9-'Balance Sheet Input'!P9)</f>
        <v>-2536.996956</v>
      </c>
      <c r="K8" s="58">
        <f>-('Balance Sheet Input'!R9-'Balance Sheet Input'!Q9)</f>
        <v>-3534.447977</v>
      </c>
      <c r="L8" s="58">
        <f>-('Balance Sheet Input'!S9-'Balance Sheet Input'!R9)</f>
        <v>-4924.058925</v>
      </c>
    </row>
    <row r="9" ht="12.75" customHeight="1">
      <c r="B9" s="31" t="s">
        <v>100</v>
      </c>
      <c r="D9" s="57">
        <f>+'Balance Sheet Input'!K14-'Balance Sheet Input'!J14</f>
        <v>138.202</v>
      </c>
      <c r="E9" s="57">
        <f>+'Balance Sheet Input'!L14-'Balance Sheet Input'!K14</f>
        <v>944.193</v>
      </c>
      <c r="F9" s="57">
        <f>+'Balance Sheet Input'!M14-'Balance Sheet Input'!L14</f>
        <v>529.909</v>
      </c>
      <c r="G9" s="57">
        <f>+'Balance Sheet Input'!N14-'Balance Sheet Input'!M14</f>
        <v>640.243</v>
      </c>
      <c r="H9" s="58">
        <f>+'Balance Sheet Input'!O14-'Balance Sheet Input'!N14</f>
        <v>1031.964646</v>
      </c>
      <c r="I9" s="58">
        <f>+'Balance Sheet Input'!P14-'Balance Sheet Input'!O14</f>
        <v>247.5182299</v>
      </c>
      <c r="J9" s="58">
        <f>+'Balance Sheet Input'!Q14-'Balance Sheet Input'!P14</f>
        <v>262.59907</v>
      </c>
      <c r="K9" s="58">
        <f>+'Balance Sheet Input'!R14-'Balance Sheet Input'!Q14</f>
        <v>278.5987585</v>
      </c>
      <c r="L9" s="58">
        <f>+'Balance Sheet Input'!S14-'Balance Sheet Input'!R14</f>
        <v>295.5732792</v>
      </c>
    </row>
    <row r="10" ht="12.75" customHeight="1">
      <c r="B10" s="31" t="s">
        <v>101</v>
      </c>
      <c r="D10" s="57">
        <f>-('Balance Sheet Input'!K12-'Balance Sheet Input'!J12)</f>
        <v>-1105.486</v>
      </c>
      <c r="E10" s="57">
        <f>-('Balance Sheet Input'!L12-'Balance Sheet Input'!K12)</f>
        <v>-8700.413</v>
      </c>
      <c r="F10" s="57">
        <f>-('Balance Sheet Input'!M12-'Balance Sheet Input'!L12)</f>
        <v>-1759.711</v>
      </c>
      <c r="G10" s="57">
        <f>-('Balance Sheet Input'!N12-'Balance Sheet Input'!M12)</f>
        <v>1671.307</v>
      </c>
      <c r="H10" s="58">
        <f>-('Balance Sheet Input'!O12-'Balance Sheet Input'!N12)</f>
        <v>3496.477109</v>
      </c>
      <c r="I10" s="58">
        <f>-('Balance Sheet Input'!P12-'Balance Sheet Input'!O12)</f>
        <v>-146.2646778</v>
      </c>
      <c r="J10" s="58">
        <f>-('Balance Sheet Input'!Q12-'Balance Sheet Input'!P12)</f>
        <v>-149.1899714</v>
      </c>
      <c r="K10" s="58">
        <f>-('Balance Sheet Input'!R12-'Balance Sheet Input'!Q12)</f>
        <v>-152.1737708</v>
      </c>
      <c r="L10" s="58">
        <f>-('Balance Sheet Input'!S12-'Balance Sheet Input'!R12)</f>
        <v>-155.2172462</v>
      </c>
    </row>
    <row r="11" ht="12.75" customHeight="1">
      <c r="B11" s="31" t="s">
        <v>102</v>
      </c>
      <c r="D11" s="57">
        <f>+'Balance Sheet Input'!K17-'Balance Sheet Input'!J17</f>
        <v>1707.94</v>
      </c>
      <c r="E11" s="57">
        <f>+'Balance Sheet Input'!L17-'Balance Sheet Input'!K17</f>
        <v>5002.322</v>
      </c>
      <c r="F11" s="57">
        <f>+'Balance Sheet Input'!M17-'Balance Sheet Input'!L17</f>
        <v>2396.896</v>
      </c>
      <c r="G11" s="57">
        <f>+'Balance Sheet Input'!N17-'Balance Sheet Input'!M17</f>
        <v>-2822.466</v>
      </c>
      <c r="H11" s="58">
        <f>+'Balance Sheet Input'!O17-'Balance Sheet Input'!N17</f>
        <v>-1068.546632</v>
      </c>
      <c r="I11" s="58">
        <f>+'Balance Sheet Input'!P17-'Balance Sheet Input'!O17</f>
        <v>138.5454474</v>
      </c>
      <c r="J11" s="58">
        <f>+'Balance Sheet Input'!Q17-'Balance Sheet Input'!P17</f>
        <v>141.3163563</v>
      </c>
      <c r="K11" s="58">
        <f>+'Balance Sheet Input'!R17-'Balance Sheet Input'!Q17</f>
        <v>144.1426834</v>
      </c>
      <c r="L11" s="58">
        <f>+'Balance Sheet Input'!S17-'Balance Sheet Input'!R17</f>
        <v>147.0255371</v>
      </c>
    </row>
    <row r="12" ht="12.75" customHeight="1">
      <c r="B12" s="31" t="s">
        <v>103</v>
      </c>
      <c r="D12" s="60">
        <f>+'activos fijos'!D4</f>
        <v>1574.067</v>
      </c>
      <c r="E12" s="60">
        <f>+'activos fijos'!E4</f>
        <v>2579.623</v>
      </c>
      <c r="F12" s="60">
        <f>+'activos fijos'!F4</f>
        <v>4044.565</v>
      </c>
      <c r="G12" s="60">
        <f>+'activos fijos'!G4</f>
        <v>941.826</v>
      </c>
      <c r="H12" s="60">
        <f>+'activos fijos'!H4</f>
        <v>6549.793432</v>
      </c>
      <c r="I12" s="60">
        <f>+'activos fijos'!I4</f>
        <v>10460.67255</v>
      </c>
      <c r="J12" s="60">
        <f>+'activos fijos'!J4</f>
        <v>16706.73606</v>
      </c>
      <c r="K12" s="60">
        <f>+'activos fijos'!K4</f>
        <v>26682.32168</v>
      </c>
      <c r="L12" s="60">
        <f>+'activos fijos'!L4</f>
        <v>42614.32559</v>
      </c>
    </row>
    <row r="13" ht="12.75" customHeight="1">
      <c r="B13" s="61" t="s">
        <v>104</v>
      </c>
      <c r="C13" s="62"/>
      <c r="D13" s="63">
        <f t="shared" ref="D13:L13" si="1">+SUM(D4:D12)</f>
        <v>1159.536</v>
      </c>
      <c r="E13" s="63">
        <f t="shared" si="1"/>
        <v>-2067.114</v>
      </c>
      <c r="F13" s="63">
        <f t="shared" si="1"/>
        <v>2758.759</v>
      </c>
      <c r="G13" s="63">
        <f t="shared" si="1"/>
        <v>-2212.022</v>
      </c>
      <c r="H13" s="64">
        <f t="shared" si="1"/>
        <v>7203.530763</v>
      </c>
      <c r="I13" s="64">
        <f t="shared" si="1"/>
        <v>7370.934017</v>
      </c>
      <c r="J13" s="64">
        <f t="shared" si="1"/>
        <v>12906.36047</v>
      </c>
      <c r="K13" s="64">
        <f t="shared" si="1"/>
        <v>21890.59875</v>
      </c>
      <c r="L13" s="64">
        <f t="shared" si="1"/>
        <v>36439.92621</v>
      </c>
    </row>
    <row r="14" ht="12.75" customHeight="1">
      <c r="B14" s="31" t="s">
        <v>105</v>
      </c>
      <c r="D14" s="58">
        <v>0.0</v>
      </c>
      <c r="E14" s="58">
        <v>0.0</v>
      </c>
      <c r="F14" s="58">
        <v>0.0</v>
      </c>
      <c r="G14" s="58">
        <v>0.0</v>
      </c>
      <c r="H14" s="58">
        <v>0.0</v>
      </c>
      <c r="I14" s="58">
        <v>0.0</v>
      </c>
      <c r="J14" s="58">
        <v>0.0</v>
      </c>
      <c r="K14" s="58">
        <v>0.0</v>
      </c>
      <c r="L14" s="58">
        <v>0.0</v>
      </c>
    </row>
    <row r="15" ht="12.75" customHeight="1">
      <c r="B15" s="31" t="s">
        <v>106</v>
      </c>
      <c r="D15" s="60"/>
      <c r="E15" s="60">
        <f>+'pasivo financiero'!E7-'pasivo financiero'!D7</f>
        <v>4195.24</v>
      </c>
      <c r="F15" s="60">
        <f>+'pasivo financiero'!F7-'pasivo financiero'!E7</f>
        <v>3367.989</v>
      </c>
      <c r="G15" s="60">
        <f>+'pasivo financiero'!G7-'pasivo financiero'!F7</f>
        <v>1404.326</v>
      </c>
      <c r="H15" s="60">
        <f>+'pasivo financiero'!H7-'pasivo financiero'!G7</f>
        <v>-432.3190585</v>
      </c>
      <c r="I15" s="60">
        <f>+'pasivo financiero'!I7-'pasivo financiero'!H7</f>
        <v>-445.2886302</v>
      </c>
      <c r="J15" s="60">
        <f>+'pasivo financiero'!J7-'pasivo financiero'!I7</f>
        <v>-458.6472891</v>
      </c>
      <c r="K15" s="60">
        <f>+'pasivo financiero'!K7-'pasivo financiero'!J7</f>
        <v>-472.4067078</v>
      </c>
      <c r="L15" s="60">
        <f>+'pasivo financiero'!L7-'pasivo financiero'!K7</f>
        <v>-486.578909</v>
      </c>
    </row>
    <row r="16" ht="12.75" customHeight="1">
      <c r="B16" s="31" t="s">
        <v>107</v>
      </c>
      <c r="D16" s="57">
        <f>+'Balance Sheet Input'!K15</f>
        <v>0</v>
      </c>
      <c r="E16" s="57">
        <f>+'Balance Sheet Input'!L15</f>
        <v>0</v>
      </c>
      <c r="F16" s="57">
        <f>+'Balance Sheet Input'!M15</f>
        <v>0</v>
      </c>
      <c r="G16" s="57">
        <f>+'Balance Sheet Input'!N15</f>
        <v>0</v>
      </c>
      <c r="H16" s="57">
        <f>+'Balance Sheet Input'!O15</f>
        <v>0</v>
      </c>
      <c r="I16" s="57">
        <f>+'Balance Sheet Input'!P15</f>
        <v>0</v>
      </c>
      <c r="J16" s="57">
        <f>+'Balance Sheet Input'!Q15</f>
        <v>0</v>
      </c>
      <c r="K16" s="57">
        <f>+'Balance Sheet Input'!R15</f>
        <v>0</v>
      </c>
      <c r="L16" s="57">
        <f>+'Balance Sheet Input'!S15</f>
        <v>0</v>
      </c>
    </row>
    <row r="17" ht="12.75" customHeight="1">
      <c r="B17" s="31" t="s">
        <v>108</v>
      </c>
      <c r="D17" s="60"/>
      <c r="E17" s="60">
        <v>0.0</v>
      </c>
      <c r="F17" s="60">
        <v>0.0</v>
      </c>
      <c r="G17" s="60">
        <v>0.0</v>
      </c>
      <c r="H17" s="60">
        <v>0.0</v>
      </c>
      <c r="I17" s="60">
        <v>0.0</v>
      </c>
      <c r="J17" s="60">
        <v>0.0</v>
      </c>
      <c r="K17" s="60">
        <v>0.0</v>
      </c>
      <c r="L17" s="60">
        <v>0.0</v>
      </c>
    </row>
    <row r="18" ht="12.75" customHeight="1">
      <c r="B18" s="61" t="s">
        <v>109</v>
      </c>
      <c r="D18" s="63">
        <f t="shared" ref="D18:L18" si="2">+SUM(D13:D17)</f>
        <v>1159.536</v>
      </c>
      <c r="E18" s="63">
        <f t="shared" si="2"/>
        <v>2128.126</v>
      </c>
      <c r="F18" s="63">
        <f t="shared" si="2"/>
        <v>6126.748</v>
      </c>
      <c r="G18" s="63">
        <f t="shared" si="2"/>
        <v>-807.696</v>
      </c>
      <c r="H18" s="64">
        <f t="shared" si="2"/>
        <v>6771.211705</v>
      </c>
      <c r="I18" s="64">
        <f t="shared" si="2"/>
        <v>6925.645386</v>
      </c>
      <c r="J18" s="64">
        <f t="shared" si="2"/>
        <v>12447.71318</v>
      </c>
      <c r="K18" s="64">
        <f t="shared" si="2"/>
        <v>21418.19204</v>
      </c>
      <c r="L18" s="64">
        <f t="shared" si="2"/>
        <v>35953.3473</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G2"/>
    <mergeCell ref="H1:L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1.63"/>
    <col customWidth="1" min="3" max="26" width="10.63"/>
  </cols>
  <sheetData>
    <row r="1" ht="41.25" customHeight="1">
      <c r="A1" s="65" t="s">
        <v>110</v>
      </c>
      <c r="F1" s="66"/>
      <c r="G1" s="66"/>
      <c r="H1" s="67" t="s">
        <v>13</v>
      </c>
      <c r="M1" s="66"/>
      <c r="N1" s="66"/>
      <c r="O1" s="66"/>
      <c r="P1" s="66"/>
      <c r="Q1" s="66"/>
      <c r="R1" s="66"/>
      <c r="S1" s="66"/>
      <c r="T1" s="66"/>
      <c r="U1" s="66"/>
      <c r="V1" s="66"/>
      <c r="W1" s="66"/>
      <c r="X1" s="66"/>
      <c r="Y1" s="66"/>
      <c r="Z1" s="66"/>
    </row>
    <row r="2" ht="12.75" customHeight="1">
      <c r="C2" s="9">
        <v>2014.0</v>
      </c>
      <c r="D2" s="9">
        <v>2015.0</v>
      </c>
      <c r="E2" s="9">
        <v>2016.0</v>
      </c>
      <c r="F2" s="9">
        <v>2017.0</v>
      </c>
      <c r="G2" s="68">
        <v>2018.0</v>
      </c>
      <c r="H2" s="69">
        <v>2019.0</v>
      </c>
      <c r="I2" s="21">
        <v>2020.0</v>
      </c>
      <c r="J2" s="21">
        <v>2021.0</v>
      </c>
      <c r="K2" s="21">
        <v>2022.0</v>
      </c>
      <c r="L2" s="21">
        <v>2023.0</v>
      </c>
    </row>
    <row r="3" ht="12.75" customHeight="1">
      <c r="B3" s="70" t="s">
        <v>111</v>
      </c>
      <c r="D3" s="57">
        <f>+'Balance Sheet Input'!J10</f>
        <v>1829.267</v>
      </c>
      <c r="E3" s="57">
        <f t="shared" ref="E3:L3" si="1">+D5</f>
        <v>3403.334</v>
      </c>
      <c r="F3" s="57">
        <f t="shared" si="1"/>
        <v>5982.957</v>
      </c>
      <c r="G3" s="57">
        <f t="shared" si="1"/>
        <v>10027.522</v>
      </c>
      <c r="H3" s="71">
        <f t="shared" si="1"/>
        <v>10969.348</v>
      </c>
      <c r="I3" s="57">
        <f t="shared" si="1"/>
        <v>17519.14143</v>
      </c>
      <c r="J3" s="57">
        <f t="shared" si="1"/>
        <v>27979.81398</v>
      </c>
      <c r="K3" s="57">
        <f t="shared" si="1"/>
        <v>44686.55004</v>
      </c>
      <c r="L3" s="57">
        <f t="shared" si="1"/>
        <v>71368.87172</v>
      </c>
    </row>
    <row r="4" ht="12.75" customHeight="1">
      <c r="B4" s="70" t="s">
        <v>112</v>
      </c>
      <c r="D4" s="57">
        <f t="shared" ref="D4:G4" si="2">+D5-D3</f>
        <v>1574.067</v>
      </c>
      <c r="E4" s="57">
        <f t="shared" si="2"/>
        <v>2579.623</v>
      </c>
      <c r="F4" s="57">
        <f t="shared" si="2"/>
        <v>4044.565</v>
      </c>
      <c r="G4" s="57">
        <f t="shared" si="2"/>
        <v>941.826</v>
      </c>
      <c r="H4" s="71">
        <f t="shared" ref="H4:L4" si="3">+H3*H8</f>
        <v>6549.793432</v>
      </c>
      <c r="I4" s="57">
        <f t="shared" si="3"/>
        <v>10460.67255</v>
      </c>
      <c r="J4" s="57">
        <f t="shared" si="3"/>
        <v>16706.73606</v>
      </c>
      <c r="K4" s="57">
        <f t="shared" si="3"/>
        <v>26682.32168</v>
      </c>
      <c r="L4" s="57">
        <f t="shared" si="3"/>
        <v>42614.32559</v>
      </c>
    </row>
    <row r="5" ht="12.75" customHeight="1">
      <c r="B5" s="70" t="s">
        <v>113</v>
      </c>
      <c r="D5" s="63">
        <f>+'Balance Sheet Input'!K10</f>
        <v>3403.334</v>
      </c>
      <c r="E5" s="63">
        <f>+'Balance Sheet Input'!L10</f>
        <v>5982.957</v>
      </c>
      <c r="F5" s="63">
        <f>+'Balance Sheet Input'!M10</f>
        <v>10027.522</v>
      </c>
      <c r="G5" s="63">
        <f>+'Balance Sheet Input'!N10</f>
        <v>10969.348</v>
      </c>
      <c r="H5" s="72">
        <f t="shared" ref="H5:L5" si="4">+H3+H4</f>
        <v>17519.14143</v>
      </c>
      <c r="I5" s="63">
        <f t="shared" si="4"/>
        <v>27979.81398</v>
      </c>
      <c r="J5" s="63">
        <f t="shared" si="4"/>
        <v>44686.55004</v>
      </c>
      <c r="K5" s="63">
        <f t="shared" si="4"/>
        <v>71368.87172</v>
      </c>
      <c r="L5" s="63">
        <f t="shared" si="4"/>
        <v>113983.1973</v>
      </c>
    </row>
    <row r="6" ht="12.75" customHeight="1">
      <c r="B6" s="31"/>
    </row>
    <row r="7" ht="12.75" customHeight="1">
      <c r="B7" s="31"/>
    </row>
    <row r="8" ht="12.75" customHeight="1">
      <c r="B8" s="73" t="s">
        <v>114</v>
      </c>
      <c r="D8" s="74">
        <f t="shared" ref="D8:G8" si="5">+D4/D3</f>
        <v>0.8604905681</v>
      </c>
      <c r="E8" s="74">
        <f t="shared" si="5"/>
        <v>0.7579693912</v>
      </c>
      <c r="F8" s="74">
        <f t="shared" si="5"/>
        <v>0.6760143855</v>
      </c>
      <c r="G8" s="74">
        <f t="shared" si="5"/>
        <v>0.09392410209</v>
      </c>
      <c r="H8" s="74">
        <f t="shared" ref="H8:L8" si="6">+AVERAGE($D$8:$G$8)</f>
        <v>0.5970996117</v>
      </c>
      <c r="I8" s="74">
        <f t="shared" si="6"/>
        <v>0.5970996117</v>
      </c>
      <c r="J8" s="74">
        <f t="shared" si="6"/>
        <v>0.5970996117</v>
      </c>
      <c r="K8" s="74">
        <f t="shared" si="6"/>
        <v>0.5970996117</v>
      </c>
      <c r="L8" s="74">
        <f t="shared" si="6"/>
        <v>0.5970996117</v>
      </c>
    </row>
    <row r="9" ht="12.75" customHeight="1"/>
    <row r="10" ht="12.75" customHeight="1">
      <c r="B10" s="75" t="s">
        <v>115</v>
      </c>
    </row>
    <row r="11" ht="12.75" customHeight="1"/>
    <row r="12" ht="12.75" customHeight="1"/>
    <row r="13" ht="12.75" customHeight="1"/>
    <row r="14" ht="12.75" customHeight="1"/>
    <row r="15" ht="12.75" customHeight="1">
      <c r="B15" s="55" t="s">
        <v>116</v>
      </c>
    </row>
    <row r="16" ht="12.75" customHeight="1"/>
    <row r="17" ht="12.75" customHeight="1">
      <c r="B17" s="75" t="s">
        <v>117</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10:L14"/>
    <mergeCell ref="B15:J16"/>
    <mergeCell ref="B17:I19"/>
    <mergeCell ref="H1:L1"/>
    <mergeCell ref="A1:E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7.25"/>
    <col customWidth="1" min="3" max="26" width="10.63"/>
  </cols>
  <sheetData>
    <row r="1" ht="12.75" customHeight="1">
      <c r="B1" s="76" t="s">
        <v>118</v>
      </c>
      <c r="H1" s="54" t="s">
        <v>13</v>
      </c>
      <c r="I1" s="4"/>
      <c r="J1" s="4"/>
      <c r="K1" s="4"/>
      <c r="L1" s="5"/>
    </row>
    <row r="2" ht="12.75" customHeight="1">
      <c r="B2" s="76"/>
      <c r="C2" s="76"/>
      <c r="D2" s="76"/>
      <c r="E2" s="76"/>
      <c r="F2" s="76"/>
      <c r="G2" s="76"/>
      <c r="H2" s="10"/>
      <c r="I2" s="11"/>
      <c r="J2" s="11"/>
      <c r="K2" s="11"/>
      <c r="L2" s="12"/>
    </row>
    <row r="3" ht="12.75" customHeight="1">
      <c r="C3" s="9">
        <v>2014.0</v>
      </c>
      <c r="D3" s="9">
        <v>2015.0</v>
      </c>
      <c r="E3" s="9">
        <v>2016.0</v>
      </c>
      <c r="F3" s="9">
        <v>2017.0</v>
      </c>
      <c r="G3" s="9">
        <v>2018.0</v>
      </c>
      <c r="H3" s="21">
        <v>2019.0</v>
      </c>
      <c r="I3" s="21">
        <v>2020.0</v>
      </c>
      <c r="J3" s="21">
        <v>2021.0</v>
      </c>
      <c r="K3" s="21">
        <v>2022.0</v>
      </c>
      <c r="L3" s="21">
        <v>2023.0</v>
      </c>
    </row>
    <row r="4" ht="12.75" customHeight="1">
      <c r="B4" s="77" t="s">
        <v>119</v>
      </c>
      <c r="D4" s="57">
        <f>+'Balance Sheet Input'!J16</f>
        <v>2429.884</v>
      </c>
      <c r="E4" s="57">
        <f t="shared" ref="E4:L4" si="1">+D7</f>
        <v>2649.02</v>
      </c>
      <c r="F4" s="57">
        <f t="shared" si="1"/>
        <v>6844.26</v>
      </c>
      <c r="G4" s="57">
        <f t="shared" si="1"/>
        <v>10212.249</v>
      </c>
      <c r="H4" s="57">
        <f t="shared" si="1"/>
        <v>11616.575</v>
      </c>
      <c r="I4" s="57">
        <f t="shared" si="1"/>
        <v>11184.25594</v>
      </c>
      <c r="J4" s="57">
        <f t="shared" si="1"/>
        <v>10738.96731</v>
      </c>
      <c r="K4" s="57">
        <f t="shared" si="1"/>
        <v>10280.32002</v>
      </c>
      <c r="L4" s="57">
        <f t="shared" si="1"/>
        <v>9807.913314</v>
      </c>
    </row>
    <row r="5" ht="12.75" customHeight="1">
      <c r="B5" s="78" t="s">
        <v>120</v>
      </c>
      <c r="C5" s="57">
        <v>0.0</v>
      </c>
      <c r="D5" s="57">
        <v>0.0</v>
      </c>
      <c r="E5" s="57">
        <v>0.0</v>
      </c>
      <c r="F5" s="57">
        <v>0.0</v>
      </c>
      <c r="G5" s="57">
        <v>0.0</v>
      </c>
      <c r="H5" s="57">
        <v>0.0</v>
      </c>
      <c r="I5" s="57">
        <v>0.0</v>
      </c>
      <c r="J5" s="57">
        <v>0.0</v>
      </c>
      <c r="K5" s="57">
        <v>0.0</v>
      </c>
      <c r="L5" s="57">
        <v>0.0</v>
      </c>
    </row>
    <row r="6" ht="12.75" customHeight="1">
      <c r="B6" s="78" t="s">
        <v>121</v>
      </c>
      <c r="D6" s="57">
        <f t="shared" ref="D6:G6" si="2">+D7-D4</f>
        <v>219.136</v>
      </c>
      <c r="E6" s="57">
        <f t="shared" si="2"/>
        <v>4195.24</v>
      </c>
      <c r="F6" s="57">
        <f t="shared" si="2"/>
        <v>3367.989</v>
      </c>
      <c r="G6" s="57">
        <f t="shared" si="2"/>
        <v>1404.326</v>
      </c>
      <c r="H6" s="79">
        <f t="shared" ref="H6:L6" si="3">+C20</f>
        <v>-432.3190585</v>
      </c>
      <c r="I6" s="79">
        <f t="shared" si="3"/>
        <v>-445.2886302</v>
      </c>
      <c r="J6" s="79">
        <f t="shared" si="3"/>
        <v>-458.6472891</v>
      </c>
      <c r="K6" s="79">
        <f t="shared" si="3"/>
        <v>-472.4067078</v>
      </c>
      <c r="L6" s="79">
        <f t="shared" si="3"/>
        <v>-486.578909</v>
      </c>
    </row>
    <row r="7" ht="12.75" customHeight="1">
      <c r="B7" s="80" t="s">
        <v>122</v>
      </c>
      <c r="D7" s="57">
        <f>+'Balance Sheet Input'!K16</f>
        <v>2649.02</v>
      </c>
      <c r="E7" s="57">
        <f>+'Balance Sheet Input'!L16</f>
        <v>6844.26</v>
      </c>
      <c r="F7" s="57">
        <f>+'Balance Sheet Input'!M16</f>
        <v>10212.249</v>
      </c>
      <c r="G7" s="57">
        <f>+'Balance Sheet Input'!N16</f>
        <v>11616.575</v>
      </c>
      <c r="H7" s="57">
        <f t="shared" ref="H7:L7" si="4">+SUM(H4:H6)</f>
        <v>11184.25594</v>
      </c>
      <c r="I7" s="57">
        <f t="shared" si="4"/>
        <v>10738.96731</v>
      </c>
      <c r="J7" s="57">
        <f t="shared" si="4"/>
        <v>10280.32002</v>
      </c>
      <c r="K7" s="57">
        <f t="shared" si="4"/>
        <v>9807.913314</v>
      </c>
      <c r="L7" s="57">
        <f t="shared" si="4"/>
        <v>9321.334405</v>
      </c>
    </row>
    <row r="8" ht="12.75" customHeight="1"/>
    <row r="9" ht="12.75" customHeight="1">
      <c r="B9" s="81" t="s">
        <v>123</v>
      </c>
      <c r="C9" s="31"/>
      <c r="D9" s="82"/>
      <c r="E9" s="82"/>
      <c r="F9" s="82"/>
      <c r="G9" s="82"/>
      <c r="H9" s="82"/>
      <c r="I9" s="82"/>
      <c r="J9" s="82"/>
    </row>
    <row r="10" ht="12.75" customHeight="1">
      <c r="B10" s="31" t="s">
        <v>124</v>
      </c>
      <c r="C10" s="31">
        <v>20.0</v>
      </c>
      <c r="D10" s="82"/>
      <c r="E10" s="82"/>
      <c r="F10" s="82"/>
      <c r="G10" s="82"/>
      <c r="H10" s="82"/>
      <c r="I10" s="82"/>
      <c r="J10" s="82"/>
    </row>
    <row r="11" ht="12.75" customHeight="1">
      <c r="B11" s="31" t="s">
        <v>125</v>
      </c>
      <c r="C11" s="33">
        <v>0.03</v>
      </c>
      <c r="D11" s="31"/>
      <c r="E11" s="31"/>
      <c r="F11" s="31"/>
      <c r="G11" s="31"/>
      <c r="H11" s="31"/>
      <c r="I11" s="31"/>
      <c r="J11" s="31"/>
    </row>
    <row r="12" ht="12.75" customHeight="1">
      <c r="B12" s="31" t="s">
        <v>126</v>
      </c>
      <c r="C12" s="83">
        <f>+PMT(C11,C10,G7,,0)</f>
        <v>-780.8163085</v>
      </c>
      <c r="D12" s="31"/>
      <c r="E12" s="31"/>
      <c r="F12" s="31"/>
      <c r="G12" s="31"/>
      <c r="H12" s="31"/>
      <c r="I12" s="31"/>
      <c r="J12" s="31"/>
    </row>
    <row r="13" ht="12.75" customHeight="1"/>
    <row r="14" ht="12.75" customHeight="1"/>
    <row r="15" ht="12.75" customHeight="1">
      <c r="B15" s="81" t="s">
        <v>127</v>
      </c>
      <c r="C15" s="31"/>
      <c r="D15" s="31"/>
      <c r="E15" s="31"/>
      <c r="F15" s="31"/>
      <c r="G15" s="31"/>
      <c r="H15" s="31"/>
      <c r="I15" s="31"/>
      <c r="J15" s="31"/>
      <c r="K15" s="31"/>
      <c r="L15" s="31"/>
      <c r="M15" s="31"/>
    </row>
    <row r="16" ht="12.75" customHeight="1">
      <c r="B16" s="31"/>
      <c r="C16" s="31"/>
      <c r="D16" s="31"/>
      <c r="E16" s="31"/>
      <c r="F16" s="31"/>
      <c r="G16" s="31"/>
      <c r="H16" s="31"/>
      <c r="I16" s="31"/>
      <c r="J16" s="31"/>
      <c r="K16" s="31"/>
      <c r="L16" s="31"/>
      <c r="M16" s="31"/>
    </row>
    <row r="17" ht="12.75" customHeight="1">
      <c r="B17" s="84" t="s">
        <v>128</v>
      </c>
      <c r="C17" s="70">
        <v>1.0</v>
      </c>
      <c r="D17" s="70">
        <v>2.0</v>
      </c>
      <c r="E17" s="70">
        <v>3.0</v>
      </c>
      <c r="F17" s="70">
        <v>4.0</v>
      </c>
      <c r="G17" s="70">
        <v>5.0</v>
      </c>
      <c r="H17" s="70">
        <v>6.0</v>
      </c>
      <c r="I17" s="70">
        <v>7.0</v>
      </c>
      <c r="J17" s="70">
        <v>8.0</v>
      </c>
      <c r="K17" s="70">
        <v>9.0</v>
      </c>
      <c r="L17" s="70">
        <v>10.0</v>
      </c>
      <c r="M17" s="70">
        <v>11.0</v>
      </c>
      <c r="N17" s="70">
        <v>12.0</v>
      </c>
      <c r="O17" s="70">
        <v>13.0</v>
      </c>
      <c r="P17" s="70">
        <v>14.0</v>
      </c>
      <c r="Q17" s="70">
        <v>15.0</v>
      </c>
      <c r="R17" s="70">
        <v>16.0</v>
      </c>
      <c r="S17" s="70">
        <v>17.0</v>
      </c>
      <c r="T17" s="70">
        <v>18.0</v>
      </c>
      <c r="U17" s="70">
        <v>19.0</v>
      </c>
      <c r="V17" s="70">
        <v>20.0</v>
      </c>
    </row>
    <row r="18" ht="12.75" customHeight="1">
      <c r="B18" s="84" t="s">
        <v>126</v>
      </c>
      <c r="C18" s="85">
        <f t="shared" ref="C18:V18" si="5">+$C$12</f>
        <v>-780.8163085</v>
      </c>
      <c r="D18" s="86">
        <f t="shared" si="5"/>
        <v>-780.8163085</v>
      </c>
      <c r="E18" s="86">
        <f t="shared" si="5"/>
        <v>-780.8163085</v>
      </c>
      <c r="F18" s="86">
        <f t="shared" si="5"/>
        <v>-780.8163085</v>
      </c>
      <c r="G18" s="86">
        <f t="shared" si="5"/>
        <v>-780.8163085</v>
      </c>
      <c r="H18" s="86">
        <f t="shared" si="5"/>
        <v>-780.8163085</v>
      </c>
      <c r="I18" s="86">
        <f t="shared" si="5"/>
        <v>-780.8163085</v>
      </c>
      <c r="J18" s="86">
        <f t="shared" si="5"/>
        <v>-780.8163085</v>
      </c>
      <c r="K18" s="86">
        <f t="shared" si="5"/>
        <v>-780.8163085</v>
      </c>
      <c r="L18" s="86">
        <f t="shared" si="5"/>
        <v>-780.8163085</v>
      </c>
      <c r="M18" s="86">
        <f t="shared" si="5"/>
        <v>-780.8163085</v>
      </c>
      <c r="N18" s="86">
        <f t="shared" si="5"/>
        <v>-780.8163085</v>
      </c>
      <c r="O18" s="86">
        <f t="shared" si="5"/>
        <v>-780.8163085</v>
      </c>
      <c r="P18" s="86">
        <f t="shared" si="5"/>
        <v>-780.8163085</v>
      </c>
      <c r="Q18" s="86">
        <f t="shared" si="5"/>
        <v>-780.8163085</v>
      </c>
      <c r="R18" s="86">
        <f t="shared" si="5"/>
        <v>-780.8163085</v>
      </c>
      <c r="S18" s="86">
        <f t="shared" si="5"/>
        <v>-780.8163085</v>
      </c>
      <c r="T18" s="86">
        <f t="shared" si="5"/>
        <v>-780.8163085</v>
      </c>
      <c r="U18" s="86">
        <f t="shared" si="5"/>
        <v>-780.8163085</v>
      </c>
      <c r="V18" s="86">
        <f t="shared" si="5"/>
        <v>-780.8163085</v>
      </c>
    </row>
    <row r="19" ht="12.75" customHeight="1">
      <c r="B19" s="84" t="s">
        <v>129</v>
      </c>
      <c r="C19" s="86">
        <f>+-C11*G7</f>
        <v>-348.49725</v>
      </c>
      <c r="D19" s="86">
        <f t="shared" ref="D19:V19" si="6">+$C$11*-C21</f>
        <v>-335.5276782</v>
      </c>
      <c r="E19" s="86">
        <f t="shared" si="6"/>
        <v>-322.1690193</v>
      </c>
      <c r="F19" s="86">
        <f t="shared" si="6"/>
        <v>-308.4096007</v>
      </c>
      <c r="G19" s="86">
        <f t="shared" si="6"/>
        <v>-294.2373994</v>
      </c>
      <c r="H19" s="86">
        <f t="shared" si="6"/>
        <v>-279.6400322</v>
      </c>
      <c r="I19" s="86">
        <f t="shared" si="6"/>
        <v>-264.6047439</v>
      </c>
      <c r="J19" s="86">
        <f t="shared" si="6"/>
        <v>-249.1183969</v>
      </c>
      <c r="K19" s="86">
        <f t="shared" si="6"/>
        <v>-233.1674596</v>
      </c>
      <c r="L19" s="86">
        <f t="shared" si="6"/>
        <v>-216.7379941</v>
      </c>
      <c r="M19" s="86">
        <f t="shared" si="6"/>
        <v>-199.8156447</v>
      </c>
      <c r="N19" s="86">
        <f t="shared" si="6"/>
        <v>-182.3856248</v>
      </c>
      <c r="O19" s="86">
        <f t="shared" si="6"/>
        <v>-164.4327043</v>
      </c>
      <c r="P19" s="86">
        <f t="shared" si="6"/>
        <v>-145.9411961</v>
      </c>
      <c r="Q19" s="86">
        <f t="shared" si="6"/>
        <v>-126.8949428</v>
      </c>
      <c r="R19" s="86">
        <f t="shared" si="6"/>
        <v>-107.2773018</v>
      </c>
      <c r="S19" s="86">
        <f t="shared" si="6"/>
        <v>-87.07113159</v>
      </c>
      <c r="T19" s="86">
        <f t="shared" si="6"/>
        <v>-66.25877629</v>
      </c>
      <c r="U19" s="86">
        <f t="shared" si="6"/>
        <v>-44.82205032</v>
      </c>
      <c r="V19" s="86">
        <f t="shared" si="6"/>
        <v>-22.74222258</v>
      </c>
    </row>
    <row r="20" ht="12.75" customHeight="1">
      <c r="B20" s="84" t="s">
        <v>130</v>
      </c>
      <c r="C20" s="86">
        <f t="shared" ref="C20:V20" si="7">+C18-C19</f>
        <v>-432.3190585</v>
      </c>
      <c r="D20" s="86">
        <f t="shared" si="7"/>
        <v>-445.2886302</v>
      </c>
      <c r="E20" s="86">
        <f t="shared" si="7"/>
        <v>-458.6472891</v>
      </c>
      <c r="F20" s="86">
        <f t="shared" si="7"/>
        <v>-472.4067078</v>
      </c>
      <c r="G20" s="86">
        <f t="shared" si="7"/>
        <v>-486.578909</v>
      </c>
      <c r="H20" s="86">
        <f t="shared" si="7"/>
        <v>-501.1762763</v>
      </c>
      <c r="I20" s="86">
        <f t="shared" si="7"/>
        <v>-516.2115646</v>
      </c>
      <c r="J20" s="86">
        <f t="shared" si="7"/>
        <v>-531.6979115</v>
      </c>
      <c r="K20" s="86">
        <f t="shared" si="7"/>
        <v>-547.6488489</v>
      </c>
      <c r="L20" s="86">
        <f t="shared" si="7"/>
        <v>-564.0783144</v>
      </c>
      <c r="M20" s="86">
        <f t="shared" si="7"/>
        <v>-581.0006638</v>
      </c>
      <c r="N20" s="86">
        <f t="shared" si="7"/>
        <v>-598.4306837</v>
      </c>
      <c r="O20" s="86">
        <f t="shared" si="7"/>
        <v>-616.3836042</v>
      </c>
      <c r="P20" s="86">
        <f t="shared" si="7"/>
        <v>-634.8751123</v>
      </c>
      <c r="Q20" s="86">
        <f t="shared" si="7"/>
        <v>-653.9213657</v>
      </c>
      <c r="R20" s="86">
        <f t="shared" si="7"/>
        <v>-673.5390067</v>
      </c>
      <c r="S20" s="86">
        <f t="shared" si="7"/>
        <v>-693.7451769</v>
      </c>
      <c r="T20" s="86">
        <f t="shared" si="7"/>
        <v>-714.5575322</v>
      </c>
      <c r="U20" s="86">
        <f t="shared" si="7"/>
        <v>-735.9942582</v>
      </c>
      <c r="V20" s="87">
        <f t="shared" si="7"/>
        <v>-758.0740859</v>
      </c>
    </row>
    <row r="21" ht="12.75" customHeight="1">
      <c r="B21" s="84" t="s">
        <v>131</v>
      </c>
      <c r="C21" s="88">
        <f>+C20+G7</f>
        <v>11184.25594</v>
      </c>
      <c r="D21" s="88">
        <f t="shared" ref="D21:V21" si="8">+C21+D20</f>
        <v>10738.96731</v>
      </c>
      <c r="E21" s="88">
        <f t="shared" si="8"/>
        <v>10280.32002</v>
      </c>
      <c r="F21" s="88">
        <f t="shared" si="8"/>
        <v>9807.913314</v>
      </c>
      <c r="G21" s="88">
        <f t="shared" si="8"/>
        <v>9321.334405</v>
      </c>
      <c r="H21" s="88">
        <f t="shared" si="8"/>
        <v>8820.158129</v>
      </c>
      <c r="I21" s="88">
        <f t="shared" si="8"/>
        <v>8303.946564</v>
      </c>
      <c r="J21" s="88">
        <f t="shared" si="8"/>
        <v>7772.248653</v>
      </c>
      <c r="K21" s="88">
        <f t="shared" si="8"/>
        <v>7224.599804</v>
      </c>
      <c r="L21" s="88">
        <f t="shared" si="8"/>
        <v>6660.52149</v>
      </c>
      <c r="M21" s="88">
        <f t="shared" si="8"/>
        <v>6079.520826</v>
      </c>
      <c r="N21" s="88">
        <f t="shared" si="8"/>
        <v>5481.090142</v>
      </c>
      <c r="O21" s="88">
        <f t="shared" si="8"/>
        <v>4864.706538</v>
      </c>
      <c r="P21" s="88">
        <f t="shared" si="8"/>
        <v>4229.831426</v>
      </c>
      <c r="Q21" s="88">
        <f t="shared" si="8"/>
        <v>3575.91006</v>
      </c>
      <c r="R21" s="88">
        <f t="shared" si="8"/>
        <v>2902.371053</v>
      </c>
      <c r="S21" s="88">
        <f t="shared" si="8"/>
        <v>2208.625876</v>
      </c>
      <c r="T21" s="88">
        <f t="shared" si="8"/>
        <v>1494.068344</v>
      </c>
      <c r="U21" s="88">
        <f t="shared" si="8"/>
        <v>758.0740859</v>
      </c>
      <c r="V21" s="88">
        <f t="shared" si="8"/>
        <v>0</v>
      </c>
    </row>
    <row r="22" ht="12.75" customHeight="1"/>
    <row r="23" ht="12.75" customHeight="1">
      <c r="B23" s="75" t="s">
        <v>132</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3:J28"/>
    <mergeCell ref="B1:G1"/>
    <mergeCell ref="H1:L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5.63"/>
    <col customWidth="1" min="3" max="26" width="10.63"/>
  </cols>
  <sheetData>
    <row r="1" ht="12.75" customHeight="1">
      <c r="B1" s="76" t="s">
        <v>133</v>
      </c>
      <c r="H1" s="89" t="s">
        <v>13</v>
      </c>
    </row>
    <row r="2" ht="12.75" customHeight="1"/>
    <row r="3" ht="12.75" customHeight="1">
      <c r="C3" s="9">
        <v>2014.0</v>
      </c>
      <c r="D3" s="9">
        <v>2015.0</v>
      </c>
      <c r="E3" s="9">
        <v>2016.0</v>
      </c>
      <c r="F3" s="9">
        <v>2017.0</v>
      </c>
      <c r="G3" s="9">
        <v>2018.0</v>
      </c>
      <c r="H3" s="21">
        <v>2019.0</v>
      </c>
      <c r="I3" s="21">
        <v>2020.0</v>
      </c>
      <c r="J3" s="21">
        <v>2021.0</v>
      </c>
      <c r="K3" s="21">
        <v>2022.0</v>
      </c>
      <c r="L3" s="21">
        <v>2023.0</v>
      </c>
    </row>
    <row r="4" ht="12.75" customHeight="1">
      <c r="B4" s="31" t="s">
        <v>134</v>
      </c>
      <c r="D4" s="57">
        <f>+'Balance Sheet Input'!J19</f>
        <v>911.71</v>
      </c>
      <c r="E4" s="57">
        <f t="shared" ref="E4:L4" si="1">+D8</f>
        <v>1083.704</v>
      </c>
      <c r="F4" s="57">
        <f t="shared" si="1"/>
        <v>5538.086</v>
      </c>
      <c r="G4" s="57">
        <f t="shared" si="1"/>
        <v>5234.588</v>
      </c>
      <c r="H4" s="57">
        <f t="shared" si="1"/>
        <v>5267.113</v>
      </c>
      <c r="I4" s="57">
        <f t="shared" si="1"/>
        <v>16902.04319</v>
      </c>
      <c r="J4" s="57">
        <f t="shared" si="1"/>
        <v>36351.62059</v>
      </c>
      <c r="K4" s="57">
        <f t="shared" si="1"/>
        <v>68286.84082</v>
      </c>
      <c r="L4" s="57">
        <f t="shared" si="1"/>
        <v>120164.7037</v>
      </c>
    </row>
    <row r="5" ht="12.75" customHeight="1">
      <c r="B5" s="31" t="s">
        <v>135</v>
      </c>
      <c r="D5" s="57">
        <v>0.0</v>
      </c>
      <c r="E5" s="57">
        <v>0.0</v>
      </c>
      <c r="F5" s="57">
        <v>0.0</v>
      </c>
      <c r="G5" s="57">
        <v>0.0</v>
      </c>
      <c r="H5" s="90">
        <v>12999.0</v>
      </c>
      <c r="I5" s="91">
        <v>20821.0</v>
      </c>
      <c r="J5" s="91">
        <v>33314.0</v>
      </c>
      <c r="K5" s="91">
        <v>53264.0</v>
      </c>
      <c r="L5" s="91">
        <v>85128.0</v>
      </c>
      <c r="M5" s="92" t="s">
        <v>136</v>
      </c>
    </row>
    <row r="6" ht="12.75" customHeight="1">
      <c r="B6" s="31" t="s">
        <v>137</v>
      </c>
      <c r="D6" s="57">
        <f>+'P&amp;L Input'!L17</f>
        <v>-888.663</v>
      </c>
      <c r="E6" s="57">
        <f>+'P&amp;L Input'!M17</f>
        <v>-674.914</v>
      </c>
      <c r="F6" s="57">
        <f>+'P&amp;L Input'!N17</f>
        <v>-1961.4</v>
      </c>
      <c r="G6" s="57">
        <f>+'P&amp;L Input'!O17</f>
        <v>-1427.09</v>
      </c>
      <c r="H6" s="57">
        <f>+'P&amp;L Input'!P17</f>
        <v>-1364.06981</v>
      </c>
      <c r="I6" s="57">
        <f>+'P&amp;L Input'!Q17</f>
        <v>-1371.422597</v>
      </c>
      <c r="J6" s="57">
        <f>+'P&amp;L Input'!R17</f>
        <v>-1378.779776</v>
      </c>
      <c r="K6" s="57">
        <f>+'P&amp;L Input'!S17</f>
        <v>-1386.137152</v>
      </c>
      <c r="L6" s="57">
        <f>+'P&amp;L Input'!T17</f>
        <v>-1393.490323</v>
      </c>
    </row>
    <row r="7" ht="12.75" customHeight="1">
      <c r="B7" s="31" t="s">
        <v>105</v>
      </c>
      <c r="D7" s="57">
        <v>0.0</v>
      </c>
      <c r="E7" s="57">
        <v>0.0</v>
      </c>
      <c r="F7" s="57">
        <v>0.0</v>
      </c>
      <c r="G7" s="57">
        <v>0.0</v>
      </c>
      <c r="H7" s="57"/>
      <c r="I7" s="57"/>
      <c r="J7" s="57"/>
      <c r="K7" s="57"/>
      <c r="L7" s="57"/>
    </row>
    <row r="8" ht="12.75" customHeight="1">
      <c r="B8" s="31" t="s">
        <v>138</v>
      </c>
      <c r="D8" s="57">
        <f>+'Balance Sheet Input'!K19</f>
        <v>1083.704</v>
      </c>
      <c r="E8" s="57">
        <f>+'Balance Sheet Input'!L19</f>
        <v>5538.086</v>
      </c>
      <c r="F8" s="57">
        <f>+'Balance Sheet Input'!M19</f>
        <v>5234.588</v>
      </c>
      <c r="G8" s="57">
        <f>+'Balance Sheet Input'!N19</f>
        <v>5267.113</v>
      </c>
      <c r="H8" s="57">
        <f t="shared" ref="H8:L8" si="2">+SUM(H4:H7)</f>
        <v>16902.04319</v>
      </c>
      <c r="I8" s="57">
        <f t="shared" si="2"/>
        <v>36351.62059</v>
      </c>
      <c r="J8" s="57">
        <f t="shared" si="2"/>
        <v>68286.84082</v>
      </c>
      <c r="K8" s="57">
        <f t="shared" si="2"/>
        <v>120164.7037</v>
      </c>
      <c r="L8" s="57">
        <f t="shared" si="2"/>
        <v>203899.2133</v>
      </c>
    </row>
    <row r="9" ht="12.75" customHeight="1"/>
    <row r="10" ht="12.75" customHeight="1">
      <c r="B10" s="75" t="s">
        <v>139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10:J13"/>
    <mergeCell ref="M5:P5"/>
    <mergeCell ref="B1:G2"/>
    <mergeCell ref="H1:L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2019-11-13T21:24:54Z</dcterms:created>
  <dc:creator>Jorge_Moreno</dc:creator>
</cp:coreProperties>
</file>